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drawings/drawing28.xml" ContentType="application/vnd.openxmlformats-officedocument.drawingml.chartshapes+xml"/>
  <Override PartName="/xl/charts/chart5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0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Working Futures extensions/Projections/Skills Imperative 2035 National_Regional_Subregional workbooks/LocalSkillsData/"/>
    </mc:Choice>
  </mc:AlternateContent>
  <xr:revisionPtr revIDLastSave="34" documentId="13_ncr:1_{40CB3C89-EDB6-437D-B458-FF1226C69275}" xr6:coauthVersionLast="47" xr6:coauthVersionMax="47" xr10:uidLastSave="{CE1A1A42-366A-46E7-8342-786229CF8146}"/>
  <bookViews>
    <workbookView xWindow="-110" yWindow="-110" windowWidth="22780" windowHeight="14660" tabRatio="880" firstSheet="12" activeTab="12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78" i="71" l="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L107" i="49" l="1" a="1"/>
  <c r="L107" i="49" s="1"/>
  <c r="BX24" i="78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L108" i="49" l="1"/>
  <c r="L109" i="49"/>
  <c r="L110" i="49"/>
  <c r="L111" i="49"/>
  <c r="L112" i="49"/>
  <c r="L114" i="49"/>
  <c r="L113" i="49"/>
  <c r="N63" i="49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" i="21" l="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47" i="21" s="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167" i="21" s="1"/>
  <c r="A53" i="15"/>
  <c r="L37" i="19" s="1"/>
  <c r="L8" i="21"/>
  <c r="A66" i="15"/>
  <c r="L24" i="19" s="1"/>
  <c r="L21" i="21"/>
  <c r="A78" i="15"/>
  <c r="L12" i="19" s="1"/>
  <c r="L33" i="21"/>
  <c r="A197" i="21" s="1"/>
  <c r="A79" i="15"/>
  <c r="L11" i="19" s="1"/>
  <c r="L34" i="21"/>
  <c r="A58" i="15"/>
  <c r="L32" i="19" s="1"/>
  <c r="L13" i="21"/>
  <c r="A63" i="15"/>
  <c r="L27" i="19" s="1"/>
  <c r="L18" i="21"/>
  <c r="A137" i="21" s="1"/>
  <c r="A56" i="15"/>
  <c r="L34" i="19" s="1"/>
  <c r="L11" i="21"/>
  <c r="A77" i="21" s="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A107" i="21" s="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<sst xmlns="http://schemas.openxmlformats.org/spreadsheetml/2006/main" count="3243" uniqueCount="547">
  <si>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Database</t>
  </si>
  <si>
    <t>M:/IE/Projects/Nuffield via NFER AI and automation/Data/Results/Workbooks/EN/EN_Database.Main.xlsx</t>
  </si>
  <si>
    <t>M:\IE\Projects\Nuffield via NFER AI and automation\Data\Results\Workbooks\UK\v2 Main\UK_Database.Main.xlsx</t>
  </si>
  <si>
    <t>M:\IE\Projects\Nuffield via NFER AI and automation\Data\Results\Workbooks\GB\v2 Main\GB_Database.Main.xlsx</t>
  </si>
  <si>
    <t>Database current</t>
  </si>
  <si>
    <t>WARNING</t>
  </si>
  <si>
    <t>THIS EXCEL WORKBOOK CONTAINS DATA</t>
  </si>
  <si>
    <t>BASED ON THE ANNUAL BUSINESS INQUIRY /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</si>
  <si>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</si>
  <si>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</si>
  <si>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</si>
  <si>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</si>
  <si>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Copyright:  Warwick Institute for Employment Research / Cambridge Econometrics, 2023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</si>
  <si>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</si>
  <si>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</si>
  <si>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</si>
  <si>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</si>
  <si>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</si>
  <si>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</si>
  <si>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</si>
  <si>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</si>
  <si>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For cases in between 1,000 and 10,000 individuals, it is difficult to prescribe general rules, and an element of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</si>
  <si>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</si>
  <si>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</si>
  <si>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publishable then the equivalent figures in the workbooks should not be published. Where the focus is on</t>
  </si>
  <si>
    <t>self-employment or upon occupations, a more stringent cut-off should be applied.</t>
  </si>
  <si>
    <t>For unpublished analyses, a more lenient criterion can be used. However, the uncertainties associated with</t>
  </si>
  <si>
    <t>projections involving fewer than 1,000 individuals are probably too great for such estimates to be useful.</t>
  </si>
  <si>
    <t>However, there is inevitably some degree of judgement required on the part of the researcher.</t>
  </si>
  <si>
    <t>Thus, in summary, we advise:</t>
  </si>
  <si>
    <t>PUBLISHED DATA: Ideally, a minimum of 10,000 individuals per cell</t>
  </si>
  <si>
    <t>UNPUBLISHED DATA: A minimum of 1,000 individuals per cell</t>
  </si>
  <si>
    <t>Country</t>
  </si>
  <si>
    <t>Sum of the workbooks for England</t>
  </si>
  <si>
    <t>Scenario</t>
  </si>
  <si>
    <t>.Main</t>
  </si>
  <si>
    <t>MDM version</t>
  </si>
  <si>
    <t>Nuffield - Rev 13547</t>
  </si>
  <si>
    <t>Date database created</t>
  </si>
  <si>
    <t>Country name</t>
  </si>
  <si>
    <t>England</t>
  </si>
  <si>
    <t>Date run</t>
  </si>
  <si>
    <t>08 03 2023 11:43:15 AM</t>
  </si>
  <si>
    <t>Manager</t>
  </si>
  <si>
    <t>Current Input File:</t>
  </si>
  <si>
    <t>Choose Database File</t>
  </si>
  <si>
    <t>Select years for the Tables</t>
  </si>
  <si>
    <t>1st</t>
  </si>
  <si>
    <t>2nd</t>
  </si>
  <si>
    <t>3rd</t>
  </si>
  <si>
    <t>4th</t>
  </si>
  <si>
    <t>5th</t>
  </si>
  <si>
    <t>Existing years</t>
  </si>
  <si>
    <t>Set new years here:-</t>
  </si>
  <si>
    <t>Contents</t>
  </si>
  <si>
    <t>To return to this sheet from any page, just click the home icon</t>
  </si>
  <si>
    <t>Sheet name</t>
  </si>
  <si>
    <t>Ind T1</t>
  </si>
  <si>
    <t>Employment by Industry Sector (6 industries)</t>
  </si>
  <si>
    <t>Ind T2</t>
  </si>
  <si>
    <t>Employment by Industry Group (22 industries)</t>
  </si>
  <si>
    <t>Ind T3</t>
  </si>
  <si>
    <t>Employment by Industry (75 industries)</t>
  </si>
  <si>
    <t>Ind T4</t>
  </si>
  <si>
    <t>Employment by Industry Group in Sector (6 + 22 industries)</t>
  </si>
  <si>
    <t>Ind T5</t>
  </si>
  <si>
    <t>Employment Status by Industry Group and Gender (22 industries)</t>
  </si>
  <si>
    <t>Ind T6</t>
  </si>
  <si>
    <t>Employment Status by Industry and Gender (75 industries)</t>
  </si>
  <si>
    <t>Ind F1</t>
  </si>
  <si>
    <t>Bar Chart Growth in Employment by Industry Group (6 + 22 industries)</t>
  </si>
  <si>
    <t>Ind F2</t>
  </si>
  <si>
    <t>Line Chart Employment by Industry (6 + 22 industries)</t>
  </si>
  <si>
    <t>IndOcc T1</t>
  </si>
  <si>
    <t>Occupation Composition by Gender (9 occupations by 75 industries)</t>
  </si>
  <si>
    <t>IndOcc T2</t>
  </si>
  <si>
    <t>Occupation Composition by Employment Status (9 occupations by 75 industries)</t>
  </si>
  <si>
    <t>Occ T1</t>
  </si>
  <si>
    <t>Employment Change by Occupation Group and Gender and Replacement Demand (9 occupations)</t>
  </si>
  <si>
    <t>Occ T2</t>
  </si>
  <si>
    <t>Employment Change by Occupation and Replacement Demand (26 occupations)</t>
  </si>
  <si>
    <t>Occ T3</t>
  </si>
  <si>
    <t>Employment Change by Occupation in Occupation Group (9 + 26 occupations)</t>
  </si>
  <si>
    <t>Occ T4</t>
  </si>
  <si>
    <t>Occupation Composition by Gender (26 occupations)</t>
  </si>
  <si>
    <t>Occ T5</t>
  </si>
  <si>
    <t>Employment Change by Occupation Group, Status and Gender (9 occupations)</t>
  </si>
  <si>
    <t>Occ F1</t>
  </si>
  <si>
    <t>Bar Chart Growth in Employment by Occupation (9 + 26 occupations)</t>
  </si>
  <si>
    <t>Occ F2</t>
  </si>
  <si>
    <t>Line Chart Employment by Occupation (9 + 26 occupations)</t>
  </si>
  <si>
    <t>Occ F3</t>
  </si>
  <si>
    <t>Changes in Occupational Employment Structure (9 occupations)</t>
  </si>
  <si>
    <t>Occ F4</t>
  </si>
  <si>
    <t>Occupational Change by Gender (9 occupations)</t>
  </si>
  <si>
    <t>Occ F5</t>
  </si>
  <si>
    <t>Occupational Change by Status (9 occupations)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</si>
  <si>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</si>
  <si>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</si>
  <si>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</si>
  <si>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</si>
  <si>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</si>
  <si>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Shift-Share by Occupation (26 occupations)</t>
  </si>
  <si>
    <t>RD T1</t>
  </si>
  <si>
    <t>Replacement Demand by Occupation and Qualification (26 occupations by 9 qualifications)</t>
  </si>
  <si>
    <t>RD F1</t>
  </si>
  <si>
    <t>Replacement Demand by Occupation Group (9 + 26 occupations)</t>
  </si>
  <si>
    <t>Basic T1</t>
  </si>
  <si>
    <t>Employment by Industry Sector, Occupation Group and Qualification (9 occupations by 6 industries by 9 qualifications)</t>
  </si>
  <si>
    <t>Basic T2</t>
  </si>
  <si>
    <t>Employment Change by Occupation and Replacement Demand (26 occupations by 9 qualifications)</t>
  </si>
  <si>
    <t>Basic T3</t>
  </si>
  <si>
    <t>Occupation by Qualification (26 occupations by 9 qualifications)</t>
  </si>
  <si>
    <t>6 Industries</t>
  </si>
  <si>
    <t>thousands</t>
  </si>
  <si>
    <t>Levels (000s)</t>
  </si>
  <si>
    <t>Growth % per annum</t>
  </si>
  <si>
    <t>Net</t>
  </si>
  <si>
    <t>Replacement</t>
  </si>
  <si>
    <t>Total</t>
  </si>
  <si>
    <t>Change</t>
  </si>
  <si>
    <t>Demand</t>
  </si>
  <si>
    <t>Requirement</t>
  </si>
  <si>
    <t>per cent</t>
  </si>
  <si>
    <t>Shares (%)</t>
  </si>
  <si>
    <t>Growth (% per annum)</t>
  </si>
  <si>
    <t>Change (000s)</t>
  </si>
  <si>
    <t>22 Industries</t>
  </si>
  <si>
    <t>75 Industries</t>
  </si>
  <si>
    <t>6 + 22 Industries</t>
  </si>
  <si>
    <t>Absolute levels and changes (000s)</t>
  </si>
  <si>
    <t>Levels</t>
  </si>
  <si>
    <t>Annual growth and industry shares (percent)</t>
  </si>
  <si>
    <t xml:space="preserve">Employment Status </t>
  </si>
  <si>
    <t>Changes in Employment Status (000s)</t>
  </si>
  <si>
    <t>Employment by Gender</t>
  </si>
  <si>
    <t>Full time</t>
  </si>
  <si>
    <t>Part time</t>
  </si>
  <si>
    <t>Self employed</t>
  </si>
  <si>
    <t>FT</t>
  </si>
  <si>
    <t>PT</t>
  </si>
  <si>
    <t>SE</t>
  </si>
  <si>
    <t>000s</t>
  </si>
  <si>
    <t>(% share)</t>
  </si>
  <si>
    <t>Male employment</t>
  </si>
  <si>
    <t>Female employment</t>
  </si>
  <si>
    <t>Total employment</t>
  </si>
  <si>
    <t>Industry 3 Total</t>
  </si>
  <si>
    <t>Industry 4 Total</t>
  </si>
  <si>
    <t>Industry 5 Total</t>
  </si>
  <si>
    <t>Industry 7 Total</t>
  </si>
  <si>
    <t>Industry 8 Total</t>
  </si>
  <si>
    <t>Industry 9 Total</t>
  </si>
  <si>
    <t>Industry 10 Total</t>
  </si>
  <si>
    <t>Industry 11 Total</t>
  </si>
  <si>
    <t>Industry 12 Total</t>
  </si>
  <si>
    <t>Industry 13 Total</t>
  </si>
  <si>
    <t>Industry 14 Total</t>
  </si>
  <si>
    <t>Industry 16 Total</t>
  </si>
  <si>
    <t>Industry 17 Total</t>
  </si>
  <si>
    <t>Industry 20 Total</t>
  </si>
  <si>
    <t>Industry 21 Total</t>
  </si>
  <si>
    <t>Industry 22 Total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</si>
  <si>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</si>
  <si>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Linked to sheet IndustryTable4</t>
  </si>
  <si>
    <t>Years shown from</t>
  </si>
  <si>
    <t>to</t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</si>
  <si>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</si>
  <si>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IndustryTable1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</si>
  <si>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</si>
  <si>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 Table1</t>
  </si>
  <si>
    <t>9 Occupations by 75 Industries</t>
  </si>
  <si>
    <t>All industries</t>
  </si>
  <si>
    <t>Female</t>
  </si>
  <si>
    <t>Male</t>
  </si>
  <si>
    <t>9 Occupations</t>
  </si>
  <si>
    <t>Males</t>
  </si>
  <si>
    <t>Females</t>
  </si>
  <si>
    <t>% per annum</t>
  </si>
  <si>
    <t>26 Occupations</t>
  </si>
  <si>
    <t>9 + 26 Occupations</t>
  </si>
  <si>
    <t>Annual growth and occupation shares (percent)</t>
  </si>
  <si>
    <t xml:space="preserve">% p.a. changes 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</si>
  <si>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</si>
  <si>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</si>
  <si>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t>% share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</si>
  <si>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</si>
  <si>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</si>
  <si>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</si>
  <si>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Absolute Changes (000s)</t>
  </si>
  <si>
    <t>axis bounds</t>
  </si>
  <si>
    <t>major unit</t>
  </si>
  <si>
    <t>max</t>
  </si>
  <si>
    <t>min</t>
  </si>
  <si>
    <t>All</t>
  </si>
  <si>
    <t>Self-employment</t>
  </si>
  <si>
    <t>Part-time</t>
  </si>
  <si>
    <t>Full-time</t>
  </si>
  <si>
    <t>9 Qualifications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</si>
  <si>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</si>
  <si>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</si>
  <si>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</si>
  <si>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</si>
  <si>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</si>
  <si>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</si>
  <si>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SOC2020 Sub-Major Groups</t>
  </si>
  <si>
    <t xml:space="preserve">%   </t>
  </si>
  <si>
    <t>26 Occupations by 9 Qualifications</t>
  </si>
  <si>
    <t>9 Occupations by 9 Qualifications</t>
  </si>
  <si>
    <t>Net Change</t>
  </si>
  <si>
    <t>Replacement Demand level</t>
  </si>
  <si>
    <t>Total Requirement</t>
  </si>
  <si>
    <t>Replacement Demand rate</t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</si>
  <si>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</si>
  <si>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9 Occupations by 6 Industries by 9 Qualifications</t>
  </si>
  <si>
    <t>Qualification levels (000s)</t>
  </si>
  <si>
    <t>Shares of all occupations (%)</t>
  </si>
  <si>
    <t>Shares of all qualifications (%)</t>
  </si>
  <si>
    <t>RD p.a%</t>
  </si>
  <si>
    <t>Replace-ment Demand</t>
  </si>
  <si>
    <t>Total Require-ment</t>
  </si>
  <si>
    <t>Years used in the formula for RD p.a%</t>
  </si>
  <si>
    <t>Occupation effect                   ("share")</t>
  </si>
  <si>
    <t>Industry Mix Effect ("shift")</t>
  </si>
  <si>
    <t>All Occupations (Base Year)</t>
  </si>
  <si>
    <t>Target Year</t>
  </si>
  <si>
    <t>SOC2010 Sub-Major Groups</t>
  </si>
  <si>
    <t>occ share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</si>
  <si>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</si>
  <si>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</si>
  <si>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</si>
  <si>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</si>
  <si>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</si>
  <si>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</si>
  <si>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</si>
  <si>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Where does the data come from for this? (LPB)</t>
  </si>
  <si>
    <t>Population</t>
  </si>
  <si>
    <t>All Low qualifications</t>
  </si>
  <si>
    <t>Pre-primary education</t>
  </si>
  <si>
    <t>Primary education (1st stage basic)</t>
  </si>
  <si>
    <t>Lower secondary education (2nd stage basic)</t>
  </si>
  <si>
    <t>All Medium qualifications</t>
  </si>
  <si>
    <t>Upper secondary education</t>
  </si>
  <si>
    <t>Post-secondary non-tertiary education</t>
  </si>
  <si>
    <t>All High qualifications</t>
  </si>
  <si>
    <t>First stage of tertiary education</t>
  </si>
  <si>
    <t>Second stage of tertiary education</t>
  </si>
  <si>
    <t>(in age bands)</t>
  </si>
  <si>
    <t>Males and females</t>
  </si>
  <si>
    <t>15+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</si>
  <si>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</si>
  <si>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</si>
  <si>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</si>
  <si>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</si>
  <si>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</si>
  <si>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</si>
  <si>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</si>
  <si>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</si>
  <si>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</si>
  <si>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</si>
  <si>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65+</t>
  </si>
  <si>
    <t>Labour Force</t>
  </si>
  <si>
    <t>Note: For Belgium there is no European LFS data for some of the ISCED Qualifications.</t>
  </si>
  <si>
    <t>75-Industry</t>
  </si>
  <si>
    <t>22-Industry</t>
  </si>
  <si>
    <t>6-Industry</t>
  </si>
  <si>
    <t>26-Occupation</t>
  </si>
  <si>
    <t>9-Occupation</t>
  </si>
  <si>
    <t>9-Qualification names:</t>
  </si>
  <si>
    <t>6-Qualification names:</t>
  </si>
  <si>
    <t>Gender names:</t>
  </si>
  <si>
    <t>Status names:</t>
  </si>
  <si>
    <t>Industry</t>
  </si>
  <si>
    <t>Industry groups</t>
  </si>
  <si>
    <t>Industry sectors</t>
  </si>
  <si>
    <t>Sub-major group names:</t>
  </si>
  <si>
    <t>Major group names:</t>
  </si>
  <si>
    <t>Qualification</t>
  </si>
  <si>
    <t>Qualification groups</t>
  </si>
  <si>
    <t>M+F</t>
  </si>
  <si>
    <t>All in employment</t>
  </si>
  <si>
    <t>All occupations</t>
  </si>
  <si>
    <t>All qualifications</t>
  </si>
  <si>
    <t>M</t>
  </si>
  <si>
    <t>EE</t>
  </si>
  <si>
    <t>Employees in employment</t>
  </si>
  <si>
    <t>Agriculture, etc</t>
  </si>
  <si>
    <t>Agriculture</t>
  </si>
  <si>
    <t>Primary sector and utilities</t>
  </si>
  <si>
    <t>11 Corporate managers and directors</t>
  </si>
  <si>
    <t>Managers, directors and senior officials</t>
  </si>
  <si>
    <t>RQF8 Doctorate</t>
  </si>
  <si>
    <t>RQF 7-8</t>
  </si>
  <si>
    <t>F</t>
  </si>
  <si>
    <t>Coal, oil &amp; gas; Mining &amp; related</t>
  </si>
  <si>
    <t>Mining and quarrying</t>
  </si>
  <si>
    <t>Manufacturing</t>
  </si>
  <si>
    <t>12 Other managers and proprietors</t>
  </si>
  <si>
    <t>Professional occupations</t>
  </si>
  <si>
    <t>RQF7 Other higher degree</t>
  </si>
  <si>
    <t>RQF 4-6</t>
  </si>
  <si>
    <t>Full-time employees</t>
  </si>
  <si>
    <t>Food products</t>
  </si>
  <si>
    <t>Food drink and tobacco</t>
  </si>
  <si>
    <t>Construction</t>
  </si>
  <si>
    <t>21 Science, research, engineering and technology professionals</t>
  </si>
  <si>
    <t>Associate professional occupations</t>
  </si>
  <si>
    <t>RQF6 First degree</t>
  </si>
  <si>
    <t>RQF3 A level &amp; equivalent</t>
  </si>
  <si>
    <t>Part-time employees</t>
  </si>
  <si>
    <t>Beverages and tobacco</t>
  </si>
  <si>
    <t>Engineering</t>
  </si>
  <si>
    <t>Trade, accomod. and transport</t>
  </si>
  <si>
    <t>22 Health professionals</t>
  </si>
  <si>
    <t>Administrative and secretarial occupations</t>
  </si>
  <si>
    <t>RQF5 Foundation degree;Nursing;Teaching</t>
  </si>
  <si>
    <t>RQF2 GCSE(A-C) &amp; equivalent</t>
  </si>
  <si>
    <t>Textiles</t>
  </si>
  <si>
    <t>Rest of manufacturing</t>
  </si>
  <si>
    <t>Business and other services</t>
  </si>
  <si>
    <t>23 Teaching and other educational professionals</t>
  </si>
  <si>
    <t>Skilled trades occupations</t>
  </si>
  <si>
    <t>RQF4 HE below degree level</t>
  </si>
  <si>
    <t>RQF1 GCSE(below grade C) &amp; equivalent</t>
  </si>
  <si>
    <t>Wearing apparel; Leather, etc</t>
  </si>
  <si>
    <t>Electricity and gas</t>
  </si>
  <si>
    <t>Non-marketed services</t>
  </si>
  <si>
    <t>24 Business, media and public service professionals</t>
  </si>
  <si>
    <t>Caring, leisure and other service occupations</t>
  </si>
  <si>
    <t>No Qualification</t>
  </si>
  <si>
    <t xml:space="preserve">Wood and cork </t>
  </si>
  <si>
    <t>Water and sewerage</t>
  </si>
  <si>
    <t xml:space="preserve"> </t>
  </si>
  <si>
    <t>31 Science, engineering and technology associate professionals</t>
  </si>
  <si>
    <t>Sales and customer service occupations</t>
  </si>
  <si>
    <t>Paper, etc</t>
  </si>
  <si>
    <t>32 Health and social care associate professionals</t>
  </si>
  <si>
    <t>Process, plant and machine operatives</t>
  </si>
  <si>
    <t>Printing and recording</t>
  </si>
  <si>
    <t>Wholesale and retail trade</t>
  </si>
  <si>
    <t>33 Protective service occupations</t>
  </si>
  <si>
    <t>Elementary occupations</t>
  </si>
  <si>
    <t>Coke and petroleum; Chemicals, etc</t>
  </si>
  <si>
    <t>Transport and storage</t>
  </si>
  <si>
    <t>34 Culture, media and sports occupations</t>
  </si>
  <si>
    <t>Pharmaceuticals</t>
  </si>
  <si>
    <t>Accommodation and food</t>
  </si>
  <si>
    <t>35 Business and public service associate professionals</t>
  </si>
  <si>
    <t>Rubber and plastic</t>
  </si>
  <si>
    <t>Media</t>
  </si>
  <si>
    <t>41 Administrative occupations</t>
  </si>
  <si>
    <t>Other non-metallic</t>
  </si>
  <si>
    <t>Information technology</t>
  </si>
  <si>
    <t>42 Secretarial and related occupations</t>
  </si>
  <si>
    <t>Basic metals</t>
  </si>
  <si>
    <t>Finance and insurance</t>
  </si>
  <si>
    <t>51 Skilled agricultural and related trades</t>
  </si>
  <si>
    <t>Metal products</t>
  </si>
  <si>
    <t>Real estate</t>
  </si>
  <si>
    <t>52 Skilled metal, electrical and electronic trades</t>
  </si>
  <si>
    <t>Computer, etc</t>
  </si>
  <si>
    <t>Professional services</t>
  </si>
  <si>
    <t>53 Skilled construction and building trades</t>
  </si>
  <si>
    <t>Electrical equipment</t>
  </si>
  <si>
    <t>Support services</t>
  </si>
  <si>
    <t>54 Textiles, printing and other skilled trades</t>
  </si>
  <si>
    <t>Machinery n.e.c.</t>
  </si>
  <si>
    <t>Public admin. and defence</t>
  </si>
  <si>
    <t>61 Caring personal service occupations</t>
  </si>
  <si>
    <t>Motor vehicles, etc</t>
  </si>
  <si>
    <t>Education</t>
  </si>
  <si>
    <t>62 Leisure, travel and related personal service occupations</t>
  </si>
  <si>
    <t>Other transport equipment</t>
  </si>
  <si>
    <t>Health and social work</t>
  </si>
  <si>
    <t>63 Community and civil enforcement occupations</t>
  </si>
  <si>
    <t>Furniture</t>
  </si>
  <si>
    <t>Arts and entertainment</t>
  </si>
  <si>
    <t>71 Sales occupations</t>
  </si>
  <si>
    <t>Other manufacturing</t>
  </si>
  <si>
    <t>Other services</t>
  </si>
  <si>
    <t>72 Customer service occupations</t>
  </si>
  <si>
    <t>Repair and installation</t>
  </si>
  <si>
    <t>81 Process, plant and machine operatives</t>
  </si>
  <si>
    <t>Electricity, gas, etc</t>
  </si>
  <si>
    <t>82 Transport and mobile machine drivers and operatives</t>
  </si>
  <si>
    <t>Water</t>
  </si>
  <si>
    <t>91 Elementary trades and related occupations</t>
  </si>
  <si>
    <t>Sewerage</t>
  </si>
  <si>
    <t>92 Elementary administration and service occupations</t>
  </si>
  <si>
    <t>Waste management</t>
  </si>
  <si>
    <t>Civil engineering</t>
  </si>
  <si>
    <t>Specialised construction</t>
  </si>
  <si>
    <t>Motor vehicle trade</t>
  </si>
  <si>
    <t>Wholesale trade</t>
  </si>
  <si>
    <t>Retail trade</t>
  </si>
  <si>
    <t>Land transport, etc</t>
  </si>
  <si>
    <t>Water transport</t>
  </si>
  <si>
    <t>Air transport</t>
  </si>
  <si>
    <t>Warehousing, etc</t>
  </si>
  <si>
    <t>Postal and courier</t>
  </si>
  <si>
    <t>Accommodation</t>
  </si>
  <si>
    <t>Food and beverage services</t>
  </si>
  <si>
    <t>Publishing activities</t>
  </si>
  <si>
    <t>Film and music</t>
  </si>
  <si>
    <t>Broadcasting</t>
  </si>
  <si>
    <t>Telecommunications</t>
  </si>
  <si>
    <t>Computing services</t>
  </si>
  <si>
    <t>Information services</t>
  </si>
  <si>
    <t>Financial services</t>
  </si>
  <si>
    <t>Insurance and pensions</t>
  </si>
  <si>
    <t>Auxiliary financial services</t>
  </si>
  <si>
    <t>Legal and accounting</t>
  </si>
  <si>
    <t>Head offices, etc</t>
  </si>
  <si>
    <t>Architectural and related</t>
  </si>
  <si>
    <t>Scientific research and development</t>
  </si>
  <si>
    <t>Advertising, etc</t>
  </si>
  <si>
    <t>Other professional</t>
  </si>
  <si>
    <t>Veterinary</t>
  </si>
  <si>
    <t>Rental and leasing</t>
  </si>
  <si>
    <t>Employment activities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</si>
  <si>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</si>
  <si>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</si>
  <si>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</si>
  <si>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</si>
  <si>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</si>
  <si>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</si>
  <si>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Health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</si>
  <si>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</si>
  <si>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</si>
  <si>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</si>
  <si>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</si>
  <si>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</si>
  <si>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</si>
  <si>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</si>
  <si>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</si>
  <si>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Aggregation 26 occupations to 9 Major group names:</t>
  </si>
  <si>
    <t>Aggregation of 75 detailed industries to 22 Industry groups</t>
  </si>
  <si>
    <t>Industry Group [SIC2007]</t>
  </si>
  <si>
    <t>Ind75 industry [SIC2007]</t>
  </si>
  <si>
    <t>Agriculture [01-03]</t>
  </si>
  <si>
    <t>Agriculture, etc [01-03]</t>
  </si>
  <si>
    <t>Mining and quarrying [05-09]</t>
  </si>
  <si>
    <t>Coal, oil &amp; gas; Mining &amp; related [05-09]</t>
  </si>
  <si>
    <t>Food drink and tobacco [10-12]</t>
  </si>
  <si>
    <t>Food products [10]</t>
  </si>
  <si>
    <t>Beverages &amp; tobacco [11-12]</t>
  </si>
  <si>
    <t>Engineering [26-28]</t>
  </si>
  <si>
    <t>Computers, etc [26]</t>
  </si>
  <si>
    <t>Electrical equipment [27]</t>
  </si>
  <si>
    <t>Machinery, etc [28]</t>
  </si>
  <si>
    <t>Rest of manufacturing [13-25,29-33]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</si>
  <si>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</si>
  <si>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</si>
  <si>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</si>
  <si>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</si>
  <si>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</si>
  <si>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</si>
  <si>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Pharmaceuticals [21]</t>
  </si>
  <si>
    <t>Rubber &amp; plastic [22]</t>
  </si>
  <si>
    <t>Other non-metallic [23]</t>
  </si>
  <si>
    <t>Basic metals [24]</t>
  </si>
  <si>
    <t>Metal products [25]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</si>
  <si>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</si>
  <si>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</si>
  <si>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</si>
  <si>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</si>
  <si>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</si>
  <si>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</si>
  <si>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</si>
  <si>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</si>
  <si>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</si>
  <si>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</si>
  <si>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</si>
  <si>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[41-43]</t>
  </si>
  <si>
    <t>Construction [41]</t>
  </si>
  <si>
    <t>Civil engineering [42]</t>
  </si>
  <si>
    <t>Specialised construction [43]</t>
  </si>
  <si>
    <t>Wholesale and retail trade [45-47]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</si>
  <si>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</si>
  <si>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</si>
  <si>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</si>
  <si>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</si>
  <si>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</si>
  <si>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</si>
  <si>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</si>
  <si>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</si>
  <si>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</si>
  <si>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</si>
  <si>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</si>
  <si>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</si>
  <si>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Media [58-60]</t>
  </si>
  <si>
    <t>Publishing activities [58]</t>
  </si>
  <si>
    <t>Film &amp;  music [59]</t>
  </si>
  <si>
    <t>Broadcasting [60]</t>
  </si>
  <si>
    <t>Information technology [61-63]</t>
  </si>
  <si>
    <t>Telecommunications [61]</t>
  </si>
  <si>
    <t>Computer programming, etc [62]</t>
  </si>
  <si>
    <t>Information services [63]</t>
  </si>
  <si>
    <t>Finance and insurance [64-66]</t>
  </si>
  <si>
    <t>Financial services [64]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</si>
  <si>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</si>
  <si>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</si>
  <si>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</si>
  <si>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</si>
  <si>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</si>
  <si>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</si>
  <si>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</si>
  <si>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</si>
  <si>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</si>
  <si>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</si>
  <si>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</si>
  <si>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</si>
  <si>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</si>
  <si>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Employment activities [78]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</si>
  <si>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</si>
  <si>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</si>
  <si>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</si>
  <si>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</si>
  <si>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</si>
  <si>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</si>
  <si>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Education [85]</t>
  </si>
  <si>
    <t>Health and social work [86-88]</t>
  </si>
  <si>
    <t>Health [86]</t>
  </si>
  <si>
    <t>Residential care [87]</t>
  </si>
  <si>
    <t>Social work [88]</t>
  </si>
  <si>
    <t>Arts and entertainment [90-93]</t>
  </si>
  <si>
    <t>Arts &amp; entertainment [90]</t>
  </si>
  <si>
    <t>Libraries, etc [91]</t>
  </si>
  <si>
    <t>Gambling [92]</t>
  </si>
  <si>
    <t>Sport &amp; recreation [93]</t>
  </si>
  <si>
    <t>Other services [94-99]</t>
  </si>
  <si>
    <t>Membership organisations [94]</t>
  </si>
  <si>
    <t>Repair of  goods [95]</t>
  </si>
  <si>
    <t>Other personal service [96-99]</t>
  </si>
  <si>
    <t>Aggregation of 75 detailed industries to 6 Broad industrial sectors</t>
  </si>
  <si>
    <t>Broad industry [SIC2007]</t>
  </si>
  <si>
    <t>Primary sector and utilities [01-09,35-39]</t>
  </si>
  <si>
    <t>Manufacturing [10-33]</t>
  </si>
  <si>
    <t>Trade, accomod. and transport [45-56]</t>
  </si>
  <si>
    <t>Business and other services [58-82,90-99]</t>
  </si>
  <si>
    <t>Non-market services [84-88]</t>
  </si>
  <si>
    <t>Aggregation of 26-Sub major occupation groups to 9-Major occupation groups</t>
  </si>
  <si>
    <t>9-Occupation (SOC2020)</t>
  </si>
  <si>
    <t>26-Occupation (SOC2020)</t>
  </si>
  <si>
    <t>Aggregation of 9-Qualifications to 6-Qualification groups</t>
  </si>
  <si>
    <t>6-Qualification groups (RQF)</t>
  </si>
  <si>
    <t>6-Qualifications (RQF)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</si>
</sst>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"/>
    <numFmt numFmtId="166" formatCode="0.00000"/>
    <numFmt numFmtId="167" formatCode="#,##0.0"/>
    <numFmt numFmtId="168" formatCode="0.0%"/>
    <numFmt numFmtId="169" formatCode="_-* #,##0_-;\-* #,##0_-;_-* &quot;-&quot;??_-;_-@_-"/>
    <numFmt numFmtId="170" formatCode="_-* #,##0.00000_-;\-* #,##0.00000_-;_-* &quot;-&quot;??_-;_-@_-"/>
    <numFmt numFmtId="171" formatCode="0.000000"/>
  </numFmts>
  <fonts count="35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164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3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0" fontId="5" fillId="0" borderId="11" xfId="0" applyFont="1" applyBorder="1"/>
    <xf numFmtId="0" fontId="10" fillId="0" borderId="0" xfId="0" applyFont="1"/>
    <xf numFmtId="3" fontId="10" fillId="0" borderId="0" xfId="0" applyNumberFormat="1" applyFont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165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5" fontId="0" fillId="0" borderId="10" xfId="0" applyNumberFormat="1" applyBorder="1"/>
    <xf numFmtId="165" fontId="10" fillId="0" borderId="0" xfId="0" applyNumberFormat="1" applyFont="1"/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7" fontId="0" fillId="0" borderId="10" xfId="0" applyNumberFormat="1" applyBorder="1"/>
    <xf numFmtId="167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8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5" fontId="3" fillId="0" borderId="0" xfId="4" applyNumberFormat="1"/>
    <xf numFmtId="165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5" fontId="15" fillId="0" borderId="0" xfId="5" applyNumberFormat="1"/>
    <xf numFmtId="165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5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0" fontId="15" fillId="0" borderId="0" xfId="5" applyAlignment="1">
      <alignment vertical="top" wrapText="1"/>
    </xf>
    <xf numFmtId="170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8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5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5" fillId="0" borderId="11" xfId="0" applyNumberFormat="1" applyFont="1" applyBorder="1"/>
    <xf numFmtId="168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3" fillId="0" borderId="0" xfId="16" applyNumberFormat="1" applyFont="1" applyAlignment="1">
      <alignment horizontal="right"/>
    </xf>
    <xf numFmtId="165" fontId="3" fillId="0" borderId="10" xfId="16" applyNumberFormat="1" applyFont="1" applyBorder="1" applyAlignment="1">
      <alignment horizontal="right"/>
    </xf>
    <xf numFmtId="167" fontId="3" fillId="0" borderId="0" xfId="3" applyNumberFormat="1" applyFont="1"/>
    <xf numFmtId="167" fontId="3" fillId="0" borderId="0" xfId="15" applyNumberFormat="1" applyFont="1"/>
    <xf numFmtId="167" fontId="3" fillId="0" borderId="0" xfId="4" applyNumberFormat="1"/>
    <xf numFmtId="167" fontId="3" fillId="0" borderId="10" xfId="4" applyNumberFormat="1" applyBorder="1"/>
    <xf numFmtId="167" fontId="3" fillId="0" borderId="10" xfId="15" applyNumberFormat="1" applyFont="1" applyBorder="1"/>
    <xf numFmtId="166" fontId="3" fillId="0" borderId="0" xfId="15" applyNumberFormat="1" applyFont="1"/>
    <xf numFmtId="171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5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5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8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8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9" fontId="0" fillId="0" borderId="10" xfId="1" applyNumberFormat="1" applyFont="1" applyBorder="1" applyAlignment="1"/>
    <xf numFmtId="169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22" fontId="0" fillId="0" borderId="0" xfId="0" applyNumberFormat="1"/>
    <xf numFmtId="165" fontId="3" fillId="0" borderId="0" xfId="3" applyNumberFormat="1" applyFont="1"/>
    <xf numFmtId="165" fontId="3" fillId="0" borderId="10" xfId="3" applyNumberFormat="1" applyFont="1" applyBorder="1"/>
    <xf numFmtId="3" fontId="3" fillId="0" borderId="10" xfId="3" applyNumberFormat="1" applyFont="1" applyBorder="1"/>
    <xf numFmtId="3" fontId="3" fillId="0" borderId="0" xfId="0" applyNumberFormat="1" applyFont="1"/>
    <xf numFmtId="0" fontId="3" fillId="0" borderId="10" xfId="0" applyFont="1" applyBorder="1"/>
    <xf numFmtId="3" fontId="3" fillId="0" borderId="10" xfId="0" applyNumberFormat="1" applyFont="1" applyBorder="1"/>
    <xf numFmtId="0" fontId="3" fillId="0" borderId="0" xfId="0" applyFont="1" applyAlignment="1">
      <alignment horizontal="left"/>
    </xf>
    <xf numFmtId="165" fontId="3" fillId="0" borderId="11" xfId="3" applyNumberFormat="1" applyFont="1" applyBorder="1"/>
    <xf numFmtId="2" fontId="3" fillId="0" borderId="0" xfId="3" applyNumberFormat="1" applyFont="1"/>
    <xf numFmtId="167" fontId="3" fillId="0" borderId="10" xfId="3" applyNumberFormat="1" applyFont="1" applyBorder="1"/>
    <xf numFmtId="165" fontId="3" fillId="0" borderId="0" xfId="0" applyNumberFormat="1" applyFont="1"/>
    <xf numFmtId="165" fontId="3" fillId="0" borderId="10" xfId="0" applyNumberFormat="1" applyFont="1" applyBorder="1"/>
    <xf numFmtId="0" fontId="3" fillId="0" borderId="11" xfId="0" applyFont="1" applyBorder="1"/>
    <xf numFmtId="167" fontId="3" fillId="0" borderId="0" xfId="1" applyNumberFormat="1" applyFont="1" applyBorder="1"/>
    <xf numFmtId="167" fontId="3" fillId="0" borderId="0" xfId="1" applyNumberFormat="1" applyFont="1"/>
    <xf numFmtId="167" fontId="3" fillId="0" borderId="0" xfId="0" applyNumberFormat="1" applyFont="1"/>
    <xf numFmtId="167" fontId="3" fillId="0" borderId="10" xfId="1" applyNumberFormat="1" applyFont="1" applyBorder="1"/>
    <xf numFmtId="167" fontId="3" fillId="0" borderId="10" xfId="0" applyNumberFormat="1" applyFont="1" applyBorder="1"/>
    <xf numFmtId="0" fontId="3" fillId="0" borderId="11" xfId="0" applyFont="1" applyBorder="1" applyAlignment="1">
      <alignment horizontal="center"/>
    </xf>
    <xf numFmtId="169" fontId="1" fillId="0" borderId="0" xfId="1" applyNumberFormat="1" applyFont="1" applyFill="1" applyBorder="1"/>
    <xf numFmtId="169" fontId="1" fillId="0" borderId="0" xfId="1" applyNumberFormat="1" applyFont="1" applyFill="1"/>
    <xf numFmtId="169" fontId="1" fillId="0" borderId="0" xfId="1" applyNumberFormat="1" applyFont="1"/>
    <xf numFmtId="169" fontId="1" fillId="0" borderId="10" xfId="1" applyNumberFormat="1" applyFont="1" applyFill="1" applyBorder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3" fillId="0" borderId="11" xfId="0" applyFont="1" applyBorder="1" applyAlignment="1">
      <alignment horizontal="center" wrapText="1"/>
    </xf>
    <xf numFmtId="1" fontId="3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 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0.82619957207434869</c:v>
                </c:pt>
                <c:pt idx="2">
                  <c:v>0.99841008281351673</c:v>
                </c:pt>
                <c:pt idx="3">
                  <c:v>3.5301081958238889E-2</c:v>
                </c:pt>
                <c:pt idx="4">
                  <c:v>1.0388823568234118</c:v>
                </c:pt>
                <c:pt idx="5">
                  <c:v>0.6634612852280064</c:v>
                </c:pt>
                <c:pt idx="7">
                  <c:v>0.49498804030321253</c:v>
                </c:pt>
                <c:pt idx="8">
                  <c:v>0.68578943588668562</c:v>
                </c:pt>
                <c:pt idx="9">
                  <c:v>-0.1367257693040691</c:v>
                </c:pt>
                <c:pt idx="10">
                  <c:v>1.4832503936236474</c:v>
                </c:pt>
                <c:pt idx="11">
                  <c:v>2.5257358893955528</c:v>
                </c:pt>
                <c:pt idx="12">
                  <c:v>0.62634354624477862</c:v>
                </c:pt>
                <c:pt idx="13">
                  <c:v>1.3563142447179377</c:v>
                </c:pt>
                <c:pt idx="14">
                  <c:v>0.52053197283590258</c:v>
                </c:pt>
                <c:pt idx="15">
                  <c:v>0.83299606432851725</c:v>
                </c:pt>
                <c:pt idx="17">
                  <c:v>1.5713701741672637</c:v>
                </c:pt>
                <c:pt idx="18">
                  <c:v>2.4897454361838767</c:v>
                </c:pt>
                <c:pt idx="19">
                  <c:v>8.2917327349796288E-2</c:v>
                </c:pt>
                <c:pt idx="20">
                  <c:v>0.92222477880190556</c:v>
                </c:pt>
                <c:pt idx="22">
                  <c:v>2.1234584778490717</c:v>
                </c:pt>
                <c:pt idx="24">
                  <c:v>-0.1196134386245884</c:v>
                </c:pt>
                <c:pt idx="25">
                  <c:v>-0.51864643088121998</c:v>
                </c:pt>
                <c:pt idx="26">
                  <c:v>1.6213182094422018</c:v>
                </c:pt>
                <c:pt idx="27">
                  <c:v>9.7804441517013174E-2</c:v>
                </c:pt>
                <c:pt idx="29">
                  <c:v>0.99169869949204958</c:v>
                </c:pt>
                <c:pt idx="30">
                  <c:v>3.7465694631855007</c:v>
                </c:pt>
                <c:pt idx="31">
                  <c:v>-4.2157603060086535</c:v>
                </c:pt>
                <c:pt idx="32">
                  <c:v>-1.8136034085011188</c:v>
                </c:pt>
                <c:pt idx="33">
                  <c:v>-2.3498241757269334E-2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0.47723343115717576</c:v>
                </c:pt>
                <c:pt idx="2">
                  <c:v>0.8469895975561359</c:v>
                </c:pt>
                <c:pt idx="3">
                  <c:v>0.26227504797926571</c:v>
                </c:pt>
                <c:pt idx="4">
                  <c:v>0.30442578158296207</c:v>
                </c:pt>
                <c:pt idx="5">
                  <c:v>0.56712980146322867</c:v>
                </c:pt>
                <c:pt idx="7">
                  <c:v>-1.7441336366053051E-3</c:v>
                </c:pt>
                <c:pt idx="8">
                  <c:v>0.68216606570450367</c:v>
                </c:pt>
                <c:pt idx="9">
                  <c:v>0.83342781413744405</c:v>
                </c:pt>
                <c:pt idx="10">
                  <c:v>0.75154407975916993</c:v>
                </c:pt>
                <c:pt idx="11">
                  <c:v>0.36479081293476767</c:v>
                </c:pt>
                <c:pt idx="12">
                  <c:v>-0.15680833862264931</c:v>
                </c:pt>
                <c:pt idx="13">
                  <c:v>0.99807042342914265</c:v>
                </c:pt>
                <c:pt idx="14">
                  <c:v>0.15606589056480491</c:v>
                </c:pt>
                <c:pt idx="15">
                  <c:v>0.60031664774355953</c:v>
                </c:pt>
                <c:pt idx="17">
                  <c:v>1.2174819602314813</c:v>
                </c:pt>
                <c:pt idx="18">
                  <c:v>0.55958773798108208</c:v>
                </c:pt>
                <c:pt idx="19">
                  <c:v>0.10693761109610289</c:v>
                </c:pt>
                <c:pt idx="20">
                  <c:v>0.50021003051778923</c:v>
                </c:pt>
                <c:pt idx="22">
                  <c:v>0.7947224746771564</c:v>
                </c:pt>
                <c:pt idx="24">
                  <c:v>-0.99524754165890572</c:v>
                </c:pt>
                <c:pt idx="25">
                  <c:v>-0.70483169270012525</c:v>
                </c:pt>
                <c:pt idx="26">
                  <c:v>-9.530369539735295E-2</c:v>
                </c:pt>
                <c:pt idx="27">
                  <c:v>-0.79519796718666713</c:v>
                </c:pt>
                <c:pt idx="29">
                  <c:v>0.83615818439963796</c:v>
                </c:pt>
                <c:pt idx="30">
                  <c:v>-0.30028462788562749</c:v>
                </c:pt>
                <c:pt idx="31">
                  <c:v>-3.3506240374576501</c:v>
                </c:pt>
                <c:pt idx="32">
                  <c:v>0.2582529080175755</c:v>
                </c:pt>
                <c:pt idx="33">
                  <c:v>0.20432106620318358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286.70399999839151</c:v>
                </c:pt>
                <c:pt idx="1">
                  <c:v>284.09400000045702</c:v>
                </c:pt>
                <c:pt idx="2">
                  <c:v>299.12999999941445</c:v>
                </c:pt>
                <c:pt idx="3">
                  <c:v>254.50799999888875</c:v>
                </c:pt>
                <c:pt idx="4">
                  <c:v>301.21199999913404</c:v>
                </c:pt>
                <c:pt idx="5">
                  <c:v>262.66400000087748</c:v>
                </c:pt>
                <c:pt idx="6">
                  <c:v>255.64999999879652</c:v>
                </c:pt>
                <c:pt idx="7">
                  <c:v>261.23800000146286</c:v>
                </c:pt>
                <c:pt idx="8">
                  <c:v>275.73600000205238</c:v>
                </c:pt>
                <c:pt idx="9">
                  <c:v>270.40100000186811</c:v>
                </c:pt>
                <c:pt idx="10">
                  <c:v>239.69399999867431</c:v>
                </c:pt>
                <c:pt idx="11">
                  <c:v>241.42999999902113</c:v>
                </c:pt>
                <c:pt idx="12">
                  <c:v>243.09199999940782</c:v>
                </c:pt>
                <c:pt idx="13">
                  <c:v>245.35799999882255</c:v>
                </c:pt>
                <c:pt idx="14">
                  <c:v>246.86999999902062</c:v>
                </c:pt>
                <c:pt idx="15">
                  <c:v>246.89799999842333</c:v>
                </c:pt>
                <c:pt idx="16">
                  <c:v>247.11899999848387</c:v>
                </c:pt>
                <c:pt idx="17">
                  <c:v>247.29799999777569</c:v>
                </c:pt>
                <c:pt idx="18">
                  <c:v>247.40299999794564</c:v>
                </c:pt>
                <c:pt idx="19">
                  <c:v>247.49199999830671</c:v>
                </c:pt>
                <c:pt idx="20">
                  <c:v>247.8289999976071</c:v>
                </c:pt>
                <c:pt idx="21">
                  <c:v>248.14099999809076</c:v>
                </c:pt>
                <c:pt idx="22">
                  <c:v>248.43099999804389</c:v>
                </c:pt>
                <c:pt idx="23">
                  <c:v>248.69599999807892</c:v>
                </c:pt>
                <c:pt idx="24" formatCode="#,##0.00">
                  <c:v>248.92499999753591</c:v>
                </c:pt>
                <c:pt idx="25">
                  <c:v>249.14899999814918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26.950000000087382</c:v>
                </c:pt>
                <c:pt idx="1">
                  <c:v>28.058999999963298</c:v>
                </c:pt>
                <c:pt idx="2">
                  <c:v>37.004999999853375</c:v>
                </c:pt>
                <c:pt idx="3">
                  <c:v>30.044999999842194</c:v>
                </c:pt>
                <c:pt idx="4">
                  <c:v>24.059999999907763</c:v>
                </c:pt>
                <c:pt idx="5">
                  <c:v>30.394999999857788</c:v>
                </c:pt>
                <c:pt idx="6">
                  <c:v>25.559999999920787</c:v>
                </c:pt>
                <c:pt idx="7">
                  <c:v>21.857000000057113</c:v>
                </c:pt>
                <c:pt idx="8">
                  <c:v>26.380000000058949</c:v>
                </c:pt>
                <c:pt idx="9">
                  <c:v>23.97399999997727</c:v>
                </c:pt>
                <c:pt idx="10">
                  <c:v>24.505999999997162</c:v>
                </c:pt>
                <c:pt idx="11">
                  <c:v>23.251000000001365</c:v>
                </c:pt>
                <c:pt idx="12">
                  <c:v>22.767000000055361</c:v>
                </c:pt>
                <c:pt idx="13">
                  <c:v>21.690000000061517</c:v>
                </c:pt>
                <c:pt idx="14">
                  <c:v>20.606000000093264</c:v>
                </c:pt>
                <c:pt idx="15">
                  <c:v>19.748000000056614</c:v>
                </c:pt>
                <c:pt idx="16">
                  <c:v>19.074000000062579</c:v>
                </c:pt>
                <c:pt idx="17">
                  <c:v>18.412000000051442</c:v>
                </c:pt>
                <c:pt idx="18">
                  <c:v>17.822000000051585</c:v>
                </c:pt>
                <c:pt idx="19">
                  <c:v>17.282000000081091</c:v>
                </c:pt>
                <c:pt idx="20">
                  <c:v>16.814000000053962</c:v>
                </c:pt>
                <c:pt idx="21">
                  <c:v>16.308000000052456</c:v>
                </c:pt>
                <c:pt idx="22">
                  <c:v>15.853000000064167</c:v>
                </c:pt>
                <c:pt idx="23">
                  <c:v>15.429000000047319</c:v>
                </c:pt>
                <c:pt idx="24" formatCode="#,##0.00">
                  <c:v>15.046000000045982</c:v>
                </c:pt>
                <c:pt idx="25">
                  <c:v>14.698000000068012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103.08400000010815</c:v>
                </c:pt>
                <c:pt idx="1">
                  <c:v>90.741999999640271</c:v>
                </c:pt>
                <c:pt idx="2">
                  <c:v>96.360999999529469</c:v>
                </c:pt>
                <c:pt idx="3">
                  <c:v>97.576999999774685</c:v>
                </c:pt>
                <c:pt idx="4">
                  <c:v>86.457999999785187</c:v>
                </c:pt>
                <c:pt idx="5">
                  <c:v>98.785999999564481</c:v>
                </c:pt>
                <c:pt idx="6">
                  <c:v>108.59199999950371</c:v>
                </c:pt>
                <c:pt idx="7">
                  <c:v>115.72599999997598</c:v>
                </c:pt>
                <c:pt idx="8">
                  <c:v>122.19699999991163</c:v>
                </c:pt>
                <c:pt idx="9">
                  <c:v>119.00299999947048</c:v>
                </c:pt>
                <c:pt idx="10">
                  <c:v>118.73099999947034</c:v>
                </c:pt>
                <c:pt idx="11">
                  <c:v>117.33100000010994</c:v>
                </c:pt>
                <c:pt idx="12">
                  <c:v>115.17100000055676</c:v>
                </c:pt>
                <c:pt idx="13">
                  <c:v>114.60300000063367</c:v>
                </c:pt>
                <c:pt idx="14">
                  <c:v>114.42200000051714</c:v>
                </c:pt>
                <c:pt idx="15">
                  <c:v>114.24900000075205</c:v>
                </c:pt>
                <c:pt idx="16">
                  <c:v>114.03400000059546</c:v>
                </c:pt>
                <c:pt idx="17">
                  <c:v>113.88900000052216</c:v>
                </c:pt>
                <c:pt idx="18">
                  <c:v>113.72200000031111</c:v>
                </c:pt>
                <c:pt idx="19">
                  <c:v>113.60900000017622</c:v>
                </c:pt>
                <c:pt idx="20">
                  <c:v>113.55400000031247</c:v>
                </c:pt>
                <c:pt idx="21">
                  <c:v>113.51800000017963</c:v>
                </c:pt>
                <c:pt idx="22">
                  <c:v>113.49400000054359</c:v>
                </c:pt>
                <c:pt idx="23">
                  <c:v>113.48600000029936</c:v>
                </c:pt>
                <c:pt idx="24" formatCode="#,##0.00">
                  <c:v>113.48500000032499</c:v>
                </c:pt>
                <c:pt idx="25">
                  <c:v>113.49400000051151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148.38000000022421</c:v>
                </c:pt>
                <c:pt idx="1">
                  <c:v>157.25899999945906</c:v>
                </c:pt>
                <c:pt idx="2">
                  <c:v>158.23199999973539</c:v>
                </c:pt>
                <c:pt idx="3">
                  <c:v>155.05899999931822</c:v>
                </c:pt>
                <c:pt idx="4">
                  <c:v>164.19199999936515</c:v>
                </c:pt>
                <c:pt idx="5">
                  <c:v>163.35100000011209</c:v>
                </c:pt>
                <c:pt idx="6">
                  <c:v>163.9229999998195</c:v>
                </c:pt>
                <c:pt idx="7">
                  <c:v>178.68500000068755</c:v>
                </c:pt>
                <c:pt idx="8">
                  <c:v>186.98700000090119</c:v>
                </c:pt>
                <c:pt idx="9">
                  <c:v>185.5790000000874</c:v>
                </c:pt>
                <c:pt idx="10">
                  <c:v>171.61299999982074</c:v>
                </c:pt>
                <c:pt idx="11">
                  <c:v>168.14100000023447</c:v>
                </c:pt>
                <c:pt idx="12">
                  <c:v>167.08500000061136</c:v>
                </c:pt>
                <c:pt idx="13">
                  <c:v>169.42400000088051</c:v>
                </c:pt>
                <c:pt idx="14">
                  <c:v>176.44400000099157</c:v>
                </c:pt>
                <c:pt idx="15">
                  <c:v>180.39100000093342</c:v>
                </c:pt>
                <c:pt idx="16">
                  <c:v>183.2870000011454</c:v>
                </c:pt>
                <c:pt idx="17">
                  <c:v>185.41400000102456</c:v>
                </c:pt>
                <c:pt idx="18">
                  <c:v>187.06600000116148</c:v>
                </c:pt>
                <c:pt idx="19">
                  <c:v>188.40600000138105</c:v>
                </c:pt>
                <c:pt idx="20">
                  <c:v>189.58200000127704</c:v>
                </c:pt>
                <c:pt idx="21">
                  <c:v>190.65800000107743</c:v>
                </c:pt>
                <c:pt idx="22">
                  <c:v>191.66100000101756</c:v>
                </c:pt>
                <c:pt idx="23">
                  <c:v>192.60800000133668</c:v>
                </c:pt>
                <c:pt idx="24" formatCode="#,##0.00">
                  <c:v>193.55200000123475</c:v>
                </c:pt>
                <c:pt idx="25">
                  <c:v>194.44400000142807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331.09099999781671</c:v>
                </c:pt>
                <c:pt idx="1">
                  <c:v>317.62199999875878</c:v>
                </c:pt>
                <c:pt idx="2">
                  <c:v>321.97899999966444</c:v>
                </c:pt>
                <c:pt idx="3">
                  <c:v>329.81699999764129</c:v>
                </c:pt>
                <c:pt idx="4">
                  <c:v>330.73099999844521</c:v>
                </c:pt>
                <c:pt idx="5">
                  <c:v>338.92800000130183</c:v>
                </c:pt>
                <c:pt idx="6">
                  <c:v>361.15799999964122</c:v>
                </c:pt>
                <c:pt idx="7">
                  <c:v>365.47600000279732</c:v>
                </c:pt>
                <c:pt idx="8">
                  <c:v>356.77400000219558</c:v>
                </c:pt>
                <c:pt idx="9">
                  <c:v>366.44100000040521</c:v>
                </c:pt>
                <c:pt idx="10">
                  <c:v>367.30900000022467</c:v>
                </c:pt>
                <c:pt idx="11">
                  <c:v>368.71800000204507</c:v>
                </c:pt>
                <c:pt idx="12">
                  <c:v>370.76500000416479</c:v>
                </c:pt>
                <c:pt idx="13">
                  <c:v>372.89500000449482</c:v>
                </c:pt>
                <c:pt idx="14">
                  <c:v>372.9770000040474</c:v>
                </c:pt>
                <c:pt idx="15">
                  <c:v>371.81200000401651</c:v>
                </c:pt>
                <c:pt idx="16">
                  <c:v>370.96300000442494</c:v>
                </c:pt>
                <c:pt idx="17">
                  <c:v>369.960000004032</c:v>
                </c:pt>
                <c:pt idx="18">
                  <c:v>368.88000000372881</c:v>
                </c:pt>
                <c:pt idx="19">
                  <c:v>367.78100000408074</c:v>
                </c:pt>
                <c:pt idx="20">
                  <c:v>366.8710000040511</c:v>
                </c:pt>
                <c:pt idx="21">
                  <c:v>365.97100000326537</c:v>
                </c:pt>
                <c:pt idx="22">
                  <c:v>365.05900000345025</c:v>
                </c:pt>
                <c:pt idx="23">
                  <c:v>364.10200000425272</c:v>
                </c:pt>
                <c:pt idx="24" formatCode="#,##0.00">
                  <c:v>363.11500000389901</c:v>
                </c:pt>
                <c:pt idx="25">
                  <c:v>362.09300000434644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332.9289999999616</c:v>
                </c:pt>
                <c:pt idx="1">
                  <c:v>360.95499999896219</c:v>
                </c:pt>
                <c:pt idx="2">
                  <c:v>359.70399999893226</c:v>
                </c:pt>
                <c:pt idx="3">
                  <c:v>357.69299999877131</c:v>
                </c:pt>
                <c:pt idx="4">
                  <c:v>326.53999999890885</c:v>
                </c:pt>
                <c:pt idx="5">
                  <c:v>331.15499999898395</c:v>
                </c:pt>
                <c:pt idx="6">
                  <c:v>326.91799999889361</c:v>
                </c:pt>
                <c:pt idx="7">
                  <c:v>344.77700000036958</c:v>
                </c:pt>
                <c:pt idx="8">
                  <c:v>340.03500000037957</c:v>
                </c:pt>
                <c:pt idx="9">
                  <c:v>338.70199999916076</c:v>
                </c:pt>
                <c:pt idx="10">
                  <c:v>322.65599999907658</c:v>
                </c:pt>
                <c:pt idx="11">
                  <c:v>331.84200000002653</c:v>
                </c:pt>
                <c:pt idx="12">
                  <c:v>329.82000000113658</c:v>
                </c:pt>
                <c:pt idx="13">
                  <c:v>330.83900000139681</c:v>
                </c:pt>
                <c:pt idx="14">
                  <c:v>330.50900000148641</c:v>
                </c:pt>
                <c:pt idx="15">
                  <c:v>328.98500000137847</c:v>
                </c:pt>
                <c:pt idx="16">
                  <c:v>324.78600000153887</c:v>
                </c:pt>
                <c:pt idx="17">
                  <c:v>320.59300000133561</c:v>
                </c:pt>
                <c:pt idx="18">
                  <c:v>316.44300000128663</c:v>
                </c:pt>
                <c:pt idx="19">
                  <c:v>312.38900000148885</c:v>
                </c:pt>
                <c:pt idx="20">
                  <c:v>308.75400000134493</c:v>
                </c:pt>
                <c:pt idx="21">
                  <c:v>305.0030000011933</c:v>
                </c:pt>
                <c:pt idx="22">
                  <c:v>301.26600000136546</c:v>
                </c:pt>
                <c:pt idx="23">
                  <c:v>297.55000000149596</c:v>
                </c:pt>
                <c:pt idx="24" formatCode="#,##0.00">
                  <c:v>293.84600000139335</c:v>
                </c:pt>
                <c:pt idx="25">
                  <c:v>290.17600000162179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1502.638999998725</c:v>
                </c:pt>
                <c:pt idx="1">
                  <c:v>1471.2839999963792</c:v>
                </c:pt>
                <c:pt idx="2">
                  <c:v>1499.7259999963849</c:v>
                </c:pt>
                <c:pt idx="3">
                  <c:v>1447.9449999920885</c:v>
                </c:pt>
                <c:pt idx="4">
                  <c:v>1521.3019999943765</c:v>
                </c:pt>
                <c:pt idx="5">
                  <c:v>1527.5589999988135</c:v>
                </c:pt>
                <c:pt idx="6">
                  <c:v>1526.8099999956894</c:v>
                </c:pt>
                <c:pt idx="7">
                  <c:v>1538.0870000057755</c:v>
                </c:pt>
                <c:pt idx="8">
                  <c:v>1588.7570000054177</c:v>
                </c:pt>
                <c:pt idx="9">
                  <c:v>1549.3069999972586</c:v>
                </c:pt>
                <c:pt idx="10">
                  <c:v>1518.4449999968963</c:v>
                </c:pt>
                <c:pt idx="11">
                  <c:v>1506.5289999996526</c:v>
                </c:pt>
                <c:pt idx="12">
                  <c:v>1486.0060000050671</c:v>
                </c:pt>
                <c:pt idx="13">
                  <c:v>1463.4850000062254</c:v>
                </c:pt>
                <c:pt idx="14">
                  <c:v>1448.1480000067472</c:v>
                </c:pt>
                <c:pt idx="15">
                  <c:v>1429.9260000058432</c:v>
                </c:pt>
                <c:pt idx="16">
                  <c:v>1415.6160000069563</c:v>
                </c:pt>
                <c:pt idx="17">
                  <c:v>1401.0880000059763</c:v>
                </c:pt>
                <c:pt idx="18">
                  <c:v>1387.2590000057403</c:v>
                </c:pt>
                <c:pt idx="19">
                  <c:v>1374.0360000071696</c:v>
                </c:pt>
                <c:pt idx="20">
                  <c:v>1362.3600000059002</c:v>
                </c:pt>
                <c:pt idx="21">
                  <c:v>1350.2020000046343</c:v>
                </c:pt>
                <c:pt idx="22">
                  <c:v>1338.5380000054054</c:v>
                </c:pt>
                <c:pt idx="23">
                  <c:v>1327.3840000067139</c:v>
                </c:pt>
                <c:pt idx="24" formatCode="#,##0.00">
                  <c:v>1316.7270000063368</c:v>
                </c:pt>
                <c:pt idx="25">
                  <c:v>1306.892000007635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1762.2880000026482</c:v>
                </c:pt>
                <c:pt idx="1">
                  <c:v>1726.0349999872142</c:v>
                </c:pt>
                <c:pt idx="2">
                  <c:v>1744.3209999920221</c:v>
                </c:pt>
                <c:pt idx="3">
                  <c:v>1730.5579999859331</c:v>
                </c:pt>
                <c:pt idx="4">
                  <c:v>1777.1559999742817</c:v>
                </c:pt>
                <c:pt idx="5">
                  <c:v>1800.3539999823467</c:v>
                </c:pt>
                <c:pt idx="6">
                  <c:v>1907.1309999771033</c:v>
                </c:pt>
                <c:pt idx="7">
                  <c:v>1989.7140000048066</c:v>
                </c:pt>
                <c:pt idx="8">
                  <c:v>1943.0150000180868</c:v>
                </c:pt>
                <c:pt idx="9">
                  <c:v>1996.7570000194819</c:v>
                </c:pt>
                <c:pt idx="10">
                  <c:v>1999.7949999724015</c:v>
                </c:pt>
                <c:pt idx="11">
                  <c:v>1977.5929999611044</c:v>
                </c:pt>
                <c:pt idx="12">
                  <c:v>1998.3539999299423</c:v>
                </c:pt>
                <c:pt idx="13">
                  <c:v>2043.6099999239827</c:v>
                </c:pt>
                <c:pt idx="14">
                  <c:v>2079.9439999357414</c:v>
                </c:pt>
                <c:pt idx="15">
                  <c:v>2097.950999922838</c:v>
                </c:pt>
                <c:pt idx="16">
                  <c:v>2113.9159999326394</c:v>
                </c:pt>
                <c:pt idx="17">
                  <c:v>2125.5439999193004</c:v>
                </c:pt>
                <c:pt idx="18">
                  <c:v>2139.4879999278037</c:v>
                </c:pt>
                <c:pt idx="19">
                  <c:v>2152.4319999328632</c:v>
                </c:pt>
                <c:pt idx="20">
                  <c:v>2167.8709999171642</c:v>
                </c:pt>
                <c:pt idx="21">
                  <c:v>2183.7949999358771</c:v>
                </c:pt>
                <c:pt idx="22">
                  <c:v>2200.279999919785</c:v>
                </c:pt>
                <c:pt idx="23">
                  <c:v>2217.1909999373529</c:v>
                </c:pt>
                <c:pt idx="24" formatCode="#,##0.00">
                  <c:v>2234.4209999224604</c:v>
                </c:pt>
                <c:pt idx="25">
                  <c:v>2251.9169999326928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4056.4729999577899</c:v>
                </c:pt>
                <c:pt idx="1">
                  <c:v>4051.8789999736837</c:v>
                </c:pt>
                <c:pt idx="2">
                  <c:v>4135.1129999770637</c:v>
                </c:pt>
                <c:pt idx="3">
                  <c:v>4081.9199999776724</c:v>
                </c:pt>
                <c:pt idx="4">
                  <c:v>4177.7060000465817</c:v>
                </c:pt>
                <c:pt idx="5">
                  <c:v>4242.0110000769027</c:v>
                </c:pt>
                <c:pt idx="6">
                  <c:v>4268.6350000533703</c:v>
                </c:pt>
                <c:pt idx="7">
                  <c:v>4278.0670000790806</c:v>
                </c:pt>
                <c:pt idx="8">
                  <c:v>4258.8760000667662</c:v>
                </c:pt>
                <c:pt idx="9">
                  <c:v>4291.2060000558404</c:v>
                </c:pt>
                <c:pt idx="10">
                  <c:v>4259.6270000323857</c:v>
                </c:pt>
                <c:pt idx="11">
                  <c:v>4268.1080000760066</c:v>
                </c:pt>
                <c:pt idx="12">
                  <c:v>4268.5780001194744</c:v>
                </c:pt>
                <c:pt idx="13">
                  <c:v>4269.7260001131899</c:v>
                </c:pt>
                <c:pt idx="14">
                  <c:v>4275.5870000994582</c:v>
                </c:pt>
                <c:pt idx="15">
                  <c:v>4283.6300000959154</c:v>
                </c:pt>
                <c:pt idx="16">
                  <c:v>4288.0950000920193</c:v>
                </c:pt>
                <c:pt idx="17">
                  <c:v>4291.5660001008091</c:v>
                </c:pt>
                <c:pt idx="18">
                  <c:v>4294.6100000887782</c:v>
                </c:pt>
                <c:pt idx="19">
                  <c:v>4297.5450000850733</c:v>
                </c:pt>
                <c:pt idx="20">
                  <c:v>4301.370000087375</c:v>
                </c:pt>
                <c:pt idx="21">
                  <c:v>4305.7260000772794</c:v>
                </c:pt>
                <c:pt idx="22">
                  <c:v>4310.1310000742842</c:v>
                </c:pt>
                <c:pt idx="23">
                  <c:v>4316.3810000846424</c:v>
                </c:pt>
                <c:pt idx="24" formatCode="#,##0.00">
                  <c:v>4322.396000075044</c:v>
                </c:pt>
                <c:pt idx="25">
                  <c:v>4328.4680000838716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1266.9569999878679</c:v>
                </c:pt>
                <c:pt idx="1">
                  <c:v>1291.5059999851399</c:v>
                </c:pt>
                <c:pt idx="2">
                  <c:v>1318.1829999883505</c:v>
                </c:pt>
                <c:pt idx="3">
                  <c:v>1299.6519999935135</c:v>
                </c:pt>
                <c:pt idx="4">
                  <c:v>1308.7759999885013</c:v>
                </c:pt>
                <c:pt idx="5">
                  <c:v>1399.6460000121263</c:v>
                </c:pt>
                <c:pt idx="6">
                  <c:v>1504.251000007775</c:v>
                </c:pt>
                <c:pt idx="7">
                  <c:v>1520.203999998721</c:v>
                </c:pt>
                <c:pt idx="8">
                  <c:v>1517.6000000032971</c:v>
                </c:pt>
                <c:pt idx="9">
                  <c:v>1594.7559999919515</c:v>
                </c:pt>
                <c:pt idx="10">
                  <c:v>1582.7790000029756</c:v>
                </c:pt>
                <c:pt idx="11">
                  <c:v>1654.5580000172224</c:v>
                </c:pt>
                <c:pt idx="12">
                  <c:v>1662.7180000275932</c:v>
                </c:pt>
                <c:pt idx="13">
                  <c:v>1671.4440000356199</c:v>
                </c:pt>
                <c:pt idx="14">
                  <c:v>1681.8330000277078</c:v>
                </c:pt>
                <c:pt idx="15">
                  <c:v>1687.9900000310874</c:v>
                </c:pt>
                <c:pt idx="16">
                  <c:v>1691.7200000335245</c:v>
                </c:pt>
                <c:pt idx="17">
                  <c:v>1695.2090000340261</c:v>
                </c:pt>
                <c:pt idx="18">
                  <c:v>1698.5010000337907</c:v>
                </c:pt>
                <c:pt idx="19">
                  <c:v>1701.8430000343008</c:v>
                </c:pt>
                <c:pt idx="20">
                  <c:v>1705.5800000395025</c:v>
                </c:pt>
                <c:pt idx="21">
                  <c:v>1708.8670000279903</c:v>
                </c:pt>
                <c:pt idx="22">
                  <c:v>1712.060000028715</c:v>
                </c:pt>
                <c:pt idx="23">
                  <c:v>1715.1210000335682</c:v>
                </c:pt>
                <c:pt idx="24" formatCode="#,##0.00">
                  <c:v>1718.0440000331059</c:v>
                </c:pt>
                <c:pt idx="25">
                  <c:v>1720.9670000344063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1624.9979999896614</c:v>
                </c:pt>
                <c:pt idx="1">
                  <c:v>1680.427999992904</c:v>
                </c:pt>
                <c:pt idx="2">
                  <c:v>1724.5850000026428</c:v>
                </c:pt>
                <c:pt idx="3">
                  <c:v>1758.475000002725</c:v>
                </c:pt>
                <c:pt idx="4">
                  <c:v>1868.5960000132134</c:v>
                </c:pt>
                <c:pt idx="5">
                  <c:v>1883.3990000314909</c:v>
                </c:pt>
                <c:pt idx="6">
                  <c:v>1972.4480000231767</c:v>
                </c:pt>
                <c:pt idx="7">
                  <c:v>2025.7860000317025</c:v>
                </c:pt>
                <c:pt idx="8">
                  <c:v>2079.3970000307199</c:v>
                </c:pt>
                <c:pt idx="9">
                  <c:v>2121.9480000300359</c:v>
                </c:pt>
                <c:pt idx="10">
                  <c:v>2036.0990000085039</c:v>
                </c:pt>
                <c:pt idx="11">
                  <c:v>1939.2340000316869</c:v>
                </c:pt>
                <c:pt idx="12">
                  <c:v>1980.368000049767</c:v>
                </c:pt>
                <c:pt idx="13">
                  <c:v>2035.3550000496414</c:v>
                </c:pt>
                <c:pt idx="14">
                  <c:v>2089.9870000425926</c:v>
                </c:pt>
                <c:pt idx="15">
                  <c:v>2133.4810000453544</c:v>
                </c:pt>
                <c:pt idx="16">
                  <c:v>2171.274000042124</c:v>
                </c:pt>
                <c:pt idx="17">
                  <c:v>2205.788000047753</c:v>
                </c:pt>
                <c:pt idx="18">
                  <c:v>2238.4670000429592</c:v>
                </c:pt>
                <c:pt idx="19">
                  <c:v>2269.8500000410463</c:v>
                </c:pt>
                <c:pt idx="20">
                  <c:v>2300.7390000471078</c:v>
                </c:pt>
                <c:pt idx="21">
                  <c:v>2330.695000042926</c:v>
                </c:pt>
                <c:pt idx="22">
                  <c:v>2359.8180000433704</c:v>
                </c:pt>
                <c:pt idx="23">
                  <c:v>2387.9530000489867</c:v>
                </c:pt>
                <c:pt idx="24" formatCode="#,##0.00">
                  <c:v>2415.0830000460905</c:v>
                </c:pt>
                <c:pt idx="25">
                  <c:v>2441.3600000506367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297.47599999896369</c:v>
                </c:pt>
                <c:pt idx="1">
                  <c:v>323.32300000137036</c:v>
                </c:pt>
                <c:pt idx="2">
                  <c:v>344.8549999985554</c:v>
                </c:pt>
                <c:pt idx="3">
                  <c:v>314.64499999820225</c:v>
                </c:pt>
                <c:pt idx="4">
                  <c:v>347.28600000039063</c:v>
                </c:pt>
                <c:pt idx="5">
                  <c:v>339.44299999972964</c:v>
                </c:pt>
                <c:pt idx="6">
                  <c:v>329.19299999896765</c:v>
                </c:pt>
                <c:pt idx="7">
                  <c:v>355.05599999933003</c:v>
                </c:pt>
                <c:pt idx="8">
                  <c:v>342.37499999939416</c:v>
                </c:pt>
                <c:pt idx="9">
                  <c:v>345.15599999886933</c:v>
                </c:pt>
                <c:pt idx="10">
                  <c:v>348.37000000083754</c:v>
                </c:pt>
                <c:pt idx="11">
                  <c:v>349.33500000094017</c:v>
                </c:pt>
                <c:pt idx="12">
                  <c:v>350.37200000511524</c:v>
                </c:pt>
                <c:pt idx="13">
                  <c:v>351.28300000533096</c:v>
                </c:pt>
                <c:pt idx="14">
                  <c:v>352.29600000570389</c:v>
                </c:pt>
                <c:pt idx="15">
                  <c:v>352.73400000566454</c:v>
                </c:pt>
                <c:pt idx="16">
                  <c:v>353.15900000577864</c:v>
                </c:pt>
                <c:pt idx="17">
                  <c:v>353.53900000607388</c:v>
                </c:pt>
                <c:pt idx="18">
                  <c:v>353.93200000557499</c:v>
                </c:pt>
                <c:pt idx="19">
                  <c:v>354.28300000606862</c:v>
                </c:pt>
                <c:pt idx="20">
                  <c:v>354.60800000611624</c:v>
                </c:pt>
                <c:pt idx="21">
                  <c:v>354.9410000054682</c:v>
                </c:pt>
                <c:pt idx="22">
                  <c:v>355.31100000650576</c:v>
                </c:pt>
                <c:pt idx="23">
                  <c:v>355.70800000561087</c:v>
                </c:pt>
                <c:pt idx="24" formatCode="#,##0.00">
                  <c:v>356.15100000657691</c:v>
                </c:pt>
                <c:pt idx="25">
                  <c:v>356.61500000597562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760.80999999950143</c:v>
                </c:pt>
                <c:pt idx="1">
                  <c:v>793.28199999912647</c:v>
                </c:pt>
                <c:pt idx="2">
                  <c:v>759.54099999646849</c:v>
                </c:pt>
                <c:pt idx="3">
                  <c:v>839.66399999475357</c:v>
                </c:pt>
                <c:pt idx="4">
                  <c:v>884.56800000016915</c:v>
                </c:pt>
                <c:pt idx="5">
                  <c:v>935.88699998858363</c:v>
                </c:pt>
                <c:pt idx="6">
                  <c:v>968.17699999131958</c:v>
                </c:pt>
                <c:pt idx="7">
                  <c:v>1004.0979999941973</c:v>
                </c:pt>
                <c:pt idx="8">
                  <c:v>1000.2089999904343</c:v>
                </c:pt>
                <c:pt idx="9">
                  <c:v>995.06599998853699</c:v>
                </c:pt>
                <c:pt idx="10">
                  <c:v>1001.099999995374</c:v>
                </c:pt>
                <c:pt idx="11">
                  <c:v>1024.0999999983039</c:v>
                </c:pt>
                <c:pt idx="12">
                  <c:v>1032.6090000038494</c:v>
                </c:pt>
                <c:pt idx="13">
                  <c:v>1050.4780000036353</c:v>
                </c:pt>
                <c:pt idx="14">
                  <c:v>1064.3580000052114</c:v>
                </c:pt>
                <c:pt idx="15">
                  <c:v>1075.7490000069686</c:v>
                </c:pt>
                <c:pt idx="16">
                  <c:v>1086.2860000050784</c:v>
                </c:pt>
                <c:pt idx="17">
                  <c:v>1095.3710000065507</c:v>
                </c:pt>
                <c:pt idx="18">
                  <c:v>1103.9430000036905</c:v>
                </c:pt>
                <c:pt idx="19">
                  <c:v>1112.4430000038133</c:v>
                </c:pt>
                <c:pt idx="20">
                  <c:v>1121.4120000042738</c:v>
                </c:pt>
                <c:pt idx="21">
                  <c:v>1130.1960000044385</c:v>
                </c:pt>
                <c:pt idx="22">
                  <c:v>1138.7620000107261</c:v>
                </c:pt>
                <c:pt idx="23">
                  <c:v>1146.9500000049195</c:v>
                </c:pt>
                <c:pt idx="24" formatCode="#,##0.00">
                  <c:v>1154.6540000075909</c:v>
                </c:pt>
                <c:pt idx="25">
                  <c:v>1161.9130000073872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983.25899999651756</c:v>
                </c:pt>
                <c:pt idx="1">
                  <c:v>991.01400000012643</c:v>
                </c:pt>
                <c:pt idx="2">
                  <c:v>1001.8109999942344</c:v>
                </c:pt>
                <c:pt idx="3">
                  <c:v>977.59199999368445</c:v>
                </c:pt>
                <c:pt idx="4">
                  <c:v>990.06599999962862</c:v>
                </c:pt>
                <c:pt idx="5">
                  <c:v>974.2699999908973</c:v>
                </c:pt>
                <c:pt idx="6">
                  <c:v>980.937999991987</c:v>
                </c:pt>
                <c:pt idx="7">
                  <c:v>974.26699999793243</c:v>
                </c:pt>
                <c:pt idx="8">
                  <c:v>966.4309999930922</c:v>
                </c:pt>
                <c:pt idx="9">
                  <c:v>998.31399998994914</c:v>
                </c:pt>
                <c:pt idx="10">
                  <c:v>1005.1659999970661</c:v>
                </c:pt>
                <c:pt idx="11">
                  <c:v>1022.1580000035933</c:v>
                </c:pt>
                <c:pt idx="12">
                  <c:v>1019.1320000115579</c:v>
                </c:pt>
                <c:pt idx="13">
                  <c:v>1015.4570000119663</c:v>
                </c:pt>
                <c:pt idx="14">
                  <c:v>1010.0940000152184</c:v>
                </c:pt>
                <c:pt idx="15">
                  <c:v>1006.8290000139851</c:v>
                </c:pt>
                <c:pt idx="16">
                  <c:v>1004.6940000142988</c:v>
                </c:pt>
                <c:pt idx="17">
                  <c:v>1002.4470000154088</c:v>
                </c:pt>
                <c:pt idx="18">
                  <c:v>1000.119000013176</c:v>
                </c:pt>
                <c:pt idx="19">
                  <c:v>997.73900001524021</c:v>
                </c:pt>
                <c:pt idx="20">
                  <c:v>995.58800001407826</c:v>
                </c:pt>
                <c:pt idx="21">
                  <c:v>992.80400001521218</c:v>
                </c:pt>
                <c:pt idx="22">
                  <c:v>990.04400001846784</c:v>
                </c:pt>
                <c:pt idx="23">
                  <c:v>987.29100001526206</c:v>
                </c:pt>
                <c:pt idx="24" formatCode="#,##0.00">
                  <c:v>984.51500001823308</c:v>
                </c:pt>
                <c:pt idx="25">
                  <c:v>981.78100001699806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432.79799999899893</c:v>
                </c:pt>
                <c:pt idx="1">
                  <c:v>408.4519999988687</c:v>
                </c:pt>
                <c:pt idx="2">
                  <c:v>429.84799999809735</c:v>
                </c:pt>
                <c:pt idx="3">
                  <c:v>475.35799999767914</c:v>
                </c:pt>
                <c:pt idx="4">
                  <c:v>481.40299999926708</c:v>
                </c:pt>
                <c:pt idx="5">
                  <c:v>499.70899999841942</c:v>
                </c:pt>
                <c:pt idx="6">
                  <c:v>510.63899999778738</c:v>
                </c:pt>
                <c:pt idx="7">
                  <c:v>482.55199999992107</c:v>
                </c:pt>
                <c:pt idx="8">
                  <c:v>492.30799999926938</c:v>
                </c:pt>
                <c:pt idx="9">
                  <c:v>512.23999999889168</c:v>
                </c:pt>
                <c:pt idx="10">
                  <c:v>566.08499999821879</c:v>
                </c:pt>
                <c:pt idx="11">
                  <c:v>558.75400000172283</c:v>
                </c:pt>
                <c:pt idx="12">
                  <c:v>550.23500000391255</c:v>
                </c:pt>
                <c:pt idx="13">
                  <c:v>545.7630000040383</c:v>
                </c:pt>
                <c:pt idx="14">
                  <c:v>545.35300000419397</c:v>
                </c:pt>
                <c:pt idx="15">
                  <c:v>548.04900000421856</c:v>
                </c:pt>
                <c:pt idx="16">
                  <c:v>552.08000000402296</c:v>
                </c:pt>
                <c:pt idx="17">
                  <c:v>556.75700000469556</c:v>
                </c:pt>
                <c:pt idx="18">
                  <c:v>561.76500000353155</c:v>
                </c:pt>
                <c:pt idx="19">
                  <c:v>566.92600000394145</c:v>
                </c:pt>
                <c:pt idx="20">
                  <c:v>572.1310000041218</c:v>
                </c:pt>
                <c:pt idx="21">
                  <c:v>577.38000000424779</c:v>
                </c:pt>
                <c:pt idx="22">
                  <c:v>582.6170000052274</c:v>
                </c:pt>
                <c:pt idx="23">
                  <c:v>587.7940000043443</c:v>
                </c:pt>
                <c:pt idx="24" formatCode="#,##0.00">
                  <c:v>592.88300000493268</c:v>
                </c:pt>
                <c:pt idx="25">
                  <c:v>597.86400000572326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2143.0900000010843</c:v>
                </c:pt>
                <c:pt idx="1">
                  <c:v>2134.6040000009011</c:v>
                </c:pt>
                <c:pt idx="2">
                  <c:v>2241.9039999856136</c:v>
                </c:pt>
                <c:pt idx="3">
                  <c:v>2332.218999982736</c:v>
                </c:pt>
                <c:pt idx="4">
                  <c:v>2540.367999999035</c:v>
                </c:pt>
                <c:pt idx="5">
                  <c:v>2607.93099996616</c:v>
                </c:pt>
                <c:pt idx="6">
                  <c:v>2696.4509999721113</c:v>
                </c:pt>
                <c:pt idx="7">
                  <c:v>2673.5109999787369</c:v>
                </c:pt>
                <c:pt idx="8">
                  <c:v>2706.9349999694805</c:v>
                </c:pt>
                <c:pt idx="9">
                  <c:v>2881.7529999625131</c:v>
                </c:pt>
                <c:pt idx="10">
                  <c:v>2807.1649999885508</c:v>
                </c:pt>
                <c:pt idx="11">
                  <c:v>2862.216999995378</c:v>
                </c:pt>
                <c:pt idx="12">
                  <c:v>2881.2660000192927</c:v>
                </c:pt>
                <c:pt idx="13">
                  <c:v>2904.8620000225137</c:v>
                </c:pt>
                <c:pt idx="14">
                  <c:v>2929.5990000323973</c:v>
                </c:pt>
                <c:pt idx="15">
                  <c:v>2948.7560000339622</c:v>
                </c:pt>
                <c:pt idx="16">
                  <c:v>2966.3190000332293</c:v>
                </c:pt>
                <c:pt idx="17">
                  <c:v>2984.5950000356297</c:v>
                </c:pt>
                <c:pt idx="18">
                  <c:v>3003.4460000334138</c:v>
                </c:pt>
                <c:pt idx="19">
                  <c:v>3022.9940000370279</c:v>
                </c:pt>
                <c:pt idx="20">
                  <c:v>3043.1240000375374</c:v>
                </c:pt>
                <c:pt idx="21">
                  <c:v>3062.6470000400873</c:v>
                </c:pt>
                <c:pt idx="22">
                  <c:v>3082.2100000499877</c:v>
                </c:pt>
                <c:pt idx="23">
                  <c:v>3101.7740000404069</c:v>
                </c:pt>
                <c:pt idx="24" formatCode="#,##0.00">
                  <c:v>3121.304000052522</c:v>
                </c:pt>
                <c:pt idx="25">
                  <c:v>3140.8240000427536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2093.1599999953023</c:v>
                </c:pt>
                <c:pt idx="1">
                  <c:v>2118.5259999962964</c:v>
                </c:pt>
                <c:pt idx="2">
                  <c:v>2265.3050000050807</c:v>
                </c:pt>
                <c:pt idx="3">
                  <c:v>2259.9250000021561</c:v>
                </c:pt>
                <c:pt idx="4">
                  <c:v>2442.016000000016</c:v>
                </c:pt>
                <c:pt idx="5">
                  <c:v>2500.2860000175156</c:v>
                </c:pt>
                <c:pt idx="6">
                  <c:v>2603.3090000076581</c:v>
                </c:pt>
                <c:pt idx="7">
                  <c:v>2613.9500000120224</c:v>
                </c:pt>
                <c:pt idx="8">
                  <c:v>2626.9930000152895</c:v>
                </c:pt>
                <c:pt idx="9">
                  <c:v>2639.3450000139492</c:v>
                </c:pt>
                <c:pt idx="10">
                  <c:v>2483.2400000001271</c:v>
                </c:pt>
                <c:pt idx="11">
                  <c:v>2520.477000011851</c:v>
                </c:pt>
                <c:pt idx="12">
                  <c:v>2566.6380000190579</c:v>
                </c:pt>
                <c:pt idx="13">
                  <c:v>2592.9610000201742</c:v>
                </c:pt>
                <c:pt idx="14">
                  <c:v>2613.9030000151015</c:v>
                </c:pt>
                <c:pt idx="15">
                  <c:v>2630.4030000157918</c:v>
                </c:pt>
                <c:pt idx="16">
                  <c:v>2648.9650000156394</c:v>
                </c:pt>
                <c:pt idx="17">
                  <c:v>2667.2480000162054</c:v>
                </c:pt>
                <c:pt idx="18">
                  <c:v>2685.3820000140649</c:v>
                </c:pt>
                <c:pt idx="19">
                  <c:v>2703.5130000140916</c:v>
                </c:pt>
                <c:pt idx="20">
                  <c:v>2722.1740000165873</c:v>
                </c:pt>
                <c:pt idx="21">
                  <c:v>2740.1770000131851</c:v>
                </c:pt>
                <c:pt idx="22">
                  <c:v>2758.2030000131117</c:v>
                </c:pt>
                <c:pt idx="23">
                  <c:v>2776.2470000156209</c:v>
                </c:pt>
                <c:pt idx="24" formatCode="#,##0.00">
                  <c:v>2794.3160000135863</c:v>
                </c:pt>
                <c:pt idx="25">
                  <c:v>2812.462000016435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725.12999999931753</c:v>
                </c:pt>
                <c:pt idx="1">
                  <c:v>733.99999999981753</c:v>
                </c:pt>
                <c:pt idx="2">
                  <c:v>762.8070000000165</c:v>
                </c:pt>
                <c:pt idx="3">
                  <c:v>768.14899999827071</c:v>
                </c:pt>
                <c:pt idx="4">
                  <c:v>803.96300000198312</c:v>
                </c:pt>
                <c:pt idx="5">
                  <c:v>835.68700000489434</c:v>
                </c:pt>
                <c:pt idx="6">
                  <c:v>810.65900000023544</c:v>
                </c:pt>
                <c:pt idx="7">
                  <c:v>828.30599999962283</c:v>
                </c:pt>
                <c:pt idx="8">
                  <c:v>861.21200000196563</c:v>
                </c:pt>
                <c:pt idx="9">
                  <c:v>862.71200000122587</c:v>
                </c:pt>
                <c:pt idx="10">
                  <c:v>864.73800000221956</c:v>
                </c:pt>
                <c:pt idx="11">
                  <c:v>872.54300000246803</c:v>
                </c:pt>
                <c:pt idx="12">
                  <c:v>862.31200001199034</c:v>
                </c:pt>
                <c:pt idx="13">
                  <c:v>867.61300001310462</c:v>
                </c:pt>
                <c:pt idx="14">
                  <c:v>879.46700001312934</c:v>
                </c:pt>
                <c:pt idx="15">
                  <c:v>885.60900001445032</c:v>
                </c:pt>
                <c:pt idx="16">
                  <c:v>893.53000001448095</c:v>
                </c:pt>
                <c:pt idx="17">
                  <c:v>901.06400001497707</c:v>
                </c:pt>
                <c:pt idx="18">
                  <c:v>907.59500001533866</c:v>
                </c:pt>
                <c:pt idx="19">
                  <c:v>913.66700001655499</c:v>
                </c:pt>
                <c:pt idx="20">
                  <c:v>920.38700001734753</c:v>
                </c:pt>
                <c:pt idx="21">
                  <c:v>927.61200001475117</c:v>
                </c:pt>
                <c:pt idx="22">
                  <c:v>935.12400001677611</c:v>
                </c:pt>
                <c:pt idx="23">
                  <c:v>942.67000001617123</c:v>
                </c:pt>
                <c:pt idx="24" formatCode="#,##0.00">
                  <c:v>950.15000001839201</c:v>
                </c:pt>
                <c:pt idx="25">
                  <c:v>957.57500001578944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764.57599999605861</c:v>
                </c:pt>
                <c:pt idx="1">
                  <c:v>776.19499999826894</c:v>
                </c:pt>
                <c:pt idx="2">
                  <c:v>756.45499999756578</c:v>
                </c:pt>
                <c:pt idx="3">
                  <c:v>779.89199999566142</c:v>
                </c:pt>
                <c:pt idx="4">
                  <c:v>845.90799999881631</c:v>
                </c:pt>
                <c:pt idx="5">
                  <c:v>835.42600000250945</c:v>
                </c:pt>
                <c:pt idx="6">
                  <c:v>836.18299999767191</c:v>
                </c:pt>
                <c:pt idx="7">
                  <c:v>825.55499999751282</c:v>
                </c:pt>
                <c:pt idx="8">
                  <c:v>845.05300000267937</c:v>
                </c:pt>
                <c:pt idx="9">
                  <c:v>864.11900000259277</c:v>
                </c:pt>
                <c:pt idx="10">
                  <c:v>856.30799999762871</c:v>
                </c:pt>
                <c:pt idx="11">
                  <c:v>850.18599999968876</c:v>
                </c:pt>
                <c:pt idx="12">
                  <c:v>845.74500000759303</c:v>
                </c:pt>
                <c:pt idx="13">
                  <c:v>847.43700000803665</c:v>
                </c:pt>
                <c:pt idx="14">
                  <c:v>849.75300000720813</c:v>
                </c:pt>
                <c:pt idx="15">
                  <c:v>849.44700000805233</c:v>
                </c:pt>
                <c:pt idx="16">
                  <c:v>848.71900000816447</c:v>
                </c:pt>
                <c:pt idx="17">
                  <c:v>848.13200000716142</c:v>
                </c:pt>
                <c:pt idx="18">
                  <c:v>847.84800000679911</c:v>
                </c:pt>
                <c:pt idx="19">
                  <c:v>847.93600000746767</c:v>
                </c:pt>
                <c:pt idx="20">
                  <c:v>848.60400000841764</c:v>
                </c:pt>
                <c:pt idx="21">
                  <c:v>849.62000000692228</c:v>
                </c:pt>
                <c:pt idx="22">
                  <c:v>850.90400000833165</c:v>
                </c:pt>
                <c:pt idx="23">
                  <c:v>852.3960000076687</c:v>
                </c:pt>
                <c:pt idx="24" formatCode="#,##0.00">
                  <c:v>854.10300000964696</c:v>
                </c:pt>
                <c:pt idx="25">
                  <c:v>856.08400000900122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1245.6210000029785</c:v>
                </c:pt>
                <c:pt idx="1">
                  <c:v>1159.4129999991126</c:v>
                </c:pt>
                <c:pt idx="2">
                  <c:v>1107.3339999966629</c:v>
                </c:pt>
                <c:pt idx="3">
                  <c:v>1093.0559999979534</c:v>
                </c:pt>
                <c:pt idx="4">
                  <c:v>1091.372999996287</c:v>
                </c:pt>
                <c:pt idx="5">
                  <c:v>1050.7089999919904</c:v>
                </c:pt>
                <c:pt idx="6">
                  <c:v>1037.888999994032</c:v>
                </c:pt>
                <c:pt idx="7">
                  <c:v>1035.2469999940065</c:v>
                </c:pt>
                <c:pt idx="8">
                  <c:v>1048.7939999940832</c:v>
                </c:pt>
                <c:pt idx="9">
                  <c:v>1063.7109999941283</c:v>
                </c:pt>
                <c:pt idx="10">
                  <c:v>1106.4329999966935</c:v>
                </c:pt>
                <c:pt idx="11">
                  <c:v>1109.2669999968014</c:v>
                </c:pt>
                <c:pt idx="12">
                  <c:v>1119.2319999982833</c:v>
                </c:pt>
                <c:pt idx="13">
                  <c:v>1124.7779999996096</c:v>
                </c:pt>
                <c:pt idx="14">
                  <c:v>1131.8160000016144</c:v>
                </c:pt>
                <c:pt idx="15">
                  <c:v>1135.5730000015953</c:v>
                </c:pt>
                <c:pt idx="16">
                  <c:v>1137.8700000023682</c:v>
                </c:pt>
                <c:pt idx="17">
                  <c:v>1140.1490000022111</c:v>
                </c:pt>
                <c:pt idx="18">
                  <c:v>1142.4200000021647</c:v>
                </c:pt>
                <c:pt idx="19">
                  <c:v>1144.6870000030165</c:v>
                </c:pt>
                <c:pt idx="20">
                  <c:v>1146.9890000029991</c:v>
                </c:pt>
                <c:pt idx="21">
                  <c:v>1149.1990000041685</c:v>
                </c:pt>
                <c:pt idx="22">
                  <c:v>1151.4220000052908</c:v>
                </c:pt>
                <c:pt idx="23">
                  <c:v>1153.6280000035206</c:v>
                </c:pt>
                <c:pt idx="24" formatCode="#,##0.00">
                  <c:v>1155.8330000053081</c:v>
                </c:pt>
                <c:pt idx="25">
                  <c:v>1158.0480000035327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2349.7920000403055</c:v>
                </c:pt>
                <c:pt idx="1">
                  <c:v>2328.434000047067</c:v>
                </c:pt>
                <c:pt idx="2">
                  <c:v>2355.5810000448514</c:v>
                </c:pt>
                <c:pt idx="3">
                  <c:v>2409.309000055568</c:v>
                </c:pt>
                <c:pt idx="4">
                  <c:v>2466.0289999994457</c:v>
                </c:pt>
                <c:pt idx="5">
                  <c:v>2527.3159999829509</c:v>
                </c:pt>
                <c:pt idx="6">
                  <c:v>2549.8929999975603</c:v>
                </c:pt>
                <c:pt idx="7">
                  <c:v>2508.3709999225484</c:v>
                </c:pt>
                <c:pt idx="8">
                  <c:v>2525.9009999467689</c:v>
                </c:pt>
                <c:pt idx="9">
                  <c:v>2523.7989999872166</c:v>
                </c:pt>
                <c:pt idx="10">
                  <c:v>2531.7800000136781</c:v>
                </c:pt>
                <c:pt idx="11">
                  <c:v>2523.7529999166381</c:v>
                </c:pt>
                <c:pt idx="12">
                  <c:v>2517.9739998387959</c:v>
                </c:pt>
                <c:pt idx="13">
                  <c:v>2523.6319998318372</c:v>
                </c:pt>
                <c:pt idx="14">
                  <c:v>2532.3849998365276</c:v>
                </c:pt>
                <c:pt idx="15">
                  <c:v>2543.3239998430904</c:v>
                </c:pt>
                <c:pt idx="16">
                  <c:v>2550.0489998427875</c:v>
                </c:pt>
                <c:pt idx="17">
                  <c:v>2556.9479998405918</c:v>
                </c:pt>
                <c:pt idx="18">
                  <c:v>2564.2159998611078</c:v>
                </c:pt>
                <c:pt idx="19">
                  <c:v>2572.1239998579772</c:v>
                </c:pt>
                <c:pt idx="20">
                  <c:v>2582.184999856418</c:v>
                </c:pt>
                <c:pt idx="21">
                  <c:v>2592.3189998665021</c:v>
                </c:pt>
                <c:pt idx="22">
                  <c:v>2602.4839998574985</c:v>
                </c:pt>
                <c:pt idx="23">
                  <c:v>2612.687999851622</c:v>
                </c:pt>
                <c:pt idx="24" formatCode="#,##0.00">
                  <c:v>2622.936999859287</c:v>
                </c:pt>
                <c:pt idx="25">
                  <c:v>2633.2329998416349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3233.056000036881</c:v>
                </c:pt>
                <c:pt idx="1">
                  <c:v>3268.4930000253012</c:v>
                </c:pt>
                <c:pt idx="2">
                  <c:v>3284.6590000295455</c:v>
                </c:pt>
                <c:pt idx="3">
                  <c:v>3374.0730000354238</c:v>
                </c:pt>
                <c:pt idx="4">
                  <c:v>3447.6619999894051</c:v>
                </c:pt>
                <c:pt idx="5">
                  <c:v>3471.2599999517329</c:v>
                </c:pt>
                <c:pt idx="6">
                  <c:v>3526.9829999926669</c:v>
                </c:pt>
                <c:pt idx="7">
                  <c:v>3619.8569999739766</c:v>
                </c:pt>
                <c:pt idx="8">
                  <c:v>3582.0599999535343</c:v>
                </c:pt>
                <c:pt idx="9">
                  <c:v>3668.4709999604656</c:v>
                </c:pt>
                <c:pt idx="10">
                  <c:v>3648.0419999943783</c:v>
                </c:pt>
                <c:pt idx="11">
                  <c:v>3711.5939999885136</c:v>
                </c:pt>
                <c:pt idx="12">
                  <c:v>3758.9319999508302</c:v>
                </c:pt>
                <c:pt idx="13">
                  <c:v>3798.946999954615</c:v>
                </c:pt>
                <c:pt idx="14">
                  <c:v>3847.4509999557367</c:v>
                </c:pt>
                <c:pt idx="15">
                  <c:v>3883.213999956346</c:v>
                </c:pt>
                <c:pt idx="16">
                  <c:v>3911.6319999529478</c:v>
                </c:pt>
                <c:pt idx="17">
                  <c:v>3937.9029999484919</c:v>
                </c:pt>
                <c:pt idx="18">
                  <c:v>3963.4929999464789</c:v>
                </c:pt>
                <c:pt idx="19">
                  <c:v>3988.8469999385038</c:v>
                </c:pt>
                <c:pt idx="20">
                  <c:v>4013.9999999412348</c:v>
                </c:pt>
                <c:pt idx="21">
                  <c:v>4038.9699999423879</c:v>
                </c:pt>
                <c:pt idx="22">
                  <c:v>4063.8559999428267</c:v>
                </c:pt>
                <c:pt idx="23">
                  <c:v>4088.9279999288096</c:v>
                </c:pt>
                <c:pt idx="24" formatCode="#,##0.00">
                  <c:v>4114.3109999282797</c:v>
                </c:pt>
                <c:pt idx="25">
                  <c:v>4140.0339999319367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565.11799999881123</c:v>
                </c:pt>
                <c:pt idx="1">
                  <c:v>560.15399999951967</c:v>
                </c:pt>
                <c:pt idx="2">
                  <c:v>590.72799999853271</c:v>
                </c:pt>
                <c:pt idx="3">
                  <c:v>537.18899999782388</c:v>
                </c:pt>
                <c:pt idx="4">
                  <c:v>575.92199999819218</c:v>
                </c:pt>
                <c:pt idx="5">
                  <c:v>555.19600000041191</c:v>
                </c:pt>
                <c:pt idx="6">
                  <c:v>553.72499999804052</c:v>
                </c:pt>
                <c:pt idx="7">
                  <c:v>577.50600000218344</c:v>
                </c:pt>
                <c:pt idx="8">
                  <c:v>611.30000000292409</c:v>
                </c:pt>
                <c:pt idx="9">
                  <c:v>598.95700000140323</c:v>
                </c:pt>
                <c:pt idx="10">
                  <c:v>554.5439999979626</c:v>
                </c:pt>
                <c:pt idx="11">
                  <c:v>550.1529999993669</c:v>
                </c:pt>
                <c:pt idx="12">
                  <c:v>548.11500000063131</c:v>
                </c:pt>
                <c:pt idx="13">
                  <c:v>551.07500000039818</c:v>
                </c:pt>
                <c:pt idx="14">
                  <c:v>558.34200000062253</c:v>
                </c:pt>
                <c:pt idx="15">
                  <c:v>561.28600000016547</c:v>
                </c:pt>
                <c:pt idx="16">
                  <c:v>563.5140000002873</c:v>
                </c:pt>
                <c:pt idx="17">
                  <c:v>565.01299999937385</c:v>
                </c:pt>
                <c:pt idx="18">
                  <c:v>566.0129999994698</c:v>
                </c:pt>
                <c:pt idx="19">
                  <c:v>566.78899999994508</c:v>
                </c:pt>
                <c:pt idx="20">
                  <c:v>567.77899999925057</c:v>
                </c:pt>
                <c:pt idx="21">
                  <c:v>568.6249999994003</c:v>
                </c:pt>
                <c:pt idx="22">
                  <c:v>569.43899999966925</c:v>
                </c:pt>
                <c:pt idx="23">
                  <c:v>570.21899999976222</c:v>
                </c:pt>
                <c:pt idx="24">
                  <c:v>571.00799999914159</c:v>
                </c:pt>
                <c:pt idx="25">
                  <c:v>571.78500000015674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2166.6589999965036</c:v>
                </c:pt>
                <c:pt idx="1">
                  <c:v>2149.8609999941</c:v>
                </c:pt>
                <c:pt idx="2">
                  <c:v>2181.4089999949815</c:v>
                </c:pt>
                <c:pt idx="3">
                  <c:v>2135.4549999885012</c:v>
                </c:pt>
                <c:pt idx="4">
                  <c:v>2178.5729999917303</c:v>
                </c:pt>
                <c:pt idx="5">
                  <c:v>2197.6419999990994</c:v>
                </c:pt>
                <c:pt idx="6">
                  <c:v>2214.8859999942242</c:v>
                </c:pt>
                <c:pt idx="7">
                  <c:v>2248.3400000089423</c:v>
                </c:pt>
                <c:pt idx="8">
                  <c:v>2285.5660000079929</c:v>
                </c:pt>
                <c:pt idx="9">
                  <c:v>2254.4499999968248</c:v>
                </c:pt>
                <c:pt idx="10">
                  <c:v>2208.4099999961973</c:v>
                </c:pt>
                <c:pt idx="11">
                  <c:v>2207.0890000017243</c:v>
                </c:pt>
                <c:pt idx="12">
                  <c:v>2186.5910000103686</c:v>
                </c:pt>
                <c:pt idx="13">
                  <c:v>2167.2190000121172</c:v>
                </c:pt>
                <c:pt idx="14">
                  <c:v>2151.6340000122809</c:v>
                </c:pt>
                <c:pt idx="15">
                  <c:v>2130.7230000112381</c:v>
                </c:pt>
                <c:pt idx="16">
                  <c:v>2111.3650000129201</c:v>
                </c:pt>
                <c:pt idx="17">
                  <c:v>2091.6410000113437</c:v>
                </c:pt>
                <c:pt idx="18">
                  <c:v>2072.582000010756</c:v>
                </c:pt>
                <c:pt idx="19">
                  <c:v>2054.2060000127394</c:v>
                </c:pt>
                <c:pt idx="20">
                  <c:v>2037.9850000112963</c:v>
                </c:pt>
                <c:pt idx="21">
                  <c:v>2021.1760000090931</c:v>
                </c:pt>
                <c:pt idx="22">
                  <c:v>2004.8630000102212</c:v>
                </c:pt>
                <c:pt idx="23">
                  <c:v>1989.0360000124626</c:v>
                </c:pt>
                <c:pt idx="24">
                  <c:v>1973.6880000116291</c:v>
                </c:pt>
                <c:pt idx="25">
                  <c:v>1959.1610000136034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1762.2880000026482</c:v>
                </c:pt>
                <c:pt idx="1">
                  <c:v>1726.0349999872142</c:v>
                </c:pt>
                <c:pt idx="2">
                  <c:v>1744.3209999920221</c:v>
                </c:pt>
                <c:pt idx="3">
                  <c:v>1730.5579999859331</c:v>
                </c:pt>
                <c:pt idx="4">
                  <c:v>1777.1559999742817</c:v>
                </c:pt>
                <c:pt idx="5">
                  <c:v>1800.3539999823467</c:v>
                </c:pt>
                <c:pt idx="6">
                  <c:v>1907.1309999771033</c:v>
                </c:pt>
                <c:pt idx="7">
                  <c:v>1989.7140000048066</c:v>
                </c:pt>
                <c:pt idx="8">
                  <c:v>1943.0150000180868</c:v>
                </c:pt>
                <c:pt idx="9">
                  <c:v>1996.7570000194819</c:v>
                </c:pt>
                <c:pt idx="10">
                  <c:v>1999.7949999724015</c:v>
                </c:pt>
                <c:pt idx="11">
                  <c:v>1977.5929999611044</c:v>
                </c:pt>
                <c:pt idx="12">
                  <c:v>1998.3539999299423</c:v>
                </c:pt>
                <c:pt idx="13">
                  <c:v>2043.6099999239827</c:v>
                </c:pt>
                <c:pt idx="14">
                  <c:v>2079.9439999357414</c:v>
                </c:pt>
                <c:pt idx="15">
                  <c:v>2097.950999922838</c:v>
                </c:pt>
                <c:pt idx="16">
                  <c:v>2113.9159999326394</c:v>
                </c:pt>
                <c:pt idx="17">
                  <c:v>2125.5439999193004</c:v>
                </c:pt>
                <c:pt idx="18">
                  <c:v>2139.4879999278037</c:v>
                </c:pt>
                <c:pt idx="19">
                  <c:v>2152.4319999328632</c:v>
                </c:pt>
                <c:pt idx="20">
                  <c:v>2167.8709999171642</c:v>
                </c:pt>
                <c:pt idx="21">
                  <c:v>2183.7949999358771</c:v>
                </c:pt>
                <c:pt idx="22">
                  <c:v>2200.279999919785</c:v>
                </c:pt>
                <c:pt idx="23">
                  <c:v>2217.1909999373529</c:v>
                </c:pt>
                <c:pt idx="24" formatCode="#,##0.00">
                  <c:v>2234.4209999224604</c:v>
                </c:pt>
                <c:pt idx="25">
                  <c:v>2251.9169999326928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6948.4279999353193</c:v>
                </c:pt>
                <c:pt idx="1">
                  <c:v>7023.8129999517278</c:v>
                </c:pt>
                <c:pt idx="2">
                  <c:v>7177.880999968057</c:v>
                </c:pt>
                <c:pt idx="3">
                  <c:v>7140.0469999739107</c:v>
                </c:pt>
                <c:pt idx="4">
                  <c:v>7355.0780000482964</c:v>
                </c:pt>
                <c:pt idx="5">
                  <c:v>7525.0560001205195</c:v>
                </c:pt>
                <c:pt idx="6">
                  <c:v>7745.3340000843227</c:v>
                </c:pt>
                <c:pt idx="7">
                  <c:v>7824.0570001095039</c:v>
                </c:pt>
                <c:pt idx="8">
                  <c:v>7855.8730001007834</c:v>
                </c:pt>
                <c:pt idx="9">
                  <c:v>8007.9100000778271</c:v>
                </c:pt>
                <c:pt idx="10">
                  <c:v>7878.505000043865</c:v>
                </c:pt>
                <c:pt idx="11">
                  <c:v>7861.900000124916</c:v>
                </c:pt>
                <c:pt idx="12">
                  <c:v>7911.6640001968344</c:v>
                </c:pt>
                <c:pt idx="13">
                  <c:v>7976.5250001984514</c:v>
                </c:pt>
                <c:pt idx="14">
                  <c:v>8047.4070001697582</c:v>
                </c:pt>
                <c:pt idx="15">
                  <c:v>8105.1010001723571</c:v>
                </c:pt>
                <c:pt idx="16">
                  <c:v>8151.0890001676671</c:v>
                </c:pt>
                <c:pt idx="17">
                  <c:v>8192.5630001825884</c:v>
                </c:pt>
                <c:pt idx="18">
                  <c:v>8231.5780001655276</c:v>
                </c:pt>
                <c:pt idx="19">
                  <c:v>8269.2380001604197</c:v>
                </c:pt>
                <c:pt idx="20">
                  <c:v>8307.6890001739848</c:v>
                </c:pt>
                <c:pt idx="21">
                  <c:v>8345.2880001481954</c:v>
                </c:pt>
                <c:pt idx="22">
                  <c:v>8382.0090001463686</c:v>
                </c:pt>
                <c:pt idx="23">
                  <c:v>8419.4550001671978</c:v>
                </c:pt>
                <c:pt idx="24">
                  <c:v>8455.5230001542404</c:v>
                </c:pt>
                <c:pt idx="25">
                  <c:v>8490.7950001689132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8200.2989999857455</c:v>
                </c:pt>
                <c:pt idx="1">
                  <c:v>8279.3959999947765</c:v>
                </c:pt>
                <c:pt idx="2">
                  <c:v>8562.5259999756308</c:v>
                </c:pt>
                <c:pt idx="3">
                  <c:v>8747.4439999631431</c:v>
                </c:pt>
                <c:pt idx="4">
                  <c:v>9335.5779999993065</c:v>
                </c:pt>
                <c:pt idx="5">
                  <c:v>9528.6389999687108</c:v>
                </c:pt>
                <c:pt idx="6">
                  <c:v>9735.5489999577385</c:v>
                </c:pt>
                <c:pt idx="7">
                  <c:v>9757.2949999792763</c:v>
                </c:pt>
                <c:pt idx="8">
                  <c:v>9841.5159999716052</c:v>
                </c:pt>
                <c:pt idx="9">
                  <c:v>10098.704999956528</c:v>
                </c:pt>
                <c:pt idx="10">
                  <c:v>9932.1719999800225</c:v>
                </c:pt>
                <c:pt idx="11">
                  <c:v>10059.770000013947</c:v>
                </c:pt>
                <c:pt idx="12">
                  <c:v>10108.30900008237</c:v>
                </c:pt>
                <c:pt idx="13">
                  <c:v>10175.854000088801</c:v>
                </c:pt>
                <c:pt idx="14">
                  <c:v>10244.823000098164</c:v>
                </c:pt>
                <c:pt idx="15">
                  <c:v>10297.576000103094</c:v>
                </c:pt>
                <c:pt idx="16">
                  <c:v>10353.752000100694</c:v>
                </c:pt>
                <c:pt idx="17">
                  <c:v>10409.153000106702</c:v>
                </c:pt>
                <c:pt idx="18">
                  <c:v>10464.030000095589</c:v>
                </c:pt>
                <c:pt idx="19">
                  <c:v>10519.501000104205</c:v>
                </c:pt>
                <c:pt idx="20">
                  <c:v>10578.028000108479</c:v>
                </c:pt>
                <c:pt idx="21">
                  <c:v>10635.377000104312</c:v>
                </c:pt>
                <c:pt idx="22">
                  <c:v>10693.175000129133</c:v>
                </c:pt>
                <c:pt idx="23">
                  <c:v>10750.830000110005</c:v>
                </c:pt>
                <c:pt idx="24">
                  <c:v>10808.076000131481</c:v>
                </c:pt>
                <c:pt idx="25">
                  <c:v>10865.118000120065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6828.4690000801656</c:v>
                </c:pt>
                <c:pt idx="1">
                  <c:v>6756.340000071481</c:v>
                </c:pt>
                <c:pt idx="2">
                  <c:v>6747.5740000710593</c:v>
                </c:pt>
                <c:pt idx="3">
                  <c:v>6876.438000088945</c:v>
                </c:pt>
                <c:pt idx="4">
                  <c:v>7005.0639999851373</c:v>
                </c:pt>
                <c:pt idx="5">
                  <c:v>7049.2849999266746</c:v>
                </c:pt>
                <c:pt idx="6">
                  <c:v>7114.7649999842597</c:v>
                </c:pt>
                <c:pt idx="7">
                  <c:v>7163.4749998905318</c:v>
                </c:pt>
                <c:pt idx="8">
                  <c:v>7156.7549998943869</c:v>
                </c:pt>
                <c:pt idx="9">
                  <c:v>7255.9809999418103</c:v>
                </c:pt>
                <c:pt idx="10">
                  <c:v>7286.2550000047504</c:v>
                </c:pt>
                <c:pt idx="11">
                  <c:v>7344.6139999019524</c:v>
                </c:pt>
                <c:pt idx="12">
                  <c:v>7396.1379997879094</c:v>
                </c:pt>
                <c:pt idx="13">
                  <c:v>7447.3569997860614</c:v>
                </c:pt>
                <c:pt idx="14">
                  <c:v>7511.6519997938785</c:v>
                </c:pt>
                <c:pt idx="15">
                  <c:v>7562.1109998010315</c:v>
                </c:pt>
                <c:pt idx="16">
                  <c:v>7599.5509997981035</c:v>
                </c:pt>
                <c:pt idx="17">
                  <c:v>7634.9999997912946</c:v>
                </c:pt>
                <c:pt idx="18">
                  <c:v>7670.1289998097509</c:v>
                </c:pt>
                <c:pt idx="19">
                  <c:v>7705.6579997994977</c:v>
                </c:pt>
                <c:pt idx="20">
                  <c:v>7743.1739998006524</c:v>
                </c:pt>
                <c:pt idx="21">
                  <c:v>7780.4879998130582</c:v>
                </c:pt>
                <c:pt idx="22">
                  <c:v>7817.7619998056161</c:v>
                </c:pt>
                <c:pt idx="23">
                  <c:v>7855.2439997839519</c:v>
                </c:pt>
                <c:pt idx="24">
                  <c:v>7893.0809997928745</c:v>
                </c:pt>
                <c:pt idx="25">
                  <c:v>7931.3149997771043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24.599534787574644</c:v>
                </c:pt>
                <c:pt idx="1">
                  <c:v>24.401650506600923</c:v>
                </c:pt>
                <c:pt idx="2">
                  <c:v>24.731189567793884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33.251611554988756</c:v>
                </c:pt>
                <c:pt idx="1">
                  <c:v>33.262820188807844</c:v>
                </c:pt>
                <c:pt idx="2">
                  <c:v>33.879286466994486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26.259808882083433</c:v>
                </c:pt>
                <c:pt idx="1">
                  <c:v>26.385094335217889</c:v>
                </c:pt>
                <c:pt idx="2">
                  <c:v>26.475743396442486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6.2826046688388368</c:v>
                </c:pt>
                <c:pt idx="1">
                  <c:v>6.697308655014508</c:v>
                </c:pt>
                <c:pt idx="2">
                  <c:v>7.0218603368846475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7.6690005908649299</c:v>
                </c:pt>
                <c:pt idx="1">
                  <c:v>7.3959597893780327</c:v>
                </c:pt>
                <c:pt idx="2">
                  <c:v>6.1089973209394337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1.9374395156493867</c:v>
                </c:pt>
                <c:pt idx="1">
                  <c:v>1.8571665249807985</c:v>
                </c:pt>
                <c:pt idx="2">
                  <c:v>1.7829229109450715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236.97000007807492</c:v>
                </c:pt>
                <c:pt idx="1">
                  <c:v>403.53300001131538</c:v>
                </c:pt>
                <c:pt idx="2">
                  <c:v>353.44899992334649</c:v>
                </c:pt>
                <c:pt idx="3">
                  <c:v>199.44099999005448</c:v>
                </c:pt>
                <c:pt idx="4">
                  <c:v>10.767999997098286</c:v>
                </c:pt>
                <c:pt idx="5">
                  <c:v>-0.6520000024491992</c:v>
                </c:pt>
                <c:pt idx="7">
                  <c:v>1203.5089999974371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645.05999977235479</c:v>
                </c:pt>
                <c:pt idx="1">
                  <c:v>932.94600014003663</c:v>
                </c:pt>
                <c:pt idx="2">
                  <c:v>612.2900001250473</c:v>
                </c:pt>
                <c:pt idx="3">
                  <c:v>252.1219999602913</c:v>
                </c:pt>
                <c:pt idx="4">
                  <c:v>-249.24899998259389</c:v>
                </c:pt>
                <c:pt idx="5">
                  <c:v>17.241000002194141</c:v>
                </c:pt>
                <c:pt idx="7">
                  <c:v>2210.4100000173303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0.47723343115717576</c:v>
                </c:pt>
                <c:pt idx="2">
                  <c:v>-1.1188527477296928</c:v>
                </c:pt>
                <c:pt idx="3">
                  <c:v>4.9033521437371386</c:v>
                </c:pt>
                <c:pt idx="4">
                  <c:v>-1.7859840826728313E-2</c:v>
                </c:pt>
                <c:pt idx="6">
                  <c:v>6.6016875276408982E-2</c:v>
                </c:pt>
                <c:pt idx="7">
                  <c:v>-0.12497438125811389</c:v>
                </c:pt>
                <c:pt idx="8">
                  <c:v>-3.2992588521629784E-3</c:v>
                </c:pt>
                <c:pt idx="10">
                  <c:v>1.4625845924234326</c:v>
                </c:pt>
                <c:pt idx="11">
                  <c:v>-0.29056047198369184</c:v>
                </c:pt>
                <c:pt idx="12">
                  <c:v>0.12412899767830776</c:v>
                </c:pt>
                <c:pt idx="14">
                  <c:v>-1.3952298324035661</c:v>
                </c:pt>
                <c:pt idx="15">
                  <c:v>-0.26919628087314074</c:v>
                </c:pt>
                <c:pt idx="16">
                  <c:v>0.84644040874675142</c:v>
                </c:pt>
                <c:pt idx="17">
                  <c:v>0.5770609206709354</c:v>
                </c:pt>
                <c:pt idx="19">
                  <c:v>0.51772579254762974</c:v>
                </c:pt>
                <c:pt idx="20">
                  <c:v>-0.45526506581279325</c:v>
                </c:pt>
                <c:pt idx="21">
                  <c:v>-0.42073602765486662</c:v>
                </c:pt>
                <c:pt idx="22">
                  <c:v>0.61168251002796659</c:v>
                </c:pt>
                <c:pt idx="23">
                  <c:v>-0.10060673911935769</c:v>
                </c:pt>
                <c:pt idx="25">
                  <c:v>-2.3818774306827328</c:v>
                </c:pt>
                <c:pt idx="26">
                  <c:v>0.10371994793105799</c:v>
                </c:pt>
                <c:pt idx="27">
                  <c:v>-0.28877775964678554</c:v>
                </c:pt>
                <c:pt idx="29">
                  <c:v>0.48485786703520439</c:v>
                </c:pt>
                <c:pt idx="30">
                  <c:v>-2.3056564612755626E-2</c:v>
                </c:pt>
                <c:pt idx="31">
                  <c:v>-0.58014851394102562</c:v>
                </c:pt>
                <c:pt idx="32">
                  <c:v>4.225637366043733</c:v>
                </c:pt>
                <c:pt idx="33">
                  <c:v>0.17819116067332441</c:v>
                </c:pt>
                <c:pt idx="34">
                  <c:v>0.93939788051264905</c:v>
                </c:pt>
                <c:pt idx="36">
                  <c:v>1.0464811508875016</c:v>
                </c:pt>
                <c:pt idx="37">
                  <c:v>0.3579481614985669</c:v>
                </c:pt>
                <c:pt idx="38">
                  <c:v>0.38688981041488102</c:v>
                </c:pt>
                <c:pt idx="39">
                  <c:v>2.3300034935685332</c:v>
                </c:pt>
                <c:pt idx="40">
                  <c:v>1.1622813431281021</c:v>
                </c:pt>
                <c:pt idx="42">
                  <c:v>1.0459197464713021</c:v>
                </c:pt>
                <c:pt idx="43">
                  <c:v>-6.9711619613654907E-2</c:v>
                </c:pt>
                <c:pt idx="44">
                  <c:v>0.28617609001266864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0.82619957207437089</c:v>
                </c:pt>
                <c:pt idx="2">
                  <c:v>-1.5275400347385948</c:v>
                </c:pt>
                <c:pt idx="3">
                  <c:v>-4.4379725977855333</c:v>
                </c:pt>
                <c:pt idx="4">
                  <c:v>-1.9261303157432796</c:v>
                </c:pt>
                <c:pt idx="6">
                  <c:v>3.9026588927892902E-2</c:v>
                </c:pt>
                <c:pt idx="7">
                  <c:v>-3.0897263215582615</c:v>
                </c:pt>
                <c:pt idx="8">
                  <c:v>-1.1763944702381846</c:v>
                </c:pt>
                <c:pt idx="10">
                  <c:v>2.0289831609051623</c:v>
                </c:pt>
                <c:pt idx="11">
                  <c:v>-1.4087567049916094</c:v>
                </c:pt>
                <c:pt idx="12">
                  <c:v>-0.7272726216735137</c:v>
                </c:pt>
                <c:pt idx="14">
                  <c:v>1.456733615913075</c:v>
                </c:pt>
                <c:pt idx="15">
                  <c:v>8.8532174563393795E-3</c:v>
                </c:pt>
                <c:pt idx="16">
                  <c:v>-0.10278790615287914</c:v>
                </c:pt>
                <c:pt idx="17">
                  <c:v>-5.9422043440582328E-2</c:v>
                </c:pt>
                <c:pt idx="19">
                  <c:v>-2.9152294191995609</c:v>
                </c:pt>
                <c:pt idx="20">
                  <c:v>-3.4695338426076749</c:v>
                </c:pt>
                <c:pt idx="21">
                  <c:v>-2.4207430055063761</c:v>
                </c:pt>
                <c:pt idx="22">
                  <c:v>-1.8668141374120428</c:v>
                </c:pt>
                <c:pt idx="23">
                  <c:v>-2.7986949552972873</c:v>
                </c:pt>
                <c:pt idx="25">
                  <c:v>-2.2324015539863074</c:v>
                </c:pt>
                <c:pt idx="26">
                  <c:v>0.46158537009362011</c:v>
                </c:pt>
                <c:pt idx="27">
                  <c:v>-6.2865412252421926E-2</c:v>
                </c:pt>
                <c:pt idx="29">
                  <c:v>2.0966473648973638</c:v>
                </c:pt>
                <c:pt idx="30">
                  <c:v>1.6531064594082379</c:v>
                </c:pt>
                <c:pt idx="31">
                  <c:v>1.7267994882371518</c:v>
                </c:pt>
                <c:pt idx="32">
                  <c:v>2.8427966602561971</c:v>
                </c:pt>
                <c:pt idx="33">
                  <c:v>4.8978056206913756</c:v>
                </c:pt>
                <c:pt idx="34">
                  <c:v>2.4643018740011069</c:v>
                </c:pt>
                <c:pt idx="36">
                  <c:v>5.0118899529674854</c:v>
                </c:pt>
                <c:pt idx="37">
                  <c:v>2.0020620393283561</c:v>
                </c:pt>
                <c:pt idx="38">
                  <c:v>3.0034650595811785</c:v>
                </c:pt>
                <c:pt idx="39">
                  <c:v>3.6698109281631419</c:v>
                </c:pt>
                <c:pt idx="40">
                  <c:v>3.5862163181135776</c:v>
                </c:pt>
                <c:pt idx="42">
                  <c:v>1.5993552333908534</c:v>
                </c:pt>
                <c:pt idx="43">
                  <c:v>3.9710798144611203</c:v>
                </c:pt>
                <c:pt idx="44">
                  <c:v>3.2189749617711483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408.30646536490326</c:v>
                </c:pt>
                <c:pt idx="1">
                  <c:v>76.252327765452037</c:v>
                </c:pt>
                <c:pt idx="2">
                  <c:v>312.99213703539908</c:v>
                </c:pt>
                <c:pt idx="3">
                  <c:v>186.48997671112124</c:v>
                </c:pt>
                <c:pt idx="4">
                  <c:v>141.88392750613957</c:v>
                </c:pt>
                <c:pt idx="5">
                  <c:v>497.76901269129939</c:v>
                </c:pt>
                <c:pt idx="6">
                  <c:v>125.1246749917849</c:v>
                </c:pt>
                <c:pt idx="7">
                  <c:v>74.174298630444127</c:v>
                </c:pt>
                <c:pt idx="8">
                  <c:v>26.323552083401012</c:v>
                </c:pt>
                <c:pt idx="9">
                  <c:v>53.598486268548299</c:v>
                </c:pt>
                <c:pt idx="10">
                  <c:v>196.2200467738312</c:v>
                </c:pt>
                <c:pt idx="11">
                  <c:v>58.450138490650261</c:v>
                </c:pt>
                <c:pt idx="12">
                  <c:v>-68.337410507023606</c:v>
                </c:pt>
                <c:pt idx="13">
                  <c:v>-26.87162043394153</c:v>
                </c:pt>
                <c:pt idx="14">
                  <c:v>-120.1787855196111</c:v>
                </c:pt>
                <c:pt idx="15">
                  <c:v>-148.61455038044528</c:v>
                </c:pt>
                <c:pt idx="16">
                  <c:v>-86.693799045041033</c:v>
                </c:pt>
                <c:pt idx="17">
                  <c:v>-10.41281271164803</c:v>
                </c:pt>
                <c:pt idx="18">
                  <c:v>0.27777014246021281</c:v>
                </c:pt>
                <c:pt idx="19">
                  <c:v>2.1627253410072456</c:v>
                </c:pt>
                <c:pt idx="20">
                  <c:v>-136.42230014634515</c:v>
                </c:pt>
                <c:pt idx="21">
                  <c:v>48.556430269619966</c:v>
                </c:pt>
                <c:pt idx="22">
                  <c:v>-103.59473513422563</c:v>
                </c:pt>
                <c:pt idx="23">
                  <c:v>2.0583313485119561</c:v>
                </c:pt>
                <c:pt idx="24">
                  <c:v>-96.637043862494693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-24.014043082148874</c:v>
                </c:pt>
                <c:pt idx="1">
                  <c:v>168.87350548510506</c:v>
                </c:pt>
                <c:pt idx="2">
                  <c:v>783.3027734084435</c:v>
                </c:pt>
                <c:pt idx="3">
                  <c:v>80.856725137882677</c:v>
                </c:pt>
                <c:pt idx="4">
                  <c:v>82.788009215527154</c:v>
                </c:pt>
                <c:pt idx="5">
                  <c:v>387.83222483108693</c:v>
                </c:pt>
                <c:pt idx="6">
                  <c:v>15.925046244282839</c:v>
                </c:pt>
                <c:pt idx="7">
                  <c:v>488.02781484177399</c:v>
                </c:pt>
                <c:pt idx="8">
                  <c:v>-26.815806114484417</c:v>
                </c:pt>
                <c:pt idx="9">
                  <c:v>-2.3513213001396025</c:v>
                </c:pt>
                <c:pt idx="10">
                  <c:v>149.83053934752138</c:v>
                </c:pt>
                <c:pt idx="11">
                  <c:v>40.24053977710264</c:v>
                </c:pt>
                <c:pt idx="12">
                  <c:v>-173.5228150878371</c:v>
                </c:pt>
                <c:pt idx="13">
                  <c:v>26.050927064713676</c:v>
                </c:pt>
                <c:pt idx="14">
                  <c:v>-56.503620593207415</c:v>
                </c:pt>
                <c:pt idx="15">
                  <c:v>-50.914334851973422</c:v>
                </c:pt>
                <c:pt idx="16">
                  <c:v>43.794166952982437</c:v>
                </c:pt>
                <c:pt idx="17">
                  <c:v>272.21701918340727</c:v>
                </c:pt>
                <c:pt idx="18">
                  <c:v>-24.872804951645094</c:v>
                </c:pt>
                <c:pt idx="19">
                  <c:v>-5.8914938333974973</c:v>
                </c:pt>
                <c:pt idx="20">
                  <c:v>-79.254333542742188</c:v>
                </c:pt>
                <c:pt idx="21">
                  <c:v>123.65215852986933</c:v>
                </c:pt>
                <c:pt idx="22">
                  <c:v>-11.330429149901988</c:v>
                </c:pt>
                <c:pt idx="23">
                  <c:v>10.5062389974496</c:v>
                </c:pt>
                <c:pt idx="24">
                  <c:v>398.39048709735488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484.5587931303553</c:v>
                </c:pt>
                <c:pt idx="1">
                  <c:v>1139.1350539439591</c:v>
                </c:pt>
                <c:pt idx="2">
                  <c:v>475.44105874801016</c:v>
                </c:pt>
                <c:pt idx="3">
                  <c:v>-9.8872720163731174</c:v>
                </c:pt>
                <c:pt idx="4">
                  <c:v>-382.35875537903848</c:v>
                </c:pt>
                <c:pt idx="5">
                  <c:v>-7.9723172281801453</c:v>
                </c:pt>
                <c:pt idx="6">
                  <c:v>-87.865869876724901</c:v>
                </c:pt>
                <c:pt idx="7">
                  <c:v>-101.5364037857139</c:v>
                </c:pt>
                <c:pt idx="8">
                  <c:v>-306.0052875388501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144.85946240295607</c:v>
                </c:pt>
                <c:pt idx="1">
                  <c:v>1334.7797325929405</c:v>
                </c:pt>
                <c:pt idx="2">
                  <c:v>624.61627301895351</c:v>
                </c:pt>
                <c:pt idx="3">
                  <c:v>-133.28227531073435</c:v>
                </c:pt>
                <c:pt idx="4">
                  <c:v>-37.572861427484895</c:v>
                </c:pt>
                <c:pt idx="5">
                  <c:v>241.45272039836482</c:v>
                </c:pt>
                <c:pt idx="6">
                  <c:v>44.397824987127024</c:v>
                </c:pt>
                <c:pt idx="7">
                  <c:v>-0.82419015245227456</c:v>
                </c:pt>
                <c:pt idx="8">
                  <c:v>-8.0166864923749017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1555.0928290692907</c:v>
                </c:pt>
                <c:pt idx="1">
                  <c:v>1701.6753313117376</c:v>
                </c:pt>
                <c:pt idx="2">
                  <c:v>1768.8376003986216</c:v>
                </c:pt>
                <c:pt idx="3">
                  <c:v>1803.8616337069168</c:v>
                </c:pt>
                <c:pt idx="4">
                  <c:v>1783.5778246208415</c:v>
                </c:pt>
                <c:pt idx="5">
                  <c:v>1899.4336390268675</c:v>
                </c:pt>
                <c:pt idx="6">
                  <c:v>2045.5640482225749</c:v>
                </c:pt>
                <c:pt idx="7">
                  <c:v>2109.9783428562946</c:v>
                </c:pt>
                <c:pt idx="8">
                  <c:v>2146.7915220075411</c:v>
                </c:pt>
                <c:pt idx="9">
                  <c:v>2252.4434759690844</c:v>
                </c:pt>
                <c:pt idx="10">
                  <c:v>2307.7401043917707</c:v>
                </c:pt>
                <c:pt idx="11">
                  <c:v>2020.6695697131854</c:v>
                </c:pt>
                <c:pt idx="12">
                  <c:v>2039.226167084053</c:v>
                </c:pt>
                <c:pt idx="13">
                  <c:v>2062.0781917464033</c:v>
                </c:pt>
                <c:pt idx="14">
                  <c:v>2086.1879671218203</c:v>
                </c:pt>
                <c:pt idx="15">
                  <c:v>2105.3021001707893</c:v>
                </c:pt>
                <c:pt idx="16">
                  <c:v>2123.0468545074059</c:v>
                </c:pt>
                <c:pt idx="17">
                  <c:v>2139.934293482087</c:v>
                </c:pt>
                <c:pt idx="18">
                  <c:v>2156.9116932273018</c:v>
                </c:pt>
                <c:pt idx="19">
                  <c:v>2173.9490177270209</c:v>
                </c:pt>
                <c:pt idx="20">
                  <c:v>2191.9741304865602</c:v>
                </c:pt>
                <c:pt idx="21">
                  <c:v>2209.9091572858888</c:v>
                </c:pt>
                <c:pt idx="22">
                  <c:v>2228.1053799927008</c:v>
                </c:pt>
                <c:pt idx="23">
                  <c:v>2246.5212052872025</c:v>
                </c:pt>
                <c:pt idx="24">
                  <c:v>2265.1173260346027</c:v>
                </c:pt>
                <c:pt idx="25">
                  <c:v>2283.7260613096219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726.53286960006096</c:v>
                </c:pt>
                <c:pt idx="1">
                  <c:v>809.76027474962098</c:v>
                </c:pt>
                <c:pt idx="2">
                  <c:v>844.73722938445633</c:v>
                </c:pt>
                <c:pt idx="3">
                  <c:v>851.66713162237295</c:v>
                </c:pt>
                <c:pt idx="4">
                  <c:v>949.54639855717267</c:v>
                </c:pt>
                <c:pt idx="5">
                  <c:v>923.52132759385643</c:v>
                </c:pt>
                <c:pt idx="6">
                  <c:v>869.01550996773653</c:v>
                </c:pt>
                <c:pt idx="7">
                  <c:v>938.01163316265843</c:v>
                </c:pt>
                <c:pt idx="8">
                  <c:v>948.17636852090061</c:v>
                </c:pt>
                <c:pt idx="9">
                  <c:v>989.34422722021304</c:v>
                </c:pt>
                <c:pt idx="10">
                  <c:v>999.77365535930846</c:v>
                </c:pt>
                <c:pt idx="11">
                  <c:v>985.17943546207164</c:v>
                </c:pt>
                <c:pt idx="12">
                  <c:v>997.95483073527748</c:v>
                </c:pt>
                <c:pt idx="13">
                  <c:v>1013.0529018572485</c:v>
                </c:pt>
                <c:pt idx="14">
                  <c:v>1028.8361064445978</c:v>
                </c:pt>
                <c:pt idx="15">
                  <c:v>1042.1448090573083</c:v>
                </c:pt>
                <c:pt idx="16">
                  <c:v>1054.7266323496247</c:v>
                </c:pt>
                <c:pt idx="17">
                  <c:v>1066.9002794940043</c:v>
                </c:pt>
                <c:pt idx="18">
                  <c:v>1079.1240132661419</c:v>
                </c:pt>
                <c:pt idx="19">
                  <c:v>1091.3758569887395</c:v>
                </c:pt>
                <c:pt idx="20">
                  <c:v>1104.1749604171184</c:v>
                </c:pt>
                <c:pt idx="21">
                  <c:v>1116.9862060234846</c:v>
                </c:pt>
                <c:pt idx="22">
                  <c:v>1129.8742195423456</c:v>
                </c:pt>
                <c:pt idx="23">
                  <c:v>1142.8042254692919</c:v>
                </c:pt>
                <c:pt idx="24">
                  <c:v>1155.7085293775133</c:v>
                </c:pt>
                <c:pt idx="25">
                  <c:v>1168.6471608444135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1420.1871427982635</c:v>
                </c:pt>
                <c:pt idx="1">
                  <c:v>1371.03019083965</c:v>
                </c:pt>
                <c:pt idx="2">
                  <c:v>1410.8536520703931</c:v>
                </c:pt>
                <c:pt idx="3">
                  <c:v>1421.8298267210989</c:v>
                </c:pt>
                <c:pt idx="4">
                  <c:v>1524.5507102970569</c:v>
                </c:pt>
                <c:pt idx="5">
                  <c:v>1585.0798970775459</c:v>
                </c:pt>
                <c:pt idx="6">
                  <c:v>1675.9861851188994</c:v>
                </c:pt>
                <c:pt idx="7">
                  <c:v>1640.6753711170347</c:v>
                </c:pt>
                <c:pt idx="8">
                  <c:v>1750.0156419990578</c:v>
                </c:pt>
                <c:pt idx="9">
                  <c:v>1824.270392837615</c:v>
                </c:pt>
                <c:pt idx="10">
                  <c:v>1898.0720341129449</c:v>
                </c:pt>
                <c:pt idx="11">
                  <c:v>2208.0157053981329</c:v>
                </c:pt>
                <c:pt idx="12">
                  <c:v>2240.9181351123125</c:v>
                </c:pt>
                <c:pt idx="13">
                  <c:v>2278.7432667420426</c:v>
                </c:pt>
                <c:pt idx="14">
                  <c:v>2317.8985004734191</c:v>
                </c:pt>
                <c:pt idx="15">
                  <c:v>2351.7516802899086</c:v>
                </c:pt>
                <c:pt idx="16">
                  <c:v>2384.3803748346795</c:v>
                </c:pt>
                <c:pt idx="17">
                  <c:v>2416.1303491436356</c:v>
                </c:pt>
                <c:pt idx="18">
                  <c:v>2448.1080065732931</c:v>
                </c:pt>
                <c:pt idx="19">
                  <c:v>2480.229344788766</c:v>
                </c:pt>
                <c:pt idx="20">
                  <c:v>2513.3809298576848</c:v>
                </c:pt>
                <c:pt idx="21">
                  <c:v>2546.4725012890367</c:v>
                </c:pt>
                <c:pt idx="22">
                  <c:v>2579.8447088758021</c:v>
                </c:pt>
                <c:pt idx="23">
                  <c:v>2613.5035576657438</c:v>
                </c:pt>
                <c:pt idx="24">
                  <c:v>2647.3108252458237</c:v>
                </c:pt>
                <c:pt idx="25">
                  <c:v>2681.3748075213884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1003.1062302288118</c:v>
                </c:pt>
                <c:pt idx="1">
                  <c:v>1064.041090917136</c:v>
                </c:pt>
                <c:pt idx="2">
                  <c:v>1102.527517522215</c:v>
                </c:pt>
                <c:pt idx="3">
                  <c:v>1134.0024383377586</c:v>
                </c:pt>
                <c:pt idx="4">
                  <c:v>1164.7839841833836</c:v>
                </c:pt>
                <c:pt idx="5">
                  <c:v>1169.4428202608058</c:v>
                </c:pt>
                <c:pt idx="6">
                  <c:v>1222.7706178330973</c:v>
                </c:pt>
                <c:pt idx="7">
                  <c:v>1283.4823875362081</c:v>
                </c:pt>
                <c:pt idx="8">
                  <c:v>1286.5115535839668</c:v>
                </c:pt>
                <c:pt idx="9">
                  <c:v>1354.656644154659</c:v>
                </c:pt>
                <c:pt idx="10">
                  <c:v>1355.932796971927</c:v>
                </c:pt>
                <c:pt idx="11">
                  <c:v>1295.4152955170271</c:v>
                </c:pt>
                <c:pt idx="12">
                  <c:v>1305.6194803310686</c:v>
                </c:pt>
                <c:pt idx="13">
                  <c:v>1317.8994899687928</c:v>
                </c:pt>
                <c:pt idx="14">
                  <c:v>1331.3509072611735</c:v>
                </c:pt>
                <c:pt idx="15">
                  <c:v>1342.0489197398499</c:v>
                </c:pt>
                <c:pt idx="16">
                  <c:v>1351.7426967142662</c:v>
                </c:pt>
                <c:pt idx="17">
                  <c:v>1361.0327825415568</c:v>
                </c:pt>
                <c:pt idx="18">
                  <c:v>1370.3423457489669</c:v>
                </c:pt>
                <c:pt idx="19">
                  <c:v>1379.2821821084401</c:v>
                </c:pt>
                <c:pt idx="20">
                  <c:v>1388.8226812102985</c:v>
                </c:pt>
                <c:pt idx="21">
                  <c:v>1398.3936395506566</c:v>
                </c:pt>
                <c:pt idx="22">
                  <c:v>1408.0257000605707</c:v>
                </c:pt>
                <c:pt idx="23">
                  <c:v>1417.7974185499127</c:v>
                </c:pt>
                <c:pt idx="24">
                  <c:v>1427.3898130154948</c:v>
                </c:pt>
                <c:pt idx="25">
                  <c:v>1436.7895221098097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1297.4817116619042</c:v>
                </c:pt>
                <c:pt idx="1">
                  <c:v>1295.5041258612828</c:v>
                </c:pt>
                <c:pt idx="2">
                  <c:v>1304.7901020474008</c:v>
                </c:pt>
                <c:pt idx="3">
                  <c:v>1321.837894959481</c:v>
                </c:pt>
                <c:pt idx="4">
                  <c:v>1349.6706922222211</c:v>
                </c:pt>
                <c:pt idx="5">
                  <c:v>1361.7491851591385</c:v>
                </c:pt>
                <c:pt idx="6">
                  <c:v>1414.0951948998791</c:v>
                </c:pt>
                <c:pt idx="7">
                  <c:v>1370.7149536025515</c:v>
                </c:pt>
                <c:pt idx="8">
                  <c:v>1392.5093588649409</c:v>
                </c:pt>
                <c:pt idx="9">
                  <c:v>1441.2390325186957</c:v>
                </c:pt>
                <c:pt idx="10">
                  <c:v>1503.6331126652781</c:v>
                </c:pt>
                <c:pt idx="11">
                  <c:v>1431.0705319807728</c:v>
                </c:pt>
                <c:pt idx="12">
                  <c:v>1437.1359415396485</c:v>
                </c:pt>
                <c:pt idx="13">
                  <c:v>1450.0385799790658</c:v>
                </c:pt>
                <c:pt idx="14">
                  <c:v>1464.5412160841429</c:v>
                </c:pt>
                <c:pt idx="15">
                  <c:v>1476.7704130845411</c:v>
                </c:pt>
                <c:pt idx="16">
                  <c:v>1488.0530073095877</c:v>
                </c:pt>
                <c:pt idx="17">
                  <c:v>1498.8522099789852</c:v>
                </c:pt>
                <c:pt idx="18">
                  <c:v>1509.541338040068</c:v>
                </c:pt>
                <c:pt idx="19">
                  <c:v>1520.1282709017225</c:v>
                </c:pt>
                <c:pt idx="20">
                  <c:v>1531.1497341025417</c:v>
                </c:pt>
                <c:pt idx="21">
                  <c:v>1542.0761190101227</c:v>
                </c:pt>
                <c:pt idx="22">
                  <c:v>1553.0226216123394</c:v>
                </c:pt>
                <c:pt idx="23">
                  <c:v>1564.1050843295614</c:v>
                </c:pt>
                <c:pt idx="24">
                  <c:v>1575.2463513714326</c:v>
                </c:pt>
                <c:pt idx="25">
                  <c:v>1586.4211218808052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1771.1979931311132</c:v>
                </c:pt>
                <c:pt idx="1">
                  <c:v>1672.3544254051126</c:v>
                </c:pt>
                <c:pt idx="2">
                  <c:v>1691.7599888954103</c:v>
                </c:pt>
                <c:pt idx="3">
                  <c:v>1774.6569131666599</c:v>
                </c:pt>
                <c:pt idx="4">
                  <c:v>1823.1515347704856</c:v>
                </c:pt>
                <c:pt idx="5">
                  <c:v>1796.9718795456633</c:v>
                </c:pt>
                <c:pt idx="6">
                  <c:v>1939.1167170706967</c:v>
                </c:pt>
                <c:pt idx="7">
                  <c:v>1945.3390799154936</c:v>
                </c:pt>
                <c:pt idx="8">
                  <c:v>2039.233478140331</c:v>
                </c:pt>
                <c:pt idx="9">
                  <c:v>2126.0095445543111</c:v>
                </c:pt>
                <c:pt idx="10">
                  <c:v>2294.7408922369627</c:v>
                </c:pt>
                <c:pt idx="11">
                  <c:v>2309.7330906896996</c:v>
                </c:pt>
                <c:pt idx="12">
                  <c:v>2336.5043489055056</c:v>
                </c:pt>
                <c:pt idx="13">
                  <c:v>2367.6589165203682</c:v>
                </c:pt>
                <c:pt idx="14">
                  <c:v>2400.4322805152065</c:v>
                </c:pt>
                <c:pt idx="15">
                  <c:v>2427.5298169832067</c:v>
                </c:pt>
                <c:pt idx="16">
                  <c:v>2453.0480343460608</c:v>
                </c:pt>
                <c:pt idx="17">
                  <c:v>2477.6740418975323</c:v>
                </c:pt>
                <c:pt idx="18">
                  <c:v>2502.286102874642</c:v>
                </c:pt>
                <c:pt idx="19">
                  <c:v>2526.9852537392485</c:v>
                </c:pt>
                <c:pt idx="20">
                  <c:v>2552.7216166982244</c:v>
                </c:pt>
                <c:pt idx="21">
                  <c:v>2578.24037034918</c:v>
                </c:pt>
                <c:pt idx="22">
                  <c:v>2604.0126061070109</c:v>
                </c:pt>
                <c:pt idx="23">
                  <c:v>2630.0491240738202</c:v>
                </c:pt>
                <c:pt idx="24">
                  <c:v>2656.2381214358588</c:v>
                </c:pt>
                <c:pt idx="25">
                  <c:v>2682.5731170680497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467.45212498258547</c:v>
                </c:pt>
                <c:pt idx="1">
                  <c:v>458.9642944705285</c:v>
                </c:pt>
                <c:pt idx="2">
                  <c:v>476.81921516189573</c:v>
                </c:pt>
                <c:pt idx="3">
                  <c:v>486.60871672736562</c:v>
                </c:pt>
                <c:pt idx="4">
                  <c:v>460.94644461315312</c:v>
                </c:pt>
                <c:pt idx="5">
                  <c:v>463.28274271165401</c:v>
                </c:pt>
                <c:pt idx="6">
                  <c:v>493.3111167671247</c:v>
                </c:pt>
                <c:pt idx="7">
                  <c:v>544.29302394740648</c:v>
                </c:pt>
                <c:pt idx="8">
                  <c:v>557.78804474796061</c:v>
                </c:pt>
                <c:pt idx="9">
                  <c:v>545.82660644977284</c:v>
                </c:pt>
                <c:pt idx="10">
                  <c:v>588.40741770343891</c:v>
                </c:pt>
                <c:pt idx="11">
                  <c:v>535.1996756104694</c:v>
                </c:pt>
                <c:pt idx="12">
                  <c:v>540.04061640264365</c:v>
                </c:pt>
                <c:pt idx="13">
                  <c:v>546.05441076724628</c:v>
                </c:pt>
                <c:pt idx="14">
                  <c:v>552.39218527986588</c:v>
                </c:pt>
                <c:pt idx="15">
                  <c:v>557.42579875001081</c:v>
                </c:pt>
                <c:pt idx="16">
                  <c:v>562.17290266107761</c:v>
                </c:pt>
                <c:pt idx="17">
                  <c:v>566.59990616714367</c:v>
                </c:pt>
                <c:pt idx="18">
                  <c:v>570.98427618938445</c:v>
                </c:pt>
                <c:pt idx="19">
                  <c:v>575.41225108705146</c:v>
                </c:pt>
                <c:pt idx="20">
                  <c:v>580.14375050958279</c:v>
                </c:pt>
                <c:pt idx="21">
                  <c:v>584.87133507701174</c:v>
                </c:pt>
                <c:pt idx="22">
                  <c:v>589.664402607532</c:v>
                </c:pt>
                <c:pt idx="23">
                  <c:v>594.50960849235435</c:v>
                </c:pt>
                <c:pt idx="24">
                  <c:v>599.41711245774638</c:v>
                </c:pt>
                <c:pt idx="25">
                  <c:v>604.33246394772175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373.82851432693712</c:v>
                </c:pt>
                <c:pt idx="1">
                  <c:v>474.94822882153028</c:v>
                </c:pt>
                <c:pt idx="2">
                  <c:v>475.20536509795249</c:v>
                </c:pt>
                <c:pt idx="3">
                  <c:v>470.76042378672764</c:v>
                </c:pt>
                <c:pt idx="4">
                  <c:v>482.03043540624344</c:v>
                </c:pt>
                <c:pt idx="5">
                  <c:v>493.00201988165986</c:v>
                </c:pt>
                <c:pt idx="6">
                  <c:v>507.8356589265872</c:v>
                </c:pt>
                <c:pt idx="7">
                  <c:v>509.1162886777438</c:v>
                </c:pt>
                <c:pt idx="8">
                  <c:v>552.21677460044202</c:v>
                </c:pt>
                <c:pt idx="9">
                  <c:v>555.82389825767791</c:v>
                </c:pt>
                <c:pt idx="10">
                  <c:v>567.17631851210399</c:v>
                </c:pt>
                <c:pt idx="11">
                  <c:v>831.00677507395039</c:v>
                </c:pt>
                <c:pt idx="12">
                  <c:v>846.41266809449633</c:v>
                </c:pt>
                <c:pt idx="13">
                  <c:v>863.1621857052113</c:v>
                </c:pt>
                <c:pt idx="14">
                  <c:v>880.85542416079056</c:v>
                </c:pt>
                <c:pt idx="15">
                  <c:v>896.94389420552898</c:v>
                </c:pt>
                <c:pt idx="16">
                  <c:v>912.40026804206934</c:v>
                </c:pt>
                <c:pt idx="17">
                  <c:v>927.63547200996948</c:v>
                </c:pt>
                <c:pt idx="18">
                  <c:v>942.84817643368456</c:v>
                </c:pt>
                <c:pt idx="19">
                  <c:v>958.23815829457953</c:v>
                </c:pt>
                <c:pt idx="20">
                  <c:v>974.10838876662058</c:v>
                </c:pt>
                <c:pt idx="21">
                  <c:v>990.10454143440688</c:v>
                </c:pt>
                <c:pt idx="22">
                  <c:v>1006.1628490906724</c:v>
                </c:pt>
                <c:pt idx="23">
                  <c:v>1022.3359093067124</c:v>
                </c:pt>
                <c:pt idx="24">
                  <c:v>1038.6836860026249</c:v>
                </c:pt>
                <c:pt idx="25">
                  <c:v>1055.204133353878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277.50432583413368</c:v>
                </c:pt>
                <c:pt idx="1">
                  <c:v>317.64418210175398</c:v>
                </c:pt>
                <c:pt idx="2">
                  <c:v>314.7992267457455</c:v>
                </c:pt>
                <c:pt idx="3">
                  <c:v>286.95905987820311</c:v>
                </c:pt>
                <c:pt idx="4">
                  <c:v>292.0194409616098</c:v>
                </c:pt>
                <c:pt idx="5">
                  <c:v>294.53338224612924</c:v>
                </c:pt>
                <c:pt idx="6">
                  <c:v>318.8082823611357</c:v>
                </c:pt>
                <c:pt idx="7">
                  <c:v>305.02037147142806</c:v>
                </c:pt>
                <c:pt idx="8">
                  <c:v>303.01112175323885</c:v>
                </c:pt>
                <c:pt idx="9">
                  <c:v>302.83777946632176</c:v>
                </c:pt>
                <c:pt idx="10">
                  <c:v>320.85693432953025</c:v>
                </c:pt>
                <c:pt idx="11">
                  <c:v>263.0316079198841</c:v>
                </c:pt>
                <c:pt idx="12">
                  <c:v>265.42431765744169</c:v>
                </c:pt>
                <c:pt idx="13">
                  <c:v>268.11137630996438</c:v>
                </c:pt>
                <c:pt idx="14">
                  <c:v>271.04227928132218</c:v>
                </c:pt>
                <c:pt idx="15">
                  <c:v>273.21297114851421</c:v>
                </c:pt>
                <c:pt idx="16">
                  <c:v>275.1867631334008</c:v>
                </c:pt>
                <c:pt idx="17">
                  <c:v>277.04995708552894</c:v>
                </c:pt>
                <c:pt idx="18">
                  <c:v>278.92453822391502</c:v>
                </c:pt>
                <c:pt idx="19">
                  <c:v>280.95493403170292</c:v>
                </c:pt>
                <c:pt idx="20">
                  <c:v>283.0600977044848</c:v>
                </c:pt>
                <c:pt idx="21">
                  <c:v>285.18099184675356</c:v>
                </c:pt>
                <c:pt idx="22">
                  <c:v>287.28393267429595</c:v>
                </c:pt>
                <c:pt idx="23">
                  <c:v>289.61454708879302</c:v>
                </c:pt>
                <c:pt idx="24">
                  <c:v>291.78898233736459</c:v>
                </c:pt>
                <c:pt idx="25">
                  <c:v>294.04112821504583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462.54838632371457</c:v>
                </c:pt>
                <c:pt idx="1">
                  <c:v>489.25441131280434</c:v>
                </c:pt>
                <c:pt idx="2">
                  <c:v>535.5760487102184</c:v>
                </c:pt>
                <c:pt idx="3">
                  <c:v>533.88475683416993</c:v>
                </c:pt>
                <c:pt idx="4">
                  <c:v>600.42127395323917</c:v>
                </c:pt>
                <c:pt idx="5">
                  <c:v>627.36985128235642</c:v>
                </c:pt>
                <c:pt idx="6">
                  <c:v>624.96935038546326</c:v>
                </c:pt>
                <c:pt idx="7">
                  <c:v>647.69870772820764</c:v>
                </c:pt>
                <c:pt idx="8">
                  <c:v>652.92825482883882</c:v>
                </c:pt>
                <c:pt idx="9">
                  <c:v>627.37830048121612</c:v>
                </c:pt>
                <c:pt idx="10">
                  <c:v>680.96833755090472</c:v>
                </c:pt>
                <c:pt idx="11">
                  <c:v>597.00078954365802</c:v>
                </c:pt>
                <c:pt idx="12">
                  <c:v>601.55421136432267</c:v>
                </c:pt>
                <c:pt idx="13">
                  <c:v>608.52237730697914</c:v>
                </c:pt>
                <c:pt idx="14">
                  <c:v>616.18987354854153</c:v>
                </c:pt>
                <c:pt idx="15">
                  <c:v>622.21446039961336</c:v>
                </c:pt>
                <c:pt idx="16">
                  <c:v>627.77759831273465</c:v>
                </c:pt>
                <c:pt idx="17">
                  <c:v>633.15575936741232</c:v>
                </c:pt>
                <c:pt idx="18">
                  <c:v>638.45727492469746</c:v>
                </c:pt>
                <c:pt idx="19">
                  <c:v>643.77619104072721</c:v>
                </c:pt>
                <c:pt idx="20">
                  <c:v>649.3930391722489</c:v>
                </c:pt>
                <c:pt idx="21">
                  <c:v>654.98823780754594</c:v>
                </c:pt>
                <c:pt idx="22">
                  <c:v>660.79058244167197</c:v>
                </c:pt>
                <c:pt idx="23">
                  <c:v>666.67172015192705</c:v>
                </c:pt>
                <c:pt idx="24">
                  <c:v>672.75314685707315</c:v>
                </c:pt>
                <c:pt idx="25">
                  <c:v>678.61701625076512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1711.5475637504305</c:v>
                </c:pt>
                <c:pt idx="1">
                  <c:v>1599.9631894222264</c:v>
                </c:pt>
                <c:pt idx="2">
                  <c:v>1679.9833078962529</c:v>
                </c:pt>
                <c:pt idx="3">
                  <c:v>1683.4960935310733</c:v>
                </c:pt>
                <c:pt idx="4">
                  <c:v>1778.320753716536</c:v>
                </c:pt>
                <c:pt idx="5">
                  <c:v>1794.8908672659011</c:v>
                </c:pt>
                <c:pt idx="6">
                  <c:v>1846.7136302523825</c:v>
                </c:pt>
                <c:pt idx="7">
                  <c:v>1879.0825903185862</c:v>
                </c:pt>
                <c:pt idx="8">
                  <c:v>1878.0823688388552</c:v>
                </c:pt>
                <c:pt idx="9">
                  <c:v>1934.4233181110708</c:v>
                </c:pt>
                <c:pt idx="10">
                  <c:v>1991.1109140397323</c:v>
                </c:pt>
                <c:pt idx="11">
                  <c:v>1964.2002420833762</c:v>
                </c:pt>
                <c:pt idx="12">
                  <c:v>1977.6297989261247</c:v>
                </c:pt>
                <c:pt idx="13">
                  <c:v>1994.2452552352172</c:v>
                </c:pt>
                <c:pt idx="14">
                  <c:v>2012.1105186971431</c:v>
                </c:pt>
                <c:pt idx="15">
                  <c:v>2025.3749831613666</c:v>
                </c:pt>
                <c:pt idx="16">
                  <c:v>2037.2806254439079</c:v>
                </c:pt>
                <c:pt idx="17">
                  <c:v>2048.3917147322495</c:v>
                </c:pt>
                <c:pt idx="18">
                  <c:v>2059.5182755792057</c:v>
                </c:pt>
                <c:pt idx="19">
                  <c:v>2070.5502945913595</c:v>
                </c:pt>
                <c:pt idx="20">
                  <c:v>2082.3260137125239</c:v>
                </c:pt>
                <c:pt idx="21">
                  <c:v>2093.8703714067924</c:v>
                </c:pt>
                <c:pt idx="22">
                  <c:v>2105.5632136245854</c:v>
                </c:pt>
                <c:pt idx="23">
                  <c:v>2117.3269608733845</c:v>
                </c:pt>
                <c:pt idx="24">
                  <c:v>2129.1591043919857</c:v>
                </c:pt>
                <c:pt idx="25">
                  <c:v>2140.9414533872537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2338.6858561099734</c:v>
                </c:pt>
                <c:pt idx="1">
                  <c:v>2357.1875636041091</c:v>
                </c:pt>
                <c:pt idx="2">
                  <c:v>2409.7689721780303</c:v>
                </c:pt>
                <c:pt idx="3">
                  <c:v>2342.5686313577339</c:v>
                </c:pt>
                <c:pt idx="4">
                  <c:v>2431.3491523472653</c:v>
                </c:pt>
                <c:pt idx="5">
                  <c:v>2509.3095493403998</c:v>
                </c:pt>
                <c:pt idx="6">
                  <c:v>2454.3293356461022</c:v>
                </c:pt>
                <c:pt idx="7">
                  <c:v>2532.8963300499013</c:v>
                </c:pt>
                <c:pt idx="8">
                  <c:v>2483.9848850864178</c:v>
                </c:pt>
                <c:pt idx="9">
                  <c:v>2472.5923602894604</c:v>
                </c:pt>
                <c:pt idx="10">
                  <c:v>2567.7596878310501</c:v>
                </c:pt>
                <c:pt idx="11">
                  <c:v>2649.032736235969</c:v>
                </c:pt>
                <c:pt idx="12">
                  <c:v>2648.8633356487389</c:v>
                </c:pt>
                <c:pt idx="13">
                  <c:v>2652.2696866295651</c:v>
                </c:pt>
                <c:pt idx="14">
                  <c:v>2657.464570091272</c:v>
                </c:pt>
                <c:pt idx="15">
                  <c:v>2656.3729438846876</c:v>
                </c:pt>
                <c:pt idx="16">
                  <c:v>2653.2537178242624</c:v>
                </c:pt>
                <c:pt idx="17">
                  <c:v>2648.9103458041805</c:v>
                </c:pt>
                <c:pt idx="18">
                  <c:v>2644.4270683576738</c:v>
                </c:pt>
                <c:pt idx="19">
                  <c:v>2639.6610442296164</c:v>
                </c:pt>
                <c:pt idx="20">
                  <c:v>2635.5615256027036</c:v>
                </c:pt>
                <c:pt idx="21">
                  <c:v>2630.6069190609969</c:v>
                </c:pt>
                <c:pt idx="22">
                  <c:v>2625.3604346913526</c:v>
                </c:pt>
                <c:pt idx="23">
                  <c:v>2619.8026725352152</c:v>
                </c:pt>
                <c:pt idx="24">
                  <c:v>2613.9643630371543</c:v>
                </c:pt>
                <c:pt idx="25">
                  <c:v>2608.0002276081527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735.01697551531913</c:v>
                </c:pt>
                <c:pt idx="1">
                  <c:v>665.97162621013626</c:v>
                </c:pt>
                <c:pt idx="2">
                  <c:v>655.65170357382351</c:v>
                </c:pt>
                <c:pt idx="3">
                  <c:v>675.65452512983484</c:v>
                </c:pt>
                <c:pt idx="4">
                  <c:v>681.38289474709552</c:v>
                </c:pt>
                <c:pt idx="5">
                  <c:v>640.18421130639149</c:v>
                </c:pt>
                <c:pt idx="6">
                  <c:v>612.49984964715406</c:v>
                </c:pt>
                <c:pt idx="7">
                  <c:v>634.60419697243776</c:v>
                </c:pt>
                <c:pt idx="8">
                  <c:v>643.43542546917195</c:v>
                </c:pt>
                <c:pt idx="9">
                  <c:v>588.31426570119629</c:v>
                </c:pt>
                <c:pt idx="10">
                  <c:v>571.84680079936788</c:v>
                </c:pt>
                <c:pt idx="11">
                  <c:v>569.5542845468957</c:v>
                </c:pt>
                <c:pt idx="12">
                  <c:v>558.76039703819231</c:v>
                </c:pt>
                <c:pt idx="13">
                  <c:v>548.439525517015</c:v>
                </c:pt>
                <c:pt idx="14">
                  <c:v>538.35891493925703</c:v>
                </c:pt>
                <c:pt idx="15">
                  <c:v>527.15747825162987</c:v>
                </c:pt>
                <c:pt idx="16">
                  <c:v>515.05597506938682</c:v>
                </c:pt>
                <c:pt idx="17">
                  <c:v>502.72983623769517</c:v>
                </c:pt>
                <c:pt idx="18">
                  <c:v>490.432447571311</c:v>
                </c:pt>
                <c:pt idx="19">
                  <c:v>477.71142711568746</c:v>
                </c:pt>
                <c:pt idx="20">
                  <c:v>464.58889699309645</c:v>
                </c:pt>
                <c:pt idx="21">
                  <c:v>451.70094018046376</c:v>
                </c:pt>
                <c:pt idx="22">
                  <c:v>438.47216460434242</c:v>
                </c:pt>
                <c:pt idx="23">
                  <c:v>425.14139299102817</c:v>
                </c:pt>
                <c:pt idx="24">
                  <c:v>411.51611318881908</c:v>
                </c:pt>
                <c:pt idx="25">
                  <c:v>398.32398571153078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272.36462616285922</c:v>
                </c:pt>
                <c:pt idx="1">
                  <c:v>276.5285613635557</c:v>
                </c:pt>
                <c:pt idx="2">
                  <c:v>289.60161378682659</c:v>
                </c:pt>
                <c:pt idx="3">
                  <c:v>267.76720721228531</c:v>
                </c:pt>
                <c:pt idx="4">
                  <c:v>299.67659857213431</c:v>
                </c:pt>
                <c:pt idx="5">
                  <c:v>298.83864607965563</c:v>
                </c:pt>
                <c:pt idx="6">
                  <c:v>294.20827280605909</c:v>
                </c:pt>
                <c:pt idx="7">
                  <c:v>272.68968976846514</c:v>
                </c:pt>
                <c:pt idx="8">
                  <c:v>277.13467958454407</c:v>
                </c:pt>
                <c:pt idx="9">
                  <c:v>302.26783410806155</c:v>
                </c:pt>
                <c:pt idx="10">
                  <c:v>271.9670256457141</c:v>
                </c:pt>
                <c:pt idx="11">
                  <c:v>256.58302583663601</c:v>
                </c:pt>
                <c:pt idx="12">
                  <c:v>258.8105226426855</c:v>
                </c:pt>
                <c:pt idx="13">
                  <c:v>262.50406734005122</c:v>
                </c:pt>
                <c:pt idx="14">
                  <c:v>266.43492538523998</c:v>
                </c:pt>
                <c:pt idx="15">
                  <c:v>269.43754865618814</c:v>
                </c:pt>
                <c:pt idx="16">
                  <c:v>272.2321622863152</c:v>
                </c:pt>
                <c:pt idx="17">
                  <c:v>274.87213830935195</c:v>
                </c:pt>
                <c:pt idx="18">
                  <c:v>277.52280229082692</c:v>
                </c:pt>
                <c:pt idx="19">
                  <c:v>280.18185022714692</c:v>
                </c:pt>
                <c:pt idx="20">
                  <c:v>283.02994881934285</c:v>
                </c:pt>
                <c:pt idx="21">
                  <c:v>285.9188148133573</c:v>
                </c:pt>
                <c:pt idx="22">
                  <c:v>288.87317704215906</c:v>
                </c:pt>
                <c:pt idx="23">
                  <c:v>291.89000474339809</c:v>
                </c:pt>
                <c:pt idx="24">
                  <c:v>294.91979455161322</c:v>
                </c:pt>
                <c:pt idx="25">
                  <c:v>298.01795271042778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956.58713840807025</c:v>
                </c:pt>
                <c:pt idx="1">
                  <c:v>987.12234980688095</c:v>
                </c:pt>
                <c:pt idx="2">
                  <c:v>943.79743690778787</c:v>
                </c:pt>
                <c:pt idx="3">
                  <c:v>970.16459034653974</c:v>
                </c:pt>
                <c:pt idx="4">
                  <c:v>1034.798173876</c:v>
                </c:pt>
                <c:pt idx="5">
                  <c:v>1042.1574658136535</c:v>
                </c:pt>
                <c:pt idx="6">
                  <c:v>1033.7295314702706</c:v>
                </c:pt>
                <c:pt idx="7">
                  <c:v>1026.5369998899057</c:v>
                </c:pt>
                <c:pt idx="8">
                  <c:v>1011.5259150308284</c:v>
                </c:pt>
                <c:pt idx="9">
                  <c:v>1064.18444026626</c:v>
                </c:pt>
                <c:pt idx="10">
                  <c:v>921.97868029404242</c:v>
                </c:pt>
                <c:pt idx="11">
                  <c:v>929.04591281801811</c:v>
                </c:pt>
                <c:pt idx="12">
                  <c:v>925.01270624386211</c:v>
                </c:pt>
                <c:pt idx="13">
                  <c:v>923.13600952045101</c:v>
                </c:pt>
                <c:pt idx="14">
                  <c:v>921.46309056694167</c:v>
                </c:pt>
                <c:pt idx="15">
                  <c:v>917.17586309660999</c:v>
                </c:pt>
                <c:pt idx="16">
                  <c:v>912.24572536096741</c:v>
                </c:pt>
                <c:pt idx="17">
                  <c:v>906.8358678561433</c:v>
                </c:pt>
                <c:pt idx="18">
                  <c:v>901.47020557005726</c:v>
                </c:pt>
                <c:pt idx="19">
                  <c:v>896.09186427210727</c:v>
                </c:pt>
                <c:pt idx="20">
                  <c:v>891.10008975051858</c:v>
                </c:pt>
                <c:pt idx="21">
                  <c:v>886.00097628045137</c:v>
                </c:pt>
                <c:pt idx="22">
                  <c:v>880.91892499546896</c:v>
                </c:pt>
                <c:pt idx="23">
                  <c:v>875.79729722154946</c:v>
                </c:pt>
                <c:pt idx="24">
                  <c:v>870.6473731607847</c:v>
                </c:pt>
                <c:pt idx="25">
                  <c:v>865.475059700835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938.13188245990659</c:v>
                </c:pt>
                <c:pt idx="1">
                  <c:v>881.51071142575029</c:v>
                </c:pt>
                <c:pt idx="2">
                  <c:v>861.7591540097884</c:v>
                </c:pt>
                <c:pt idx="3">
                  <c:v>879.34579674166184</c:v>
                </c:pt>
                <c:pt idx="4">
                  <c:v>899.71941068058061</c:v>
                </c:pt>
                <c:pt idx="5">
                  <c:v>918.22690874959676</c:v>
                </c:pt>
                <c:pt idx="6">
                  <c:v>891.63828195775454</c:v>
                </c:pt>
                <c:pt idx="7">
                  <c:v>932.75593137018279</c:v>
                </c:pt>
                <c:pt idx="8">
                  <c:v>871.87258966697084</c:v>
                </c:pt>
                <c:pt idx="9">
                  <c:v>907.39739905518616</c:v>
                </c:pt>
                <c:pt idx="10">
                  <c:v>769.61235836915148</c:v>
                </c:pt>
                <c:pt idx="11">
                  <c:v>787.83602526375284</c:v>
                </c:pt>
                <c:pt idx="12">
                  <c:v>782.97534441618541</c:v>
                </c:pt>
                <c:pt idx="13">
                  <c:v>781.50946831106694</c:v>
                </c:pt>
                <c:pt idx="14">
                  <c:v>779.91528414556672</c:v>
                </c:pt>
                <c:pt idx="15">
                  <c:v>775.26803802162817</c:v>
                </c:pt>
                <c:pt idx="16">
                  <c:v>770.07603844449841</c:v>
                </c:pt>
                <c:pt idx="17">
                  <c:v>764.51511241483809</c:v>
                </c:pt>
                <c:pt idx="18">
                  <c:v>758.86824037466238</c:v>
                </c:pt>
                <c:pt idx="19">
                  <c:v>753.06163520919029</c:v>
                </c:pt>
                <c:pt idx="20">
                  <c:v>747.51412714996422</c:v>
                </c:pt>
                <c:pt idx="21">
                  <c:v>741.85486585993874</c:v>
                </c:pt>
                <c:pt idx="22">
                  <c:v>736.15140932132988</c:v>
                </c:pt>
                <c:pt idx="23">
                  <c:v>730.41988743203922</c:v>
                </c:pt>
                <c:pt idx="24">
                  <c:v>724.60099469841407</c:v>
                </c:pt>
                <c:pt idx="25">
                  <c:v>718.69802351717806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550.1011254470809</c:v>
                </c:pt>
                <c:pt idx="1">
                  <c:v>551.16236143334595</c:v>
                </c:pt>
                <c:pt idx="2">
                  <c:v>590.73606454154981</c:v>
                </c:pt>
                <c:pt idx="3">
                  <c:v>584.41007422480038</c:v>
                </c:pt>
                <c:pt idx="4">
                  <c:v>615.09262623254176</c:v>
                </c:pt>
                <c:pt idx="5">
                  <c:v>630.46793566083784</c:v>
                </c:pt>
                <c:pt idx="6">
                  <c:v>624.33879163878953</c:v>
                </c:pt>
                <c:pt idx="7">
                  <c:v>635.99587732803855</c:v>
                </c:pt>
                <c:pt idx="8">
                  <c:v>605.59071179298041</c:v>
                </c:pt>
                <c:pt idx="9">
                  <c:v>576.92178100426145</c:v>
                </c:pt>
                <c:pt idx="10">
                  <c:v>543.77413661579681</c:v>
                </c:pt>
                <c:pt idx="11">
                  <c:v>566.68122336253566</c:v>
                </c:pt>
                <c:pt idx="12">
                  <c:v>568.44179948547435</c:v>
                </c:pt>
                <c:pt idx="13">
                  <c:v>571.33709696937876</c:v>
                </c:pt>
                <c:pt idx="14">
                  <c:v>574.35797108563361</c:v>
                </c:pt>
                <c:pt idx="15">
                  <c:v>576.01004503780393</c:v>
                </c:pt>
                <c:pt idx="16">
                  <c:v>577.48388584196164</c:v>
                </c:pt>
                <c:pt idx="17">
                  <c:v>578.7428570362498</c:v>
                </c:pt>
                <c:pt idx="18">
                  <c:v>579.8814856702312</c:v>
                </c:pt>
                <c:pt idx="19">
                  <c:v>581.04101699131616</c:v>
                </c:pt>
                <c:pt idx="20">
                  <c:v>582.38404340722298</c:v>
                </c:pt>
                <c:pt idx="21">
                  <c:v>583.57307181677356</c:v>
                </c:pt>
                <c:pt idx="22">
                  <c:v>584.62013609322184</c:v>
                </c:pt>
                <c:pt idx="23">
                  <c:v>585.65546280352316</c:v>
                </c:pt>
                <c:pt idx="24">
                  <c:v>586.60259613406686</c:v>
                </c:pt>
                <c:pt idx="25">
                  <c:v>587.56830356877924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1904.205542418727</c:v>
                </c:pt>
                <c:pt idx="1">
                  <c:v>1804.4425698953071</c:v>
                </c:pt>
                <c:pt idx="2">
                  <c:v>1834.2324888785822</c:v>
                </c:pt>
                <c:pt idx="3">
                  <c:v>1890.237109238491</c:v>
                </c:pt>
                <c:pt idx="4">
                  <c:v>1987.5054156630765</c:v>
                </c:pt>
                <c:pt idx="5">
                  <c:v>2030.2468142039766</c:v>
                </c:pt>
                <c:pt idx="6">
                  <c:v>2102.9162908031194</c:v>
                </c:pt>
                <c:pt idx="7">
                  <c:v>2099.1566430627095</c:v>
                </c:pt>
                <c:pt idx="8">
                  <c:v>2050.2313139141224</c:v>
                </c:pt>
                <c:pt idx="9">
                  <c:v>2089.8052877913406</c:v>
                </c:pt>
                <c:pt idx="10">
                  <c:v>2019.8340014923285</c:v>
                </c:pt>
                <c:pt idx="11">
                  <c:v>2036.7999206394347</c:v>
                </c:pt>
                <c:pt idx="12">
                  <c:v>2054.4842428240122</c:v>
                </c:pt>
                <c:pt idx="13">
                  <c:v>2075.2631436744923</c:v>
                </c:pt>
                <c:pt idx="14">
                  <c:v>2098.0606671251967</c:v>
                </c:pt>
                <c:pt idx="15">
                  <c:v>2116.9998910688078</c:v>
                </c:pt>
                <c:pt idx="16">
                  <c:v>2134.343841553422</c:v>
                </c:pt>
                <c:pt idx="17">
                  <c:v>2150.9394543549101</c:v>
                </c:pt>
                <c:pt idx="18">
                  <c:v>2167.5015349995842</c:v>
                </c:pt>
                <c:pt idx="19">
                  <c:v>2184.2547186934303</c:v>
                </c:pt>
                <c:pt idx="20">
                  <c:v>2201.8240689670738</c:v>
                </c:pt>
                <c:pt idx="21">
                  <c:v>2219.4881164494168</c:v>
                </c:pt>
                <c:pt idx="22">
                  <c:v>2237.3518535698236</c:v>
                </c:pt>
                <c:pt idx="23">
                  <c:v>2255.4964034024106</c:v>
                </c:pt>
                <c:pt idx="24">
                  <c:v>2273.7342968709795</c:v>
                </c:pt>
                <c:pt idx="25">
                  <c:v>2292.0510206757358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561.35180187808794</c:v>
                </c:pt>
                <c:pt idx="1">
                  <c:v>599.74987728234748</c:v>
                </c:pt>
                <c:pt idx="2">
                  <c:v>594.40068781224954</c:v>
                </c:pt>
                <c:pt idx="3">
                  <c:v>601.90247098414068</c:v>
                </c:pt>
                <c:pt idx="4">
                  <c:v>612.88392643500538</c:v>
                </c:pt>
                <c:pt idx="5">
                  <c:v>627.3899065379079</c:v>
                </c:pt>
                <c:pt idx="6">
                  <c:v>638.32170595881098</c:v>
                </c:pt>
                <c:pt idx="7">
                  <c:v>639.25063523252982</c:v>
                </c:pt>
                <c:pt idx="8">
                  <c:v>628.01382463755135</c:v>
                </c:pt>
                <c:pt idx="9">
                  <c:v>680.2954268390763</c:v>
                </c:pt>
                <c:pt idx="10">
                  <c:v>627.66767668036812</c:v>
                </c:pt>
                <c:pt idx="11">
                  <c:v>583.4794484668206</c:v>
                </c:pt>
                <c:pt idx="12">
                  <c:v>584.56895176216881</c:v>
                </c:pt>
                <c:pt idx="13">
                  <c:v>587.15282282319401</c:v>
                </c:pt>
                <c:pt idx="14">
                  <c:v>590.32547438157997</c:v>
                </c:pt>
                <c:pt idx="15">
                  <c:v>592.13637104133159</c:v>
                </c:pt>
                <c:pt idx="16">
                  <c:v>593.45776348303866</c:v>
                </c:pt>
                <c:pt idx="17">
                  <c:v>594.56024104916946</c:v>
                </c:pt>
                <c:pt idx="18">
                  <c:v>595.62304682001525</c:v>
                </c:pt>
                <c:pt idx="19">
                  <c:v>596.60717441559268</c:v>
                </c:pt>
                <c:pt idx="20">
                  <c:v>597.70029314791577</c:v>
                </c:pt>
                <c:pt idx="21">
                  <c:v>598.67060500822197</c:v>
                </c:pt>
                <c:pt idx="22">
                  <c:v>599.66503729783722</c:v>
                </c:pt>
                <c:pt idx="23">
                  <c:v>600.73899957933543</c:v>
                </c:pt>
                <c:pt idx="24">
                  <c:v>601.77159537580951</c:v>
                </c:pt>
                <c:pt idx="25">
                  <c:v>602.79487172872302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42.435844403039248</c:v>
                </c:pt>
                <c:pt idx="1">
                  <c:v>30.180132931459131</c:v>
                </c:pt>
                <c:pt idx="2">
                  <c:v>29.5571127382151</c:v>
                </c:pt>
                <c:pt idx="3">
                  <c:v>26.657424432337415</c:v>
                </c:pt>
                <c:pt idx="4">
                  <c:v>30.675674709010476</c:v>
                </c:pt>
                <c:pt idx="5">
                  <c:v>28.840224624383737</c:v>
                </c:pt>
                <c:pt idx="6">
                  <c:v>24.729309173337757</c:v>
                </c:pt>
                <c:pt idx="7">
                  <c:v>26.313503081118629</c:v>
                </c:pt>
                <c:pt idx="8">
                  <c:v>26.996635602105453</c:v>
                </c:pt>
                <c:pt idx="9">
                  <c:v>24.875420380183126</c:v>
                </c:pt>
                <c:pt idx="10">
                  <c:v>31.002949965390982</c:v>
                </c:pt>
                <c:pt idx="11">
                  <c:v>21.925013268476551</c:v>
                </c:pt>
                <c:pt idx="12">
                  <c:v>22.187332718883116</c:v>
                </c:pt>
                <c:pt idx="13">
                  <c:v>22.468195029970431</c:v>
                </c:pt>
                <c:pt idx="14">
                  <c:v>22.765396689030606</c:v>
                </c:pt>
                <c:pt idx="15">
                  <c:v>23.001968670549161</c:v>
                </c:pt>
                <c:pt idx="16">
                  <c:v>23.216138691868657</c:v>
                </c:pt>
                <c:pt idx="17">
                  <c:v>23.418272486156752</c:v>
                </c:pt>
                <c:pt idx="18">
                  <c:v>23.619324289539382</c:v>
                </c:pt>
                <c:pt idx="19">
                  <c:v>23.831206731453808</c:v>
                </c:pt>
                <c:pt idx="20">
                  <c:v>24.045397152720334</c:v>
                </c:pt>
                <c:pt idx="21">
                  <c:v>24.258171569095939</c:v>
                </c:pt>
                <c:pt idx="22">
                  <c:v>24.466710504654252</c:v>
                </c:pt>
                <c:pt idx="23">
                  <c:v>24.688011768252281</c:v>
                </c:pt>
                <c:pt idx="24">
                  <c:v>24.897370871223142</c:v>
                </c:pt>
                <c:pt idx="25">
                  <c:v>25.111456131993485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1811.7334076736115</c:v>
                </c:pt>
                <c:pt idx="1">
                  <c:v>1929.0111507508202</c:v>
                </c:pt>
                <c:pt idx="2">
                  <c:v>2012.8869837078807</c:v>
                </c:pt>
                <c:pt idx="3">
                  <c:v>1957.0819400606056</c:v>
                </c:pt>
                <c:pt idx="4">
                  <c:v>2012.0162908426332</c:v>
                </c:pt>
                <c:pt idx="5">
                  <c:v>1992.1189392123574</c:v>
                </c:pt>
                <c:pt idx="6">
                  <c:v>2033.2024098330298</c:v>
                </c:pt>
                <c:pt idx="7">
                  <c:v>1967.283141813404</c:v>
                </c:pt>
                <c:pt idx="8">
                  <c:v>1923.3853865815618</c:v>
                </c:pt>
                <c:pt idx="9">
                  <c:v>1892.2329930164867</c:v>
                </c:pt>
                <c:pt idx="10">
                  <c:v>1855.6966390660123</c:v>
                </c:pt>
                <c:pt idx="11">
                  <c:v>1827.9919337693252</c:v>
                </c:pt>
                <c:pt idx="12">
                  <c:v>1825.8284740325564</c:v>
                </c:pt>
                <c:pt idx="13">
                  <c:v>1827.0478306316759</c:v>
                </c:pt>
                <c:pt idx="14">
                  <c:v>1829.5606882134409</c:v>
                </c:pt>
                <c:pt idx="15">
                  <c:v>1827.9786053280959</c:v>
                </c:pt>
                <c:pt idx="16">
                  <c:v>1824.5892992044157</c:v>
                </c:pt>
                <c:pt idx="17">
                  <c:v>1820.2729460495341</c:v>
                </c:pt>
                <c:pt idx="18">
                  <c:v>1815.5114472249734</c:v>
                </c:pt>
                <c:pt idx="19">
                  <c:v>1810.4242295324693</c:v>
                </c:pt>
                <c:pt idx="20">
                  <c:v>1805.1696400411013</c:v>
                </c:pt>
                <c:pt idx="21">
                  <c:v>1799.7251459958077</c:v>
                </c:pt>
                <c:pt idx="22">
                  <c:v>1794.1874588795347</c:v>
                </c:pt>
                <c:pt idx="23">
                  <c:v>1788.5061036362329</c:v>
                </c:pt>
                <c:pt idx="24">
                  <c:v>1782.5034922100394</c:v>
                </c:pt>
                <c:pt idx="25">
                  <c:v>1776.4423055232701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417.76103765920988</c:v>
                </c:pt>
                <c:pt idx="1">
                  <c:v>416.71650198633336</c:v>
                </c:pt>
                <c:pt idx="2">
                  <c:v>425.89777392949031</c:v>
                </c:pt>
                <c:pt idx="3">
                  <c:v>425.64792810607315</c:v>
                </c:pt>
                <c:pt idx="4">
                  <c:v>415.56102687819191</c:v>
                </c:pt>
                <c:pt idx="5">
                  <c:v>459.59571905867102</c:v>
                </c:pt>
                <c:pt idx="6">
                  <c:v>450.6065417043049</c:v>
                </c:pt>
                <c:pt idx="7">
                  <c:v>491.61517938033342</c:v>
                </c:pt>
                <c:pt idx="8">
                  <c:v>505.11874571312279</c:v>
                </c:pt>
                <c:pt idx="9">
                  <c:v>498.82909103944002</c:v>
                </c:pt>
                <c:pt idx="10">
                  <c:v>508.15214932829099</c:v>
                </c:pt>
                <c:pt idx="11">
                  <c:v>538.48857849141223</c:v>
                </c:pt>
                <c:pt idx="12">
                  <c:v>545.20375715246018</c:v>
                </c:pt>
                <c:pt idx="13">
                  <c:v>552.81863500304007</c:v>
                </c:pt>
                <c:pt idx="14">
                  <c:v>560.86408478930321</c:v>
                </c:pt>
                <c:pt idx="15">
                  <c:v>567.71572285790808</c:v>
                </c:pt>
                <c:pt idx="16">
                  <c:v>574.18694112821106</c:v>
                </c:pt>
                <c:pt idx="17">
                  <c:v>580.40891135851109</c:v>
                </c:pt>
                <c:pt idx="18">
                  <c:v>586.60416043257305</c:v>
                </c:pt>
                <c:pt idx="19">
                  <c:v>592.8151533529624</c:v>
                </c:pt>
                <c:pt idx="20">
                  <c:v>599.28262900401887</c:v>
                </c:pt>
                <c:pt idx="21">
                  <c:v>605.72352897025951</c:v>
                </c:pt>
                <c:pt idx="22">
                  <c:v>612.20363903716054</c:v>
                </c:pt>
                <c:pt idx="23">
                  <c:v>618.72108677340771</c:v>
                </c:pt>
                <c:pt idx="24">
                  <c:v>625.26949233001608</c:v>
                </c:pt>
                <c:pt idx="25">
                  <c:v>631.80430785816031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687.57735464066263</c:v>
                </c:pt>
                <c:pt idx="1">
                  <c:v>647.84910362587334</c:v>
                </c:pt>
                <c:pt idx="2">
                  <c:v>662.73594278256621</c:v>
                </c:pt>
                <c:pt idx="3">
                  <c:v>686.75097867425961</c:v>
                </c:pt>
                <c:pt idx="4">
                  <c:v>702.08993742514463</c:v>
                </c:pt>
                <c:pt idx="5">
                  <c:v>713.31333030825101</c:v>
                </c:pt>
                <c:pt idx="6">
                  <c:v>706.65120621801759</c:v>
                </c:pt>
                <c:pt idx="7">
                  <c:v>730.50376714971105</c:v>
                </c:pt>
                <c:pt idx="8">
                  <c:v>733.80339743221271</c:v>
                </c:pt>
                <c:pt idx="9">
                  <c:v>691.72064265695496</c:v>
                </c:pt>
                <c:pt idx="10">
                  <c:v>609.71859517402538</c:v>
                </c:pt>
                <c:pt idx="11">
                  <c:v>649.57333659714664</c:v>
                </c:pt>
                <c:pt idx="12">
                  <c:v>645.85897670194936</c:v>
                </c:pt>
                <c:pt idx="13">
                  <c:v>643.91167406808597</c:v>
                </c:pt>
                <c:pt idx="14">
                  <c:v>642.04142782769611</c:v>
                </c:pt>
                <c:pt idx="15">
                  <c:v>638.68146878490086</c:v>
                </c:pt>
                <c:pt idx="16">
                  <c:v>634.92498213599163</c:v>
                </c:pt>
                <c:pt idx="17">
                  <c:v>630.80481131014938</c:v>
                </c:pt>
                <c:pt idx="18">
                  <c:v>626.61738389115374</c:v>
                </c:pt>
                <c:pt idx="19">
                  <c:v>622.42611704883666</c:v>
                </c:pt>
                <c:pt idx="20">
                  <c:v>618.47078576619492</c:v>
                </c:pt>
                <c:pt idx="21">
                  <c:v>614.50506254614788</c:v>
                </c:pt>
                <c:pt idx="22">
                  <c:v>610.4814679739527</c:v>
                </c:pt>
                <c:pt idx="23">
                  <c:v>606.4851604464659</c:v>
                </c:pt>
                <c:pt idx="24">
                  <c:v>602.40634459632656</c:v>
                </c:pt>
                <c:pt idx="25">
                  <c:v>598.38816602412339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1014.0471339977661</c:v>
                </c:pt>
                <c:pt idx="1">
                  <c:v>1018.1121575567977</c:v>
                </c:pt>
                <c:pt idx="2">
                  <c:v>1001.8646576830586</c:v>
                </c:pt>
                <c:pt idx="3">
                  <c:v>991.96187235899401</c:v>
                </c:pt>
                <c:pt idx="4">
                  <c:v>1047.7487184942693</c:v>
                </c:pt>
                <c:pt idx="5">
                  <c:v>1054.0123740558722</c:v>
                </c:pt>
                <c:pt idx="6">
                  <c:v>1143.0259869212878</c:v>
                </c:pt>
                <c:pt idx="7">
                  <c:v>1131.6816495319533</c:v>
                </c:pt>
                <c:pt idx="8">
                  <c:v>1165.2496145617927</c:v>
                </c:pt>
                <c:pt idx="9">
                  <c:v>1178.8274412312694</c:v>
                </c:pt>
                <c:pt idx="10">
                  <c:v>1056.0707054043842</c:v>
                </c:pt>
                <c:pt idx="11">
                  <c:v>1083.230501343179</c:v>
                </c:pt>
                <c:pt idx="12">
                  <c:v>1082.4716480824902</c:v>
                </c:pt>
                <c:pt idx="13">
                  <c:v>1084.2628709664605</c:v>
                </c:pt>
                <c:pt idx="14">
                  <c:v>1086.4060332058255</c:v>
                </c:pt>
                <c:pt idx="15">
                  <c:v>1085.5936032427051</c:v>
                </c:pt>
                <c:pt idx="16">
                  <c:v>1083.995482670528</c:v>
                </c:pt>
                <c:pt idx="17">
                  <c:v>1081.9071078431284</c:v>
                </c:pt>
                <c:pt idx="18">
                  <c:v>1079.826080815832</c:v>
                </c:pt>
                <c:pt idx="19">
                  <c:v>1077.6753002040512</c:v>
                </c:pt>
                <c:pt idx="20">
                  <c:v>1075.9814637412908</c:v>
                </c:pt>
                <c:pt idx="21">
                  <c:v>1074.1292556283981</c:v>
                </c:pt>
                <c:pt idx="22">
                  <c:v>1072.2668093607729</c:v>
                </c:pt>
                <c:pt idx="23">
                  <c:v>1070.4229141480439</c:v>
                </c:pt>
                <c:pt idx="24">
                  <c:v>1068.5184272157014</c:v>
                </c:pt>
                <c:pt idx="25">
                  <c:v>1066.5769444018338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433.0881429906853</c:v>
                </c:pt>
                <c:pt idx="1">
                  <c:v>426.75692509460328</c:v>
                </c:pt>
                <c:pt idx="2">
                  <c:v>427.25145870321739</c:v>
                </c:pt>
                <c:pt idx="3">
                  <c:v>420.71585122052556</c:v>
                </c:pt>
                <c:pt idx="4">
                  <c:v>461.57597123834557</c:v>
                </c:pt>
                <c:pt idx="5">
                  <c:v>475.90883310534304</c:v>
                </c:pt>
                <c:pt idx="6">
                  <c:v>481.9801194861646</c:v>
                </c:pt>
                <c:pt idx="7">
                  <c:v>446.995172462494</c:v>
                </c:pt>
                <c:pt idx="8">
                  <c:v>447.24278291212988</c:v>
                </c:pt>
                <c:pt idx="9">
                  <c:v>428.55047108245554</c:v>
                </c:pt>
                <c:pt idx="10">
                  <c:v>379.27178924284834</c:v>
                </c:pt>
                <c:pt idx="11">
                  <c:v>652.27514088881435</c:v>
                </c:pt>
                <c:pt idx="12">
                  <c:v>660.79939319962477</c:v>
                </c:pt>
                <c:pt idx="13">
                  <c:v>671.05358380416305</c:v>
                </c:pt>
                <c:pt idx="14">
                  <c:v>681.73320134549283</c:v>
                </c:pt>
                <c:pt idx="15">
                  <c:v>690.72403992776935</c:v>
                </c:pt>
                <c:pt idx="16">
                  <c:v>699.20885346860518</c:v>
                </c:pt>
                <c:pt idx="17">
                  <c:v>707.54418539248934</c:v>
                </c:pt>
                <c:pt idx="18">
                  <c:v>716.03921869556643</c:v>
                </c:pt>
                <c:pt idx="19">
                  <c:v>724.63466181725187</c:v>
                </c:pt>
                <c:pt idx="20">
                  <c:v>733.57241729607188</c:v>
                </c:pt>
                <c:pt idx="21">
                  <c:v>742.36303696161531</c:v>
                </c:pt>
                <c:pt idx="22">
                  <c:v>751.11428075333549</c:v>
                </c:pt>
                <c:pt idx="23">
                  <c:v>759.91498332662229</c:v>
                </c:pt>
                <c:pt idx="24">
                  <c:v>768.75032303643536</c:v>
                </c:pt>
                <c:pt idx="25">
                  <c:v>777.66227634020322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2741.6934385269506</c:v>
                </c:pt>
                <c:pt idx="1">
                  <c:v>2648.157661818117</c:v>
                </c:pt>
                <c:pt idx="2">
                  <c:v>2658.407694836646</c:v>
                </c:pt>
                <c:pt idx="3">
                  <c:v>2676.6997106381436</c:v>
                </c:pt>
                <c:pt idx="4">
                  <c:v>2786.2756885537024</c:v>
                </c:pt>
                <c:pt idx="5">
                  <c:v>2826.2835298888981</c:v>
                </c:pt>
                <c:pt idx="6">
                  <c:v>2821.0260549259106</c:v>
                </c:pt>
                <c:pt idx="7">
                  <c:v>2818.6955325684721</c:v>
                </c:pt>
                <c:pt idx="8">
                  <c:v>2813.1746041241909</c:v>
                </c:pt>
                <c:pt idx="9">
                  <c:v>2861.6919255116009</c:v>
                </c:pt>
                <c:pt idx="10">
                  <c:v>2616.9152862125429</c:v>
                </c:pt>
                <c:pt idx="11">
                  <c:v>2408.0991994823908</c:v>
                </c:pt>
                <c:pt idx="12">
                  <c:v>2396.4836019058771</c:v>
                </c:pt>
                <c:pt idx="13">
                  <c:v>2388.8984375826667</c:v>
                </c:pt>
                <c:pt idx="14">
                  <c:v>2382.2130113509497</c:v>
                </c:pt>
                <c:pt idx="15">
                  <c:v>2369.7745651494492</c:v>
                </c:pt>
                <c:pt idx="16">
                  <c:v>2355.1004351940164</c:v>
                </c:pt>
                <c:pt idx="17">
                  <c:v>2339.0951466079996</c:v>
                </c:pt>
                <c:pt idx="18">
                  <c:v>2322.8295119236041</c:v>
                </c:pt>
                <c:pt idx="19">
                  <c:v>2306.5248448691805</c:v>
                </c:pt>
                <c:pt idx="20">
                  <c:v>2291.0453305336996</c:v>
                </c:pt>
                <c:pt idx="21">
                  <c:v>2275.1370177881267</c:v>
                </c:pt>
                <c:pt idx="22">
                  <c:v>2259.0442792563399</c:v>
                </c:pt>
                <c:pt idx="23">
                  <c:v>2243.0552579145046</c:v>
                </c:pt>
                <c:pt idx="24">
                  <c:v>2226.8814242069111</c:v>
                </c:pt>
                <c:pt idx="25">
                  <c:v>2210.5081126228129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2281.6256986693516</c:v>
                </c:pt>
                <c:pt idx="1">
                  <c:v>2511.4356060613586</c:v>
                </c:pt>
                <c:pt idx="2">
                  <c:v>2613.5748297830778</c:v>
                </c:pt>
                <c:pt idx="3">
                  <c:v>2655.5287653292899</c:v>
                </c:pt>
                <c:pt idx="4">
                  <c:v>2733.1242231780143</c:v>
                </c:pt>
                <c:pt idx="5">
                  <c:v>2822.954966620724</c:v>
                </c:pt>
                <c:pt idx="6">
                  <c:v>2914.5795581903112</c:v>
                </c:pt>
                <c:pt idx="7">
                  <c:v>3047.9899760189528</c:v>
                </c:pt>
                <c:pt idx="8">
                  <c:v>3094.9678905284418</c:v>
                </c:pt>
                <c:pt idx="9">
                  <c:v>3241.7877031892976</c:v>
                </c:pt>
                <c:pt idx="10">
                  <c:v>3307.5137597510793</c:v>
                </c:pt>
                <c:pt idx="11">
                  <c:v>3005.8490051752569</c:v>
                </c:pt>
                <c:pt idx="12">
                  <c:v>3037.1809978193305</c:v>
                </c:pt>
                <c:pt idx="13">
                  <c:v>3075.1310936036516</c:v>
                </c:pt>
                <c:pt idx="14">
                  <c:v>3115.0240735664183</c:v>
                </c:pt>
                <c:pt idx="15">
                  <c:v>3147.4469092280979</c:v>
                </c:pt>
                <c:pt idx="16">
                  <c:v>3177.7734868570305</c:v>
                </c:pt>
                <c:pt idx="17">
                  <c:v>3206.8345729760913</c:v>
                </c:pt>
                <c:pt idx="18">
                  <c:v>3236.0357064934437</c:v>
                </c:pt>
                <c:pt idx="19">
                  <c:v>3265.3248747157604</c:v>
                </c:pt>
                <c:pt idx="20">
                  <c:v>3296.1490909036784</c:v>
                </c:pt>
                <c:pt idx="21">
                  <c:v>3326.8953633093734</c:v>
                </c:pt>
                <c:pt idx="22">
                  <c:v>3357.9795995350464</c:v>
                </c:pt>
                <c:pt idx="23">
                  <c:v>3389.3254307564944</c:v>
                </c:pt>
                <c:pt idx="24">
                  <c:v>3420.8258554121157</c:v>
                </c:pt>
                <c:pt idx="25">
                  <c:v>3452.3732221540354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5491.9730778200928</c:v>
                </c:pt>
                <c:pt idx="1">
                  <c:v>5402.9298330231813</c:v>
                </c:pt>
                <c:pt idx="2">
                  <c:v>5509.9312605354189</c:v>
                </c:pt>
                <c:pt idx="3">
                  <c:v>5652.3270731849989</c:v>
                </c:pt>
                <c:pt idx="4">
                  <c:v>5862.1569214731471</c:v>
                </c:pt>
                <c:pt idx="5">
                  <c:v>5913.2437820431533</c:v>
                </c:pt>
                <c:pt idx="6">
                  <c:v>6251.9687149225729</c:v>
                </c:pt>
                <c:pt idx="7">
                  <c:v>6240.2117921712888</c:v>
                </c:pt>
                <c:pt idx="8">
                  <c:v>6468.2700325882961</c:v>
                </c:pt>
                <c:pt idx="9">
                  <c:v>6746.1756140652806</c:v>
                </c:pt>
                <c:pt idx="10">
                  <c:v>7052.3788359871123</c:v>
                </c:pt>
                <c:pt idx="11">
                  <c:v>7244.2346235856321</c:v>
                </c:pt>
                <c:pt idx="12">
                  <c:v>7320.177905888535</c:v>
                </c:pt>
                <c:pt idx="13">
                  <c:v>7414.34025321027</c:v>
                </c:pt>
                <c:pt idx="14">
                  <c:v>7514.2229043339412</c:v>
                </c:pt>
                <c:pt idx="15">
                  <c:v>7598.1008300975063</c:v>
                </c:pt>
                <c:pt idx="16">
                  <c:v>7677.2241132045947</c:v>
                </c:pt>
                <c:pt idx="17">
                  <c:v>7753.6893835617102</c:v>
                </c:pt>
                <c:pt idx="18">
                  <c:v>7830.27779323697</c:v>
                </c:pt>
                <c:pt idx="19">
                  <c:v>7906.6250515381762</c:v>
                </c:pt>
                <c:pt idx="20">
                  <c:v>7986.0749618687496</c:v>
                </c:pt>
                <c:pt idx="21">
                  <c:v>8065.1826301989959</c:v>
                </c:pt>
                <c:pt idx="22">
                  <c:v>8144.9056366557234</c:v>
                </c:pt>
                <c:pt idx="23">
                  <c:v>8225.455184619037</c:v>
                </c:pt>
                <c:pt idx="24">
                  <c:v>8306.1851110686093</c:v>
                </c:pt>
                <c:pt idx="25">
                  <c:v>8387.1585685800528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3292.8809152178014</c:v>
                </c:pt>
                <c:pt idx="1">
                  <c:v>3340.7743061288438</c:v>
                </c:pt>
                <c:pt idx="2">
                  <c:v>3482.3831636120649</c:v>
                </c:pt>
                <c:pt idx="3">
                  <c:v>3461.7090507575394</c:v>
                </c:pt>
                <c:pt idx="4">
                  <c:v>3613.7383486507815</c:v>
                </c:pt>
                <c:pt idx="5">
                  <c:v>3673.0788633877005</c:v>
                </c:pt>
                <c:pt idx="6">
                  <c:v>3791.638038692693</c:v>
                </c:pt>
                <c:pt idx="7">
                  <c:v>3885.2109821433723</c:v>
                </c:pt>
                <c:pt idx="8">
                  <c:v>3944.0265647693359</c:v>
                </c:pt>
                <c:pt idx="9">
                  <c:v>3966.2899027660592</c:v>
                </c:pt>
                <c:pt idx="10">
                  <c:v>4148.5199221357107</c:v>
                </c:pt>
                <c:pt idx="11">
                  <c:v>4190.439090231338</c:v>
                </c:pt>
                <c:pt idx="12">
                  <c:v>4231.0616124450289</c:v>
                </c:pt>
                <c:pt idx="13">
                  <c:v>4280.0956053246182</c:v>
                </c:pt>
                <c:pt idx="14">
                  <c:v>4332.5902809676627</c:v>
                </c:pt>
                <c:pt idx="15">
                  <c:v>4375.1721076650338</c:v>
                </c:pt>
                <c:pt idx="16">
                  <c:v>4414.8181575931903</c:v>
                </c:pt>
                <c:pt idx="17">
                  <c:v>4452.832809362304</c:v>
                </c:pt>
                <c:pt idx="18">
                  <c:v>4490.732541350887</c:v>
                </c:pt>
                <c:pt idx="19">
                  <c:v>4528.9318290454212</c:v>
                </c:pt>
                <c:pt idx="20">
                  <c:v>4569.0312898654611</c:v>
                </c:pt>
                <c:pt idx="21">
                  <c:v>4609.0154775725105</c:v>
                </c:pt>
                <c:pt idx="22">
                  <c:v>4649.4649804387573</c:v>
                </c:pt>
                <c:pt idx="23">
                  <c:v>4690.4587459131708</c:v>
                </c:pt>
                <c:pt idx="24">
                  <c:v>4731.8020320467949</c:v>
                </c:pt>
                <c:pt idx="25">
                  <c:v>4773.1361951546642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3073.7028316252927</c:v>
                </c:pt>
                <c:pt idx="1">
                  <c:v>3023.1591898142451</c:v>
                </c:pt>
                <c:pt idx="2">
                  <c:v>3065.4206757518537</c:v>
                </c:pt>
                <c:pt idx="3">
                  <c:v>3018.2231564875688</c:v>
                </c:pt>
                <c:pt idx="4">
                  <c:v>3112.732047094361</c:v>
                </c:pt>
                <c:pt idx="5">
                  <c:v>3149.4937606467911</c:v>
                </c:pt>
                <c:pt idx="6">
                  <c:v>3066.8291852932562</c:v>
                </c:pt>
                <c:pt idx="7">
                  <c:v>3167.5005270223392</c:v>
                </c:pt>
                <c:pt idx="8">
                  <c:v>3127.4203105555898</c:v>
                </c:pt>
                <c:pt idx="9">
                  <c:v>3060.9066259906567</c:v>
                </c:pt>
                <c:pt idx="10">
                  <c:v>3139.606488630418</c:v>
                </c:pt>
                <c:pt idx="11">
                  <c:v>3218.5870207828648</c:v>
                </c:pt>
                <c:pt idx="12">
                  <c:v>3207.6237326869314</c:v>
                </c:pt>
                <c:pt idx="13">
                  <c:v>3200.7092121465803</c:v>
                </c:pt>
                <c:pt idx="14">
                  <c:v>3195.8234850305289</c:v>
                </c:pt>
                <c:pt idx="15">
                  <c:v>3183.5304221363176</c:v>
                </c:pt>
                <c:pt idx="16">
                  <c:v>3168.3096928936493</c:v>
                </c:pt>
                <c:pt idx="17">
                  <c:v>3151.6401820418755</c:v>
                </c:pt>
                <c:pt idx="18">
                  <c:v>3134.8595159289848</c:v>
                </c:pt>
                <c:pt idx="19">
                  <c:v>3117.3724713453039</c:v>
                </c:pt>
                <c:pt idx="20">
                  <c:v>3100.1504225958001</c:v>
                </c:pt>
                <c:pt idx="21">
                  <c:v>3082.3078592414608</c:v>
                </c:pt>
                <c:pt idx="22">
                  <c:v>3063.8325992956952</c:v>
                </c:pt>
                <c:pt idx="23">
                  <c:v>3044.9440655262433</c:v>
                </c:pt>
                <c:pt idx="24">
                  <c:v>3025.4804762259732</c:v>
                </c:pt>
                <c:pt idx="25">
                  <c:v>3006.3242133196836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2717.1847724779168</c:v>
                </c:pt>
                <c:pt idx="1">
                  <c:v>2696.3239840295328</c:v>
                </c:pt>
                <c:pt idx="2">
                  <c:v>2685.8942692459527</c:v>
                </c:pt>
                <c:pt idx="3">
                  <c:v>2701.6876685252873</c:v>
                </c:pt>
                <c:pt idx="4">
                  <c:v>2849.2868093612569</c:v>
                </c:pt>
                <c:pt idx="5">
                  <c:v>2889.6909563037434</c:v>
                </c:pt>
                <c:pt idx="6">
                  <c:v>2843.9148778728736</c:v>
                </c:pt>
                <c:pt idx="7">
                  <c:v>2867.9784983565924</c:v>
                </c:pt>
                <c:pt idx="8">
                  <c:v>2766.123896075324</c:v>
                </c:pt>
                <c:pt idx="9">
                  <c:v>2850.7714544337691</c:v>
                </c:pt>
                <c:pt idx="10">
                  <c:v>2507.3322009247049</c:v>
                </c:pt>
                <c:pt idx="11">
                  <c:v>2540.1461872809427</c:v>
                </c:pt>
                <c:pt idx="12">
                  <c:v>2535.2403727882074</c:v>
                </c:pt>
                <c:pt idx="13">
                  <c:v>2538.4866421409479</c:v>
                </c:pt>
                <c:pt idx="14">
                  <c:v>2542.1712711833816</c:v>
                </c:pt>
                <c:pt idx="15">
                  <c:v>2537.8914948122301</c:v>
                </c:pt>
                <c:pt idx="16">
                  <c:v>2532.0378119337429</c:v>
                </c:pt>
                <c:pt idx="17">
                  <c:v>2524.9659756165829</c:v>
                </c:pt>
                <c:pt idx="18">
                  <c:v>2517.7427339057776</c:v>
                </c:pt>
                <c:pt idx="19">
                  <c:v>2510.3763666997606</c:v>
                </c:pt>
                <c:pt idx="20">
                  <c:v>2504.0282091270487</c:v>
                </c:pt>
                <c:pt idx="21">
                  <c:v>2497.3477287705209</c:v>
                </c:pt>
                <c:pt idx="22">
                  <c:v>2490.5636474521798</c:v>
                </c:pt>
                <c:pt idx="23">
                  <c:v>2483.7626522005098</c:v>
                </c:pt>
                <c:pt idx="24">
                  <c:v>2476.7707585448788</c:v>
                </c:pt>
                <c:pt idx="25">
                  <c:v>2469.75933949722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2507.9931886998538</c:v>
                </c:pt>
                <c:pt idx="1">
                  <c:v>2434.3725801091136</c:v>
                </c:pt>
                <c:pt idx="2">
                  <c:v>2458.1902894290465</c:v>
                </c:pt>
                <c:pt idx="3">
                  <c:v>2518.797004654969</c:v>
                </c:pt>
                <c:pt idx="4">
                  <c:v>2631.0650168070924</c:v>
                </c:pt>
                <c:pt idx="5">
                  <c:v>2686.476945366268</c:v>
                </c:pt>
                <c:pt idx="6">
                  <c:v>2765.9673059352681</c:v>
                </c:pt>
                <c:pt idx="7">
                  <c:v>2764.720781376358</c:v>
                </c:pt>
                <c:pt idx="8">
                  <c:v>2705.2417741537793</c:v>
                </c:pt>
                <c:pt idx="9">
                  <c:v>2794.9761350106</c:v>
                </c:pt>
                <c:pt idx="10">
                  <c:v>2678.5046281380878</c:v>
                </c:pt>
                <c:pt idx="11">
                  <c:v>2642.2043823747317</c:v>
                </c:pt>
                <c:pt idx="12">
                  <c:v>2661.2405273050645</c:v>
                </c:pt>
                <c:pt idx="13">
                  <c:v>2684.8841615276569</c:v>
                </c:pt>
                <c:pt idx="14">
                  <c:v>2711.1515381958075</c:v>
                </c:pt>
                <c:pt idx="15">
                  <c:v>2732.1382307806884</c:v>
                </c:pt>
                <c:pt idx="16">
                  <c:v>2751.0177437283292</c:v>
                </c:pt>
                <c:pt idx="17">
                  <c:v>2768.9179678902365</c:v>
                </c:pt>
                <c:pt idx="18">
                  <c:v>2786.7439061091386</c:v>
                </c:pt>
                <c:pt idx="19">
                  <c:v>2804.6930998404769</c:v>
                </c:pt>
                <c:pt idx="20">
                  <c:v>2823.5697592677097</c:v>
                </c:pt>
                <c:pt idx="21">
                  <c:v>2842.4168930267347</c:v>
                </c:pt>
                <c:pt idx="22">
                  <c:v>2861.4836013723148</c:v>
                </c:pt>
                <c:pt idx="23">
                  <c:v>2880.9234147499983</c:v>
                </c:pt>
                <c:pt idx="24">
                  <c:v>2900.4032631180121</c:v>
                </c:pt>
                <c:pt idx="25">
                  <c:v>2919.9573485364526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2229.4944453328212</c:v>
                </c:pt>
                <c:pt idx="1">
                  <c:v>2345.7276527371537</c:v>
                </c:pt>
                <c:pt idx="2">
                  <c:v>2438.7847576373711</c:v>
                </c:pt>
                <c:pt idx="3">
                  <c:v>2382.7298681666789</c:v>
                </c:pt>
                <c:pt idx="4">
                  <c:v>2427.5773177208252</c:v>
                </c:pt>
                <c:pt idx="5">
                  <c:v>2451.7146582710284</c:v>
                </c:pt>
                <c:pt idx="6">
                  <c:v>2483.8089515373349</c:v>
                </c:pt>
                <c:pt idx="7">
                  <c:v>2458.8983211937375</c:v>
                </c:pt>
                <c:pt idx="8">
                  <c:v>2428.5041322946845</c:v>
                </c:pt>
                <c:pt idx="9">
                  <c:v>2391.0620840559268</c:v>
                </c:pt>
                <c:pt idx="10">
                  <c:v>2363.8487883943035</c:v>
                </c:pt>
                <c:pt idx="11">
                  <c:v>2366.4805122607377</c:v>
                </c:pt>
                <c:pt idx="12">
                  <c:v>2371.0322311850168</c:v>
                </c:pt>
                <c:pt idx="13">
                  <c:v>2379.866465634716</c:v>
                </c:pt>
                <c:pt idx="14">
                  <c:v>2390.4247730027441</c:v>
                </c:pt>
                <c:pt idx="15">
                  <c:v>2395.694328186004</c:v>
                </c:pt>
                <c:pt idx="16">
                  <c:v>2398.7762403326269</c:v>
                </c:pt>
                <c:pt idx="17">
                  <c:v>2400.6818574080453</c:v>
                </c:pt>
                <c:pt idx="18">
                  <c:v>2402.1156076575462</c:v>
                </c:pt>
                <c:pt idx="19">
                  <c:v>2403.239382885432</c:v>
                </c:pt>
                <c:pt idx="20">
                  <c:v>2404.4522690451204</c:v>
                </c:pt>
                <c:pt idx="21">
                  <c:v>2405.4486749660673</c:v>
                </c:pt>
                <c:pt idx="22">
                  <c:v>2406.3910979166953</c:v>
                </c:pt>
                <c:pt idx="23">
                  <c:v>2407.2271904096406</c:v>
                </c:pt>
                <c:pt idx="24">
                  <c:v>2407.7729845400554</c:v>
                </c:pt>
                <c:pt idx="25">
                  <c:v>2408.2466133814305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1701.6244886384288</c:v>
                </c:pt>
                <c:pt idx="1">
                  <c:v>1665.961261182671</c:v>
                </c:pt>
                <c:pt idx="2">
                  <c:v>1664.6006004656247</c:v>
                </c:pt>
                <c:pt idx="3">
                  <c:v>1678.7128510332536</c:v>
                </c:pt>
                <c:pt idx="4">
                  <c:v>1749.8386559194139</c:v>
                </c:pt>
                <c:pt idx="5">
                  <c:v>1767.3257043641233</c:v>
                </c:pt>
                <c:pt idx="6">
                  <c:v>1849.6771931393055</c:v>
                </c:pt>
                <c:pt idx="7">
                  <c:v>1862.1854166816643</c:v>
                </c:pt>
                <c:pt idx="8">
                  <c:v>1899.0530119940054</c:v>
                </c:pt>
                <c:pt idx="9">
                  <c:v>1870.5480838882245</c:v>
                </c:pt>
                <c:pt idx="10">
                  <c:v>1665.7893005784094</c:v>
                </c:pt>
                <c:pt idx="11">
                  <c:v>1732.8038379403256</c:v>
                </c:pt>
                <c:pt idx="12">
                  <c:v>1728.3306247844396</c:v>
                </c:pt>
                <c:pt idx="13">
                  <c:v>1728.1745450345466</c:v>
                </c:pt>
                <c:pt idx="14">
                  <c:v>1728.4474610335214</c:v>
                </c:pt>
                <c:pt idx="15">
                  <c:v>1724.2750720276058</c:v>
                </c:pt>
                <c:pt idx="16">
                  <c:v>1718.9204648065197</c:v>
                </c:pt>
                <c:pt idx="17">
                  <c:v>1712.7119191532779</c:v>
                </c:pt>
                <c:pt idx="18">
                  <c:v>1706.4434647069857</c:v>
                </c:pt>
                <c:pt idx="19">
                  <c:v>1700.1014172528878</c:v>
                </c:pt>
                <c:pt idx="20">
                  <c:v>1694.4522495074857</c:v>
                </c:pt>
                <c:pt idx="21">
                  <c:v>1688.634318174546</c:v>
                </c:pt>
                <c:pt idx="22">
                  <c:v>1682.7482773347256</c:v>
                </c:pt>
                <c:pt idx="23">
                  <c:v>1676.9080745945098</c:v>
                </c:pt>
                <c:pt idx="24">
                  <c:v>1670.924771812028</c:v>
                </c:pt>
                <c:pt idx="25">
                  <c:v>1664.9651104259572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3174.7815815176359</c:v>
                </c:pt>
                <c:pt idx="1">
                  <c:v>3074.9145869127206</c:v>
                </c:pt>
                <c:pt idx="2">
                  <c:v>3085.6591535398634</c:v>
                </c:pt>
                <c:pt idx="3">
                  <c:v>3097.4155618586692</c:v>
                </c:pt>
                <c:pt idx="4">
                  <c:v>3247.8516597920479</c:v>
                </c:pt>
                <c:pt idx="5">
                  <c:v>3302.1923629942412</c:v>
                </c:pt>
                <c:pt idx="6">
                  <c:v>3303.0061744120753</c:v>
                </c:pt>
                <c:pt idx="7">
                  <c:v>3265.690705030966</c:v>
                </c:pt>
                <c:pt idx="8">
                  <c:v>3260.4173870363206</c:v>
                </c:pt>
                <c:pt idx="9">
                  <c:v>3290.2423965940566</c:v>
                </c:pt>
                <c:pt idx="10">
                  <c:v>2996.1870754553911</c:v>
                </c:pt>
                <c:pt idx="11">
                  <c:v>3060.3743403712051</c:v>
                </c:pt>
                <c:pt idx="12">
                  <c:v>3057.2829951055019</c:v>
                </c:pt>
                <c:pt idx="13">
                  <c:v>3059.95202138683</c:v>
                </c:pt>
                <c:pt idx="14">
                  <c:v>3063.9462126964427</c:v>
                </c:pt>
                <c:pt idx="15">
                  <c:v>3060.4986050772186</c:v>
                </c:pt>
                <c:pt idx="16">
                  <c:v>3054.3092886626218</c:v>
                </c:pt>
                <c:pt idx="17">
                  <c:v>3046.639332000489</c:v>
                </c:pt>
                <c:pt idx="18">
                  <c:v>3038.8687306191705</c:v>
                </c:pt>
                <c:pt idx="19">
                  <c:v>3031.1595066864325</c:v>
                </c:pt>
                <c:pt idx="20">
                  <c:v>3024.6177478297714</c:v>
                </c:pt>
                <c:pt idx="21">
                  <c:v>3017.500054749742</c:v>
                </c:pt>
                <c:pt idx="22">
                  <c:v>3010.1585600096755</c:v>
                </c:pt>
                <c:pt idx="23">
                  <c:v>3002.970241241127</c:v>
                </c:pt>
                <c:pt idx="24">
                  <c:v>2995.6317472433466</c:v>
                </c:pt>
                <c:pt idx="25">
                  <c:v>2988.1703889630162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2281.6256986693516</c:v>
                </c:pt>
                <c:pt idx="1">
                  <c:v>2511.4356060613586</c:v>
                </c:pt>
                <c:pt idx="2">
                  <c:v>2613.5748297830778</c:v>
                </c:pt>
                <c:pt idx="3">
                  <c:v>2655.5287653292899</c:v>
                </c:pt>
                <c:pt idx="4">
                  <c:v>2733.1242231780143</c:v>
                </c:pt>
                <c:pt idx="5">
                  <c:v>2822.954966620724</c:v>
                </c:pt>
                <c:pt idx="6">
                  <c:v>2914.5795581903112</c:v>
                </c:pt>
                <c:pt idx="7">
                  <c:v>3047.9899760189528</c:v>
                </c:pt>
                <c:pt idx="8">
                  <c:v>3094.9678905284418</c:v>
                </c:pt>
                <c:pt idx="9">
                  <c:v>3241.7877031892976</c:v>
                </c:pt>
                <c:pt idx="10">
                  <c:v>3307.5137597510793</c:v>
                </c:pt>
                <c:pt idx="11">
                  <c:v>3005.8490051752569</c:v>
                </c:pt>
                <c:pt idx="12">
                  <c:v>3037.1809978193305</c:v>
                </c:pt>
                <c:pt idx="13">
                  <c:v>3075.1310936036516</c:v>
                </c:pt>
                <c:pt idx="14">
                  <c:v>3115.0240735664183</c:v>
                </c:pt>
                <c:pt idx="15">
                  <c:v>3147.4469092280979</c:v>
                </c:pt>
                <c:pt idx="16">
                  <c:v>3177.7734868570305</c:v>
                </c:pt>
                <c:pt idx="17">
                  <c:v>3206.8345729760913</c:v>
                </c:pt>
                <c:pt idx="18">
                  <c:v>3236.0357064934437</c:v>
                </c:pt>
                <c:pt idx="19">
                  <c:v>3265.3248747157604</c:v>
                </c:pt>
                <c:pt idx="20">
                  <c:v>3296.1490909036784</c:v>
                </c:pt>
                <c:pt idx="21">
                  <c:v>3326.8953633093734</c:v>
                </c:pt>
                <c:pt idx="22">
                  <c:v>3357.9795995350464</c:v>
                </c:pt>
                <c:pt idx="23">
                  <c:v>3389.3254307564944</c:v>
                </c:pt>
                <c:pt idx="24">
                  <c:v>3420.8258554121157</c:v>
                </c:pt>
                <c:pt idx="25">
                  <c:v>3452.3732221540354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5491.9730778200928</c:v>
                </c:pt>
                <c:pt idx="1">
                  <c:v>5402.9298330231813</c:v>
                </c:pt>
                <c:pt idx="2">
                  <c:v>5509.9312605354189</c:v>
                </c:pt>
                <c:pt idx="3">
                  <c:v>5652.3270731849989</c:v>
                </c:pt>
                <c:pt idx="4">
                  <c:v>5862.1569214731471</c:v>
                </c:pt>
                <c:pt idx="5">
                  <c:v>5913.2437820431533</c:v>
                </c:pt>
                <c:pt idx="6">
                  <c:v>6251.9687149225729</c:v>
                </c:pt>
                <c:pt idx="7">
                  <c:v>6240.2117921712888</c:v>
                </c:pt>
                <c:pt idx="8">
                  <c:v>6468.2700325882961</c:v>
                </c:pt>
                <c:pt idx="9">
                  <c:v>6746.1756140652806</c:v>
                </c:pt>
                <c:pt idx="10">
                  <c:v>7052.3788359871123</c:v>
                </c:pt>
                <c:pt idx="11">
                  <c:v>7244.2346235856321</c:v>
                </c:pt>
                <c:pt idx="12">
                  <c:v>7320.177905888535</c:v>
                </c:pt>
                <c:pt idx="13">
                  <c:v>7414.34025321027</c:v>
                </c:pt>
                <c:pt idx="14">
                  <c:v>7514.2229043339412</c:v>
                </c:pt>
                <c:pt idx="15">
                  <c:v>7598.1008300975063</c:v>
                </c:pt>
                <c:pt idx="16">
                  <c:v>7677.2241132045947</c:v>
                </c:pt>
                <c:pt idx="17">
                  <c:v>7753.6893835617102</c:v>
                </c:pt>
                <c:pt idx="18">
                  <c:v>7830.27779323697</c:v>
                </c:pt>
                <c:pt idx="19">
                  <c:v>7906.6250515381762</c:v>
                </c:pt>
                <c:pt idx="20">
                  <c:v>7986.0749618687496</c:v>
                </c:pt>
                <c:pt idx="21">
                  <c:v>8065.1826301989959</c:v>
                </c:pt>
                <c:pt idx="22">
                  <c:v>8144.9056366557234</c:v>
                </c:pt>
                <c:pt idx="23">
                  <c:v>8225.455184619037</c:v>
                </c:pt>
                <c:pt idx="24">
                  <c:v>8306.1851110686093</c:v>
                </c:pt>
                <c:pt idx="25">
                  <c:v>8387.1585685800528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3292.8809152178014</c:v>
                </c:pt>
                <c:pt idx="1">
                  <c:v>3340.7743061288438</c:v>
                </c:pt>
                <c:pt idx="2">
                  <c:v>3482.3831636120649</c:v>
                </c:pt>
                <c:pt idx="3">
                  <c:v>3461.7090507575394</c:v>
                </c:pt>
                <c:pt idx="4">
                  <c:v>3613.7383486507815</c:v>
                </c:pt>
                <c:pt idx="5">
                  <c:v>3673.0788633877005</c:v>
                </c:pt>
                <c:pt idx="6">
                  <c:v>3791.638038692693</c:v>
                </c:pt>
                <c:pt idx="7">
                  <c:v>3885.2109821433723</c:v>
                </c:pt>
                <c:pt idx="8">
                  <c:v>3944.0265647693359</c:v>
                </c:pt>
                <c:pt idx="9">
                  <c:v>3966.2899027660592</c:v>
                </c:pt>
                <c:pt idx="10">
                  <c:v>4148.5199221357107</c:v>
                </c:pt>
                <c:pt idx="11">
                  <c:v>4190.439090231338</c:v>
                </c:pt>
                <c:pt idx="12">
                  <c:v>4231.0616124450289</c:v>
                </c:pt>
                <c:pt idx="13">
                  <c:v>4280.0956053246182</c:v>
                </c:pt>
                <c:pt idx="14">
                  <c:v>4332.5902809676627</c:v>
                </c:pt>
                <c:pt idx="15">
                  <c:v>4375.1721076650338</c:v>
                </c:pt>
                <c:pt idx="16">
                  <c:v>4414.8181575931903</c:v>
                </c:pt>
                <c:pt idx="17">
                  <c:v>4452.832809362304</c:v>
                </c:pt>
                <c:pt idx="18">
                  <c:v>4490.732541350887</c:v>
                </c:pt>
                <c:pt idx="19">
                  <c:v>4528.9318290454212</c:v>
                </c:pt>
                <c:pt idx="20">
                  <c:v>4569.0312898654611</c:v>
                </c:pt>
                <c:pt idx="21">
                  <c:v>4609.0154775725105</c:v>
                </c:pt>
                <c:pt idx="22">
                  <c:v>4649.4649804387573</c:v>
                </c:pt>
                <c:pt idx="23">
                  <c:v>4690.4587459131708</c:v>
                </c:pt>
                <c:pt idx="24">
                  <c:v>4731.8020320467949</c:v>
                </c:pt>
                <c:pt idx="25">
                  <c:v>4773.1361951546642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3073.7028316252927</c:v>
                </c:pt>
                <c:pt idx="1">
                  <c:v>3023.1591898142451</c:v>
                </c:pt>
                <c:pt idx="2">
                  <c:v>3065.4206757518537</c:v>
                </c:pt>
                <c:pt idx="3">
                  <c:v>3018.2231564875688</c:v>
                </c:pt>
                <c:pt idx="4">
                  <c:v>3112.732047094361</c:v>
                </c:pt>
                <c:pt idx="5">
                  <c:v>3149.4937606467911</c:v>
                </c:pt>
                <c:pt idx="6">
                  <c:v>3066.8291852932562</c:v>
                </c:pt>
                <c:pt idx="7">
                  <c:v>3167.5005270223392</c:v>
                </c:pt>
                <c:pt idx="8">
                  <c:v>3127.4203105555898</c:v>
                </c:pt>
                <c:pt idx="9">
                  <c:v>3060.9066259906567</c:v>
                </c:pt>
                <c:pt idx="10">
                  <c:v>3139.606488630418</c:v>
                </c:pt>
                <c:pt idx="11">
                  <c:v>3218.5870207828648</c:v>
                </c:pt>
                <c:pt idx="12">
                  <c:v>3207.6237326869314</c:v>
                </c:pt>
                <c:pt idx="13">
                  <c:v>3200.7092121465803</c:v>
                </c:pt>
                <c:pt idx="14">
                  <c:v>3195.8234850305289</c:v>
                </c:pt>
                <c:pt idx="15">
                  <c:v>3183.5304221363176</c:v>
                </c:pt>
                <c:pt idx="16">
                  <c:v>3168.3096928936493</c:v>
                </c:pt>
                <c:pt idx="17">
                  <c:v>3151.6401820418755</c:v>
                </c:pt>
                <c:pt idx="18">
                  <c:v>3134.8595159289848</c:v>
                </c:pt>
                <c:pt idx="19">
                  <c:v>3117.3724713453039</c:v>
                </c:pt>
                <c:pt idx="20">
                  <c:v>3100.1504225958001</c:v>
                </c:pt>
                <c:pt idx="21">
                  <c:v>3082.3078592414608</c:v>
                </c:pt>
                <c:pt idx="22">
                  <c:v>3063.8325992956952</c:v>
                </c:pt>
                <c:pt idx="23">
                  <c:v>3044.9440655262433</c:v>
                </c:pt>
                <c:pt idx="24">
                  <c:v>3025.4804762259732</c:v>
                </c:pt>
                <c:pt idx="25">
                  <c:v>3006.3242133196836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2717.1847724779168</c:v>
                </c:pt>
                <c:pt idx="1">
                  <c:v>2696.3239840295328</c:v>
                </c:pt>
                <c:pt idx="2">
                  <c:v>2685.8942692459527</c:v>
                </c:pt>
                <c:pt idx="3">
                  <c:v>2701.6876685252873</c:v>
                </c:pt>
                <c:pt idx="4">
                  <c:v>2849.2868093612569</c:v>
                </c:pt>
                <c:pt idx="5">
                  <c:v>2889.6909563037434</c:v>
                </c:pt>
                <c:pt idx="6">
                  <c:v>2843.9148778728736</c:v>
                </c:pt>
                <c:pt idx="7">
                  <c:v>2867.9784983565924</c:v>
                </c:pt>
                <c:pt idx="8">
                  <c:v>2766.123896075324</c:v>
                </c:pt>
                <c:pt idx="9">
                  <c:v>2850.7714544337691</c:v>
                </c:pt>
                <c:pt idx="10">
                  <c:v>2507.3322009247049</c:v>
                </c:pt>
                <c:pt idx="11">
                  <c:v>2540.1461872809427</c:v>
                </c:pt>
                <c:pt idx="12">
                  <c:v>2535.2403727882074</c:v>
                </c:pt>
                <c:pt idx="13">
                  <c:v>2538.4866421409479</c:v>
                </c:pt>
                <c:pt idx="14">
                  <c:v>2542.1712711833816</c:v>
                </c:pt>
                <c:pt idx="15">
                  <c:v>2537.8914948122301</c:v>
                </c:pt>
                <c:pt idx="16">
                  <c:v>2532.0378119337429</c:v>
                </c:pt>
                <c:pt idx="17">
                  <c:v>2524.9659756165829</c:v>
                </c:pt>
                <c:pt idx="18">
                  <c:v>2517.7427339057776</c:v>
                </c:pt>
                <c:pt idx="19">
                  <c:v>2510.3763666997606</c:v>
                </c:pt>
                <c:pt idx="20">
                  <c:v>2504.0282091270487</c:v>
                </c:pt>
                <c:pt idx="21">
                  <c:v>2497.3477287705209</c:v>
                </c:pt>
                <c:pt idx="22">
                  <c:v>2490.5636474521798</c:v>
                </c:pt>
                <c:pt idx="23">
                  <c:v>2483.7626522005098</c:v>
                </c:pt>
                <c:pt idx="24">
                  <c:v>2476.7707585448788</c:v>
                </c:pt>
                <c:pt idx="25">
                  <c:v>2469.75933949722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2507.9931886998538</c:v>
                </c:pt>
                <c:pt idx="1">
                  <c:v>2434.3725801091136</c:v>
                </c:pt>
                <c:pt idx="2">
                  <c:v>2458.1902894290465</c:v>
                </c:pt>
                <c:pt idx="3">
                  <c:v>2518.797004654969</c:v>
                </c:pt>
                <c:pt idx="4">
                  <c:v>2631.0650168070924</c:v>
                </c:pt>
                <c:pt idx="5">
                  <c:v>2686.476945366268</c:v>
                </c:pt>
                <c:pt idx="6">
                  <c:v>2765.9673059352681</c:v>
                </c:pt>
                <c:pt idx="7">
                  <c:v>2764.720781376358</c:v>
                </c:pt>
                <c:pt idx="8">
                  <c:v>2705.2417741537793</c:v>
                </c:pt>
                <c:pt idx="9">
                  <c:v>2794.9761350106</c:v>
                </c:pt>
                <c:pt idx="10">
                  <c:v>2678.5046281380878</c:v>
                </c:pt>
                <c:pt idx="11">
                  <c:v>2642.2043823747317</c:v>
                </c:pt>
                <c:pt idx="12">
                  <c:v>2661.2405273050645</c:v>
                </c:pt>
                <c:pt idx="13">
                  <c:v>2684.8841615276569</c:v>
                </c:pt>
                <c:pt idx="14">
                  <c:v>2711.1515381958075</c:v>
                </c:pt>
                <c:pt idx="15">
                  <c:v>2732.1382307806884</c:v>
                </c:pt>
                <c:pt idx="16">
                  <c:v>2751.0177437283292</c:v>
                </c:pt>
                <c:pt idx="17">
                  <c:v>2768.9179678902365</c:v>
                </c:pt>
                <c:pt idx="18">
                  <c:v>2786.7439061091386</c:v>
                </c:pt>
                <c:pt idx="19">
                  <c:v>2804.6930998404769</c:v>
                </c:pt>
                <c:pt idx="20">
                  <c:v>2823.5697592677097</c:v>
                </c:pt>
                <c:pt idx="21">
                  <c:v>2842.4168930267347</c:v>
                </c:pt>
                <c:pt idx="22">
                  <c:v>2861.4836013723148</c:v>
                </c:pt>
                <c:pt idx="23">
                  <c:v>2880.9234147499983</c:v>
                </c:pt>
                <c:pt idx="24">
                  <c:v>2900.4032631180121</c:v>
                </c:pt>
                <c:pt idx="25">
                  <c:v>2919.9573485364526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2229.4944453328212</c:v>
                </c:pt>
                <c:pt idx="1">
                  <c:v>2345.7276527371537</c:v>
                </c:pt>
                <c:pt idx="2">
                  <c:v>2438.7847576373711</c:v>
                </c:pt>
                <c:pt idx="3">
                  <c:v>2382.7298681666789</c:v>
                </c:pt>
                <c:pt idx="4">
                  <c:v>2427.5773177208252</c:v>
                </c:pt>
                <c:pt idx="5">
                  <c:v>2451.7146582710284</c:v>
                </c:pt>
                <c:pt idx="6">
                  <c:v>2483.8089515373349</c:v>
                </c:pt>
                <c:pt idx="7">
                  <c:v>2458.8983211937375</c:v>
                </c:pt>
                <c:pt idx="8">
                  <c:v>2428.5041322946845</c:v>
                </c:pt>
                <c:pt idx="9">
                  <c:v>2391.0620840559268</c:v>
                </c:pt>
                <c:pt idx="10">
                  <c:v>2363.8487883943035</c:v>
                </c:pt>
                <c:pt idx="11">
                  <c:v>2366.4805122607377</c:v>
                </c:pt>
                <c:pt idx="12">
                  <c:v>2371.0322311850168</c:v>
                </c:pt>
                <c:pt idx="13">
                  <c:v>2379.866465634716</c:v>
                </c:pt>
                <c:pt idx="14">
                  <c:v>2390.4247730027441</c:v>
                </c:pt>
                <c:pt idx="15">
                  <c:v>2395.694328186004</c:v>
                </c:pt>
                <c:pt idx="16">
                  <c:v>2398.7762403326269</c:v>
                </c:pt>
                <c:pt idx="17">
                  <c:v>2400.6818574080453</c:v>
                </c:pt>
                <c:pt idx="18">
                  <c:v>2402.1156076575462</c:v>
                </c:pt>
                <c:pt idx="19">
                  <c:v>2403.239382885432</c:v>
                </c:pt>
                <c:pt idx="20">
                  <c:v>2404.4522690451204</c:v>
                </c:pt>
                <c:pt idx="21">
                  <c:v>2405.4486749660673</c:v>
                </c:pt>
                <c:pt idx="22">
                  <c:v>2406.3910979166953</c:v>
                </c:pt>
                <c:pt idx="23">
                  <c:v>2407.2271904096406</c:v>
                </c:pt>
                <c:pt idx="24">
                  <c:v>2407.7729845400554</c:v>
                </c:pt>
                <c:pt idx="25">
                  <c:v>2408.2466133814305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1701.6244886384288</c:v>
                </c:pt>
                <c:pt idx="1">
                  <c:v>1665.961261182671</c:v>
                </c:pt>
                <c:pt idx="2">
                  <c:v>1664.6006004656247</c:v>
                </c:pt>
                <c:pt idx="3">
                  <c:v>1678.7128510332536</c:v>
                </c:pt>
                <c:pt idx="4">
                  <c:v>1749.8386559194139</c:v>
                </c:pt>
                <c:pt idx="5">
                  <c:v>1767.3257043641233</c:v>
                </c:pt>
                <c:pt idx="6">
                  <c:v>1849.6771931393055</c:v>
                </c:pt>
                <c:pt idx="7">
                  <c:v>1862.1854166816643</c:v>
                </c:pt>
                <c:pt idx="8">
                  <c:v>1899.0530119940054</c:v>
                </c:pt>
                <c:pt idx="9">
                  <c:v>1870.5480838882245</c:v>
                </c:pt>
                <c:pt idx="10">
                  <c:v>1665.7893005784094</c:v>
                </c:pt>
                <c:pt idx="11">
                  <c:v>1732.8038379403256</c:v>
                </c:pt>
                <c:pt idx="12">
                  <c:v>1728.3306247844396</c:v>
                </c:pt>
                <c:pt idx="13">
                  <c:v>1728.1745450345466</c:v>
                </c:pt>
                <c:pt idx="14">
                  <c:v>1728.4474610335214</c:v>
                </c:pt>
                <c:pt idx="15">
                  <c:v>1724.2750720276058</c:v>
                </c:pt>
                <c:pt idx="16">
                  <c:v>1718.9204648065197</c:v>
                </c:pt>
                <c:pt idx="17">
                  <c:v>1712.7119191532779</c:v>
                </c:pt>
                <c:pt idx="18">
                  <c:v>1706.4434647069857</c:v>
                </c:pt>
                <c:pt idx="19">
                  <c:v>1700.1014172528878</c:v>
                </c:pt>
                <c:pt idx="20">
                  <c:v>1694.4522495074857</c:v>
                </c:pt>
                <c:pt idx="21">
                  <c:v>1688.634318174546</c:v>
                </c:pt>
                <c:pt idx="22">
                  <c:v>1682.7482773347256</c:v>
                </c:pt>
                <c:pt idx="23">
                  <c:v>1676.9080745945098</c:v>
                </c:pt>
                <c:pt idx="24">
                  <c:v>1670.924771812028</c:v>
                </c:pt>
                <c:pt idx="25">
                  <c:v>1664.9651104259572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3174.7815815176359</c:v>
                </c:pt>
                <c:pt idx="1">
                  <c:v>3074.9145869127206</c:v>
                </c:pt>
                <c:pt idx="2">
                  <c:v>3085.6591535398634</c:v>
                </c:pt>
                <c:pt idx="3">
                  <c:v>3097.4155618586692</c:v>
                </c:pt>
                <c:pt idx="4">
                  <c:v>3247.8516597920479</c:v>
                </c:pt>
                <c:pt idx="5">
                  <c:v>3302.1923629942412</c:v>
                </c:pt>
                <c:pt idx="6">
                  <c:v>3303.0061744120753</c:v>
                </c:pt>
                <c:pt idx="7">
                  <c:v>3265.690705030966</c:v>
                </c:pt>
                <c:pt idx="8">
                  <c:v>3260.4173870363206</c:v>
                </c:pt>
                <c:pt idx="9">
                  <c:v>3290.2423965940566</c:v>
                </c:pt>
                <c:pt idx="10">
                  <c:v>2996.1870754553911</c:v>
                </c:pt>
                <c:pt idx="11">
                  <c:v>3060.3743403712051</c:v>
                </c:pt>
                <c:pt idx="12">
                  <c:v>3057.2829951055019</c:v>
                </c:pt>
                <c:pt idx="13">
                  <c:v>3059.95202138683</c:v>
                </c:pt>
                <c:pt idx="14">
                  <c:v>3063.9462126964427</c:v>
                </c:pt>
                <c:pt idx="15">
                  <c:v>3060.4986050772186</c:v>
                </c:pt>
                <c:pt idx="16">
                  <c:v>3054.3092886626218</c:v>
                </c:pt>
                <c:pt idx="17">
                  <c:v>3046.639332000489</c:v>
                </c:pt>
                <c:pt idx="18">
                  <c:v>3038.8687306191705</c:v>
                </c:pt>
                <c:pt idx="19">
                  <c:v>3031.1595066864325</c:v>
                </c:pt>
                <c:pt idx="20">
                  <c:v>3024.6177478297714</c:v>
                </c:pt>
                <c:pt idx="21">
                  <c:v>3017.500054749742</c:v>
                </c:pt>
                <c:pt idx="22">
                  <c:v>3010.1585600096755</c:v>
                </c:pt>
                <c:pt idx="23">
                  <c:v>3002.970241241127</c:v>
                </c:pt>
                <c:pt idx="24">
                  <c:v>2995.6317472433466</c:v>
                </c:pt>
                <c:pt idx="25">
                  <c:v>2988.1703889630162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3452.3732221540354</c:v>
                </c:pt>
                <c:pt idx="1">
                  <c:v>8387.1585685800528</c:v>
                </c:pt>
                <c:pt idx="2">
                  <c:v>4773.1361951546642</c:v>
                </c:pt>
                <c:pt idx="3">
                  <c:v>3006.3242133196836</c:v>
                </c:pt>
                <c:pt idx="4">
                  <c:v>2469.75933949722</c:v>
                </c:pt>
                <c:pt idx="5">
                  <c:v>2919.9573485364526</c:v>
                </c:pt>
                <c:pt idx="6">
                  <c:v>2408.2466133814305</c:v>
                </c:pt>
                <c:pt idx="7">
                  <c:v>1664.9651104259572</c:v>
                </c:pt>
                <c:pt idx="8">
                  <c:v>2988.1703889630162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3307.5137597510793</c:v>
                </c:pt>
                <c:pt idx="1">
                  <c:v>7052.3788359871123</c:v>
                </c:pt>
                <c:pt idx="2">
                  <c:v>4148.5199221357107</c:v>
                </c:pt>
                <c:pt idx="3">
                  <c:v>3139.606488630418</c:v>
                </c:pt>
                <c:pt idx="4">
                  <c:v>2507.3322009247049</c:v>
                </c:pt>
                <c:pt idx="5">
                  <c:v>2678.5046281380878</c:v>
                </c:pt>
                <c:pt idx="6">
                  <c:v>2363.8487883943035</c:v>
                </c:pt>
                <c:pt idx="7">
                  <c:v>1665.7893005784094</c:v>
                </c:pt>
                <c:pt idx="8">
                  <c:v>2996.1870754553911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10.765087078027587</c:v>
                </c:pt>
                <c:pt idx="1">
                  <c:v>26.152587370509117</c:v>
                </c:pt>
                <c:pt idx="2">
                  <c:v>14.883450736553264</c:v>
                </c:pt>
                <c:pt idx="3">
                  <c:v>9.3742303796971171</c:v>
                </c:pt>
                <c:pt idx="4">
                  <c:v>7.7011298143689597</c:v>
                </c:pt>
                <c:pt idx="5">
                  <c:v>9.1049238012306031</c:v>
                </c:pt>
                <c:pt idx="6">
                  <c:v>7.5093226688396078</c:v>
                </c:pt>
                <c:pt idx="7">
                  <c:v>5.1916444840312668</c:v>
                </c:pt>
                <c:pt idx="8">
                  <c:v>9.317623666742481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11.076855642736467</c:v>
                </c:pt>
                <c:pt idx="1">
                  <c:v>23.618399794653669</c:v>
                </c:pt>
                <c:pt idx="2">
                  <c:v>13.893383261985868</c:v>
                </c:pt>
                <c:pt idx="3">
                  <c:v>10.514534594763154</c:v>
                </c:pt>
                <c:pt idx="4">
                  <c:v>8.3970495228167579</c:v>
                </c:pt>
                <c:pt idx="5">
                  <c:v>8.9703055707075912</c:v>
                </c:pt>
                <c:pt idx="6">
                  <c:v>7.9165239186402614</c:v>
                </c:pt>
                <c:pt idx="7">
                  <c:v>5.5787243694220177</c:v>
                </c:pt>
                <c:pt idx="8">
                  <c:v>10.034223324274196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9.8511237530991345</c:v>
                </c:pt>
                <c:pt idx="1">
                  <c:v>20.635148972596941</c:v>
                </c:pt>
                <c:pt idx="2">
                  <c:v>12.817758294401591</c:v>
                </c:pt>
                <c:pt idx="3">
                  <c:v>10.990629734659032</c:v>
                </c:pt>
                <c:pt idx="4">
                  <c:v>10.084008974764556</c:v>
                </c:pt>
                <c:pt idx="5">
                  <c:v>9.374863276806396</c:v>
                </c:pt>
                <c:pt idx="6">
                  <c:v>8.5556251486458805</c:v>
                </c:pt>
                <c:pt idx="7">
                  <c:v>6.1673474892747739</c:v>
                </c:pt>
                <c:pt idx="8">
                  <c:v>11.523494355751696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8.6192557984654417E-2</c:v>
                </c:pt>
                <c:pt idx="1">
                  <c:v>9.4786896724300157E-2</c:v>
                </c:pt>
                <c:pt idx="2">
                  <c:v>9.6783155902000081E-2</c:v>
                </c:pt>
                <c:pt idx="3">
                  <c:v>9.7747854395425854E-2</c:v>
                </c:pt>
                <c:pt idx="4">
                  <c:v>9.6825319764221415E-2</c:v>
                </c:pt>
                <c:pt idx="5">
                  <c:v>9.851123753099135E-2</c:v>
                </c:pt>
                <c:pt idx="6">
                  <c:v>9.9570931144395261E-2</c:v>
                </c:pt>
                <c:pt idx="7">
                  <c:v>0.10311062490553456</c:v>
                </c:pt>
                <c:pt idx="8">
                  <c:v>0.1042286416384738</c:v>
                </c:pt>
                <c:pt idx="9">
                  <c:v>0.10729862823488999</c:v>
                </c:pt>
                <c:pt idx="10">
                  <c:v>0.11076855642736466</c:v>
                </c:pt>
                <c:pt idx="11">
                  <c:v>0.10019122970629706</c:v>
                </c:pt>
                <c:pt idx="12">
                  <c:v>0.10073845804312558</c:v>
                </c:pt>
                <c:pt idx="13">
                  <c:v>0.10128343177781757</c:v>
                </c:pt>
                <c:pt idx="14">
                  <c:v>0.10181879563597078</c:v>
                </c:pt>
                <c:pt idx="15">
                  <c:v>0.10234019505628862</c:v>
                </c:pt>
                <c:pt idx="16">
                  <c:v>0.10286324576534511</c:v>
                </c:pt>
                <c:pt idx="17">
                  <c:v>0.10338319945614453</c:v>
                </c:pt>
                <c:pt idx="18">
                  <c:v>0.10390619090697668</c:v>
                </c:pt>
                <c:pt idx="19">
                  <c:v>0.10443083198609382</c:v>
                </c:pt>
                <c:pt idx="20">
                  <c:v>0.1049644570281557</c:v>
                </c:pt>
                <c:pt idx="21">
                  <c:v>0.10549934497047443</c:v>
                </c:pt>
                <c:pt idx="22">
                  <c:v>0.10603857678862398</c:v>
                </c:pt>
                <c:pt idx="23">
                  <c:v>0.10657594161228509</c:v>
                </c:pt>
                <c:pt idx="24">
                  <c:v>0.10711571893480067</c:v>
                </c:pt>
                <c:pt idx="25">
                  <c:v>0.10765087078027588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0.20746926554878742</c:v>
                </c:pt>
                <c:pt idx="1">
                  <c:v>0.2039180104221619</c:v>
                </c:pt>
                <c:pt idx="2">
                  <c:v>0.20403798281220961</c:v>
                </c:pt>
                <c:pt idx="3">
                  <c:v>0.20805756313338208</c:v>
                </c:pt>
                <c:pt idx="4">
                  <c:v>0.20767633377808306</c:v>
                </c:pt>
                <c:pt idx="5">
                  <c:v>0.20635148972596942</c:v>
                </c:pt>
                <c:pt idx="6">
                  <c:v>0.21358632832002489</c:v>
                </c:pt>
                <c:pt idx="7">
                  <c:v>0.21110047687035649</c:v>
                </c:pt>
                <c:pt idx="8">
                  <c:v>0.21783069262551022</c:v>
                </c:pt>
                <c:pt idx="9">
                  <c:v>0.22328895519861966</c:v>
                </c:pt>
                <c:pt idx="10">
                  <c:v>0.23618399794653669</c:v>
                </c:pt>
                <c:pt idx="11">
                  <c:v>0.24146548079039651</c:v>
                </c:pt>
                <c:pt idx="12">
                  <c:v>0.24279864630064216</c:v>
                </c:pt>
                <c:pt idx="13">
                  <c:v>0.24420091448313966</c:v>
                </c:pt>
                <c:pt idx="14">
                  <c:v>0.24561258859985347</c:v>
                </c:pt>
                <c:pt idx="15">
                  <c:v>0.24705456309038404</c:v>
                </c:pt>
                <c:pt idx="16">
                  <c:v>0.24850864733384537</c:v>
                </c:pt>
                <c:pt idx="17">
                  <c:v>0.24996650055379299</c:v>
                </c:pt>
                <c:pt idx="18">
                  <c:v>0.25142316495647388</c:v>
                </c:pt>
                <c:pt idx="19">
                  <c:v>0.25286777396264398</c:v>
                </c:pt>
                <c:pt idx="20">
                  <c:v>0.25431313907250636</c:v>
                </c:pt>
                <c:pt idx="21">
                  <c:v>0.25575540906307676</c:v>
                </c:pt>
                <c:pt idx="22">
                  <c:v>0.25720055056564384</c:v>
                </c:pt>
                <c:pt idx="23">
                  <c:v>0.25864604901476279</c:v>
                </c:pt>
                <c:pt idx="24">
                  <c:v>0.26009011489725892</c:v>
                </c:pt>
                <c:pt idx="25">
                  <c:v>0.26152587370509117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0.12439456190688844</c:v>
                </c:pt>
                <c:pt idx="1">
                  <c:v>0.12608789505491055</c:v>
                </c:pt>
                <c:pt idx="2">
                  <c:v>0.12895595289396788</c:v>
                </c:pt>
                <c:pt idx="3">
                  <c:v>0.12742269512219606</c:v>
                </c:pt>
                <c:pt idx="4">
                  <c:v>0.12802249095925983</c:v>
                </c:pt>
                <c:pt idx="5">
                  <c:v>0.12817758294401591</c:v>
                </c:pt>
                <c:pt idx="6">
                  <c:v>0.12953392506106648</c:v>
                </c:pt>
                <c:pt idx="7">
                  <c:v>0.13143302156849279</c:v>
                </c:pt>
                <c:pt idx="8">
                  <c:v>0.13282222820146131</c:v>
                </c:pt>
                <c:pt idx="9">
                  <c:v>0.13127863534370454</c:v>
                </c:pt>
                <c:pt idx="10">
                  <c:v>0.13893383261985867</c:v>
                </c:pt>
                <c:pt idx="11">
                  <c:v>0.13967609308942491</c:v>
                </c:pt>
                <c:pt idx="12">
                  <c:v>0.14033757719056017</c:v>
                </c:pt>
                <c:pt idx="13">
                  <c:v>0.14097050111005974</c:v>
                </c:pt>
                <c:pt idx="14">
                  <c:v>0.14161660198252518</c:v>
                </c:pt>
                <c:pt idx="15">
                  <c:v>0.1422600538838267</c:v>
                </c:pt>
                <c:pt idx="16">
                  <c:v>0.14290588269806648</c:v>
                </c:pt>
                <c:pt idx="17">
                  <c:v>0.14355218268959322</c:v>
                </c:pt>
                <c:pt idx="18">
                  <c:v>0.14419337580777192</c:v>
                </c:pt>
                <c:pt idx="19">
                  <c:v>0.14484320460048716</c:v>
                </c:pt>
                <c:pt idx="20">
                  <c:v>0.14549884585284273</c:v>
                </c:pt>
                <c:pt idx="21">
                  <c:v>0.14615671992731119</c:v>
                </c:pt>
                <c:pt idx="22">
                  <c:v>0.1468212163714569</c:v>
                </c:pt>
                <c:pt idx="23">
                  <c:v>0.14748954258066008</c:v>
                </c:pt>
                <c:pt idx="24">
                  <c:v>0.14816608560121561</c:v>
                </c:pt>
                <c:pt idx="25">
                  <c:v>0.14883450736553264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0.11611471140817153</c:v>
                </c:pt>
                <c:pt idx="1">
                  <c:v>0.11410042814334485</c:v>
                </c:pt>
                <c:pt idx="2">
                  <c:v>0.11351543632333271</c:v>
                </c:pt>
                <c:pt idx="3">
                  <c:v>0.11109833999356657</c:v>
                </c:pt>
                <c:pt idx="4">
                  <c:v>0.11027353723783551</c:v>
                </c:pt>
                <c:pt idx="5">
                  <c:v>0.10990629734659033</c:v>
                </c:pt>
                <c:pt idx="6">
                  <c:v>0.10477224297492219</c:v>
                </c:pt>
                <c:pt idx="7">
                  <c:v>0.10715355407975023</c:v>
                </c:pt>
                <c:pt idx="8">
                  <c:v>0.1053215355801726</c:v>
                </c:pt>
                <c:pt idx="9">
                  <c:v>0.10131171816117684</c:v>
                </c:pt>
                <c:pt idx="10">
                  <c:v>0.10514534594763153</c:v>
                </c:pt>
                <c:pt idx="11">
                  <c:v>0.10728223239881617</c:v>
                </c:pt>
                <c:pt idx="12">
                  <c:v>0.10639177218790108</c:v>
                </c:pt>
                <c:pt idx="13">
                  <c:v>0.10541951001808682</c:v>
                </c:pt>
                <c:pt idx="14">
                  <c:v>0.10445983421836348</c:v>
                </c:pt>
                <c:pt idx="15">
                  <c:v>0.1035134614705739</c:v>
                </c:pt>
                <c:pt idx="16">
                  <c:v>0.10255690657271414</c:v>
                </c:pt>
                <c:pt idx="17">
                  <c:v>0.10160382088298762</c:v>
                </c:pt>
                <c:pt idx="18">
                  <c:v>0.10065751458646012</c:v>
                </c:pt>
                <c:pt idx="19">
                  <c:v>9.969905393302525E-2</c:v>
                </c:pt>
                <c:pt idx="20">
                  <c:v>9.8722963324502352E-2</c:v>
                </c:pt>
                <c:pt idx="21">
                  <c:v>9.7743218417260538E-2</c:v>
                </c:pt>
                <c:pt idx="22">
                  <c:v>9.6749976799409457E-2</c:v>
                </c:pt>
                <c:pt idx="23">
                  <c:v>9.5747011483570302E-2</c:v>
                </c:pt>
                <c:pt idx="24">
                  <c:v>9.473633854275984E-2</c:v>
                </c:pt>
                <c:pt idx="25">
                  <c:v>9.3742303796971169E-2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0.10264659369563088</c:v>
                </c:pt>
                <c:pt idx="1">
                  <c:v>0.10176497553535789</c:v>
                </c:pt>
                <c:pt idx="2">
                  <c:v>9.9461213367399534E-2</c:v>
                </c:pt>
                <c:pt idx="3">
                  <c:v>9.9446926085991955E-2</c:v>
                </c:pt>
                <c:pt idx="4">
                  <c:v>0.10094056613921167</c:v>
                </c:pt>
                <c:pt idx="5">
                  <c:v>0.10084008974764556</c:v>
                </c:pt>
                <c:pt idx="6">
                  <c:v>9.7156810041248196E-2</c:v>
                </c:pt>
                <c:pt idx="7">
                  <c:v>9.7021006469132184E-2</c:v>
                </c:pt>
                <c:pt idx="8">
                  <c:v>9.3154225339128566E-2</c:v>
                </c:pt>
                <c:pt idx="9">
                  <c:v>9.4356538576228957E-2</c:v>
                </c:pt>
                <c:pt idx="10">
                  <c:v>8.3970495228167574E-2</c:v>
                </c:pt>
                <c:pt idx="11">
                  <c:v>8.4668381445394958E-2</c:v>
                </c:pt>
                <c:pt idx="12">
                  <c:v>8.4089886676735809E-2</c:v>
                </c:pt>
                <c:pt idx="13">
                  <c:v>8.3608350607547122E-2</c:v>
                </c:pt>
                <c:pt idx="14">
                  <c:v>8.3094323196002684E-2</c:v>
                </c:pt>
                <c:pt idx="15">
                  <c:v>8.2520315068468353E-2</c:v>
                </c:pt>
                <c:pt idx="16">
                  <c:v>8.1961042476217633E-2</c:v>
                </c:pt>
                <c:pt idx="17">
                  <c:v>8.1400850320411569E-2</c:v>
                </c:pt>
                <c:pt idx="18">
                  <c:v>8.0842450730355425E-2</c:v>
                </c:pt>
                <c:pt idx="19">
                  <c:v>8.0286251025942362E-2</c:v>
                </c:pt>
                <c:pt idx="20">
                  <c:v>7.9739706580489275E-2</c:v>
                </c:pt>
                <c:pt idx="21">
                  <c:v>7.9193518514123359E-2</c:v>
                </c:pt>
                <c:pt idx="22">
                  <c:v>7.8647239135663807E-2</c:v>
                </c:pt>
                <c:pt idx="23">
                  <c:v>7.8100893174077132E-2</c:v>
                </c:pt>
                <c:pt idx="24">
                  <c:v>7.7554687567182451E-2</c:v>
                </c:pt>
                <c:pt idx="25">
                  <c:v>7.7011298143689594E-2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9.4744001379455628E-2</c:v>
                </c:pt>
                <c:pt idx="1">
                  <c:v>9.187837497499951E-2</c:v>
                </c:pt>
                <c:pt idx="2">
                  <c:v>9.1029118932225234E-2</c:v>
                </c:pt>
                <c:pt idx="3">
                  <c:v>9.2714869474260289E-2</c:v>
                </c:pt>
                <c:pt idx="4">
                  <c:v>9.320970829367628E-2</c:v>
                </c:pt>
                <c:pt idx="5">
                  <c:v>9.3748632768063958E-2</c:v>
                </c:pt>
                <c:pt idx="6">
                  <c:v>9.4493883137619195E-2</c:v>
                </c:pt>
                <c:pt idx="7">
                  <c:v>9.3527895334279632E-2</c:v>
                </c:pt>
                <c:pt idx="8">
                  <c:v>9.1103909764815111E-2</c:v>
                </c:pt>
                <c:pt idx="9">
                  <c:v>9.2509791724131346E-2</c:v>
                </c:pt>
                <c:pt idx="10">
                  <c:v>8.9703055707075915E-2</c:v>
                </c:pt>
                <c:pt idx="11">
                  <c:v>8.8070194394231249E-2</c:v>
                </c:pt>
                <c:pt idx="12">
                  <c:v>8.8269111190631175E-2</c:v>
                </c:pt>
                <c:pt idx="13">
                  <c:v>8.8430142822548075E-2</c:v>
                </c:pt>
                <c:pt idx="14">
                  <c:v>8.8617672893185395E-2</c:v>
                </c:pt>
                <c:pt idx="15">
                  <c:v>8.8836306861618169E-2</c:v>
                </c:pt>
                <c:pt idx="16">
                  <c:v>8.9049334525674984E-2</c:v>
                </c:pt>
                <c:pt idx="17">
                  <c:v>8.9265470992610799E-2</c:v>
                </c:pt>
                <c:pt idx="18">
                  <c:v>8.9479836003044641E-2</c:v>
                </c:pt>
                <c:pt idx="19">
                  <c:v>8.9699017745514073E-2</c:v>
                </c:pt>
                <c:pt idx="20">
                  <c:v>8.9915370479009757E-2</c:v>
                </c:pt>
                <c:pt idx="21">
                  <c:v>9.0136024010396845E-2</c:v>
                </c:pt>
                <c:pt idx="22">
                  <c:v>9.0360182246348314E-2</c:v>
                </c:pt>
                <c:pt idx="23">
                  <c:v>9.0589449703957881E-2</c:v>
                </c:pt>
                <c:pt idx="24">
                  <c:v>9.0819817746115403E-2</c:v>
                </c:pt>
                <c:pt idx="25">
                  <c:v>9.1049238012306036E-2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8.4223205133026682E-2</c:v>
                </c:pt>
                <c:pt idx="1">
                  <c:v>8.85327277461158E-2</c:v>
                </c:pt>
                <c:pt idx="2">
                  <c:v>9.0310513676560594E-2</c:v>
                </c:pt>
                <c:pt idx="3">
                  <c:v>8.7706348828915051E-2</c:v>
                </c:pt>
                <c:pt idx="4">
                  <c:v>8.6000829397859552E-2</c:v>
                </c:pt>
                <c:pt idx="5">
                  <c:v>8.5556251486458804E-2</c:v>
                </c:pt>
                <c:pt idx="6">
                  <c:v>8.485449278417255E-2</c:v>
                </c:pt>
                <c:pt idx="7">
                  <c:v>8.318221007032589E-2</c:v>
                </c:pt>
                <c:pt idx="8">
                  <c:v>8.1784269134784857E-2</c:v>
                </c:pt>
                <c:pt idx="9">
                  <c:v>7.9140802894419826E-2</c:v>
                </c:pt>
                <c:pt idx="10">
                  <c:v>7.9165239186402614E-2</c:v>
                </c:pt>
                <c:pt idx="11">
                  <c:v>7.8879741527657629E-2</c:v>
                </c:pt>
                <c:pt idx="12">
                  <c:v>7.8643364064119148E-2</c:v>
                </c:pt>
                <c:pt idx="13">
                  <c:v>7.8383989324487952E-2</c:v>
                </c:pt>
                <c:pt idx="14">
                  <c:v>7.8134282656399739E-2</c:v>
                </c:pt>
                <c:pt idx="15">
                  <c:v>7.7896730878275131E-2</c:v>
                </c:pt>
                <c:pt idx="16">
                  <c:v>7.7647419164998135E-2</c:v>
                </c:pt>
                <c:pt idx="17">
                  <c:v>7.7394129833405004E-2</c:v>
                </c:pt>
                <c:pt idx="18">
                  <c:v>7.7129767885148942E-2</c:v>
                </c:pt>
                <c:pt idx="19">
                  <c:v>7.6859821869430051E-2</c:v>
                </c:pt>
                <c:pt idx="20">
                  <c:v>7.6568753387682625E-2</c:v>
                </c:pt>
                <c:pt idx="21">
                  <c:v>7.6279303030612616E-2</c:v>
                </c:pt>
                <c:pt idx="22">
                  <c:v>7.5989230921841261E-2</c:v>
                </c:pt>
                <c:pt idx="23">
                  <c:v>7.5694267114191111E-2</c:v>
                </c:pt>
                <c:pt idx="24">
                  <c:v>7.539417239341685E-2</c:v>
                </c:pt>
                <c:pt idx="25">
                  <c:v>7.5093226688396075E-2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6.42819580313337E-2</c:v>
                </c:pt>
                <c:pt idx="1">
                  <c:v>6.2876904997797758E-2</c:v>
                </c:pt>
                <c:pt idx="2">
                  <c:v>6.1641739732701269E-2</c:v>
                </c:pt>
                <c:pt idx="3">
                  <c:v>6.1792054929663394E-2</c:v>
                </c:pt>
                <c:pt idx="4">
                  <c:v>6.1990847674748148E-2</c:v>
                </c:pt>
                <c:pt idx="5">
                  <c:v>6.1673474892747736E-2</c:v>
                </c:pt>
                <c:pt idx="6">
                  <c:v>6.3190616951896636E-2</c:v>
                </c:pt>
                <c:pt idx="7">
                  <c:v>6.2995975549371599E-2</c:v>
                </c:pt>
                <c:pt idx="8">
                  <c:v>6.3954045030751985E-2</c:v>
                </c:pt>
                <c:pt idx="9">
                  <c:v>6.1912519210049123E-2</c:v>
                </c:pt>
                <c:pt idx="10">
                  <c:v>5.5787243694220175E-2</c:v>
                </c:pt>
                <c:pt idx="11">
                  <c:v>5.7757973558924598E-2</c:v>
                </c:pt>
                <c:pt idx="12">
                  <c:v>5.7325975058616953E-2</c:v>
                </c:pt>
                <c:pt idx="13">
                  <c:v>5.6919670512989011E-2</c:v>
                </c:pt>
                <c:pt idx="14">
                  <c:v>5.6496654486844461E-2</c:v>
                </c:pt>
                <c:pt idx="15">
                  <c:v>5.6065329230693281E-2</c:v>
                </c:pt>
                <c:pt idx="16">
                  <c:v>5.5640761984376522E-2</c:v>
                </c:pt>
                <c:pt idx="17">
                  <c:v>5.521508326025508E-2</c:v>
                </c:pt>
                <c:pt idx="18">
                  <c:v>5.479236216708476E-2</c:v>
                </c:pt>
                <c:pt idx="19">
                  <c:v>5.4372233170186794E-2</c:v>
                </c:pt>
                <c:pt idx="20">
                  <c:v>5.3959106649793129E-2</c:v>
                </c:pt>
                <c:pt idx="21">
                  <c:v>5.3548367173431859E-2</c:v>
                </c:pt>
                <c:pt idx="22">
                  <c:v>5.3137973931345416E-2</c:v>
                </c:pt>
                <c:pt idx="23">
                  <c:v>5.2729683442425943E-2</c:v>
                </c:pt>
                <c:pt idx="24">
                  <c:v>5.2321373780382242E-2</c:v>
                </c:pt>
                <c:pt idx="25">
                  <c:v>5.1916444840312666E-2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0.11993314491205131</c:v>
                </c:pt>
                <c:pt idx="1">
                  <c:v>0.11605378640101163</c:v>
                </c:pt>
                <c:pt idx="2">
                  <c:v>0.11426488635960302</c:v>
                </c:pt>
                <c:pt idx="3">
                  <c:v>0.11401334803659863</c:v>
                </c:pt>
                <c:pt idx="4">
                  <c:v>0.11506036675510446</c:v>
                </c:pt>
                <c:pt idx="5">
                  <c:v>0.11523494355751696</c:v>
                </c:pt>
                <c:pt idx="6">
                  <c:v>0.11284076958465455</c:v>
                </c:pt>
                <c:pt idx="7">
                  <c:v>0.11047523515275656</c:v>
                </c:pt>
                <c:pt idx="8">
                  <c:v>0.10980045268490157</c:v>
                </c:pt>
                <c:pt idx="9">
                  <c:v>0.10890241065677957</c:v>
                </c:pt>
                <c:pt idx="10">
                  <c:v>0.10034223324274195</c:v>
                </c:pt>
                <c:pt idx="11">
                  <c:v>0.10200867308885697</c:v>
                </c:pt>
                <c:pt idx="12">
                  <c:v>0.10140520928766779</c:v>
                </c:pt>
                <c:pt idx="13">
                  <c:v>0.10078348934332403</c:v>
                </c:pt>
                <c:pt idx="14">
                  <c:v>0.10014924633085473</c:v>
                </c:pt>
                <c:pt idx="15">
                  <c:v>9.9513044459871802E-2</c:v>
                </c:pt>
                <c:pt idx="16">
                  <c:v>9.8866759478761626E-2</c:v>
                </c:pt>
                <c:pt idx="17">
                  <c:v>9.8218762010799182E-2</c:v>
                </c:pt>
                <c:pt idx="18">
                  <c:v>9.7575336956683592E-2</c:v>
                </c:pt>
                <c:pt idx="19">
                  <c:v>9.6941811706676373E-2</c:v>
                </c:pt>
                <c:pt idx="20">
                  <c:v>9.6317657625018094E-2</c:v>
                </c:pt>
                <c:pt idx="21">
                  <c:v>9.5688094893312453E-2</c:v>
                </c:pt>
                <c:pt idx="22">
                  <c:v>9.5055053239667078E-2</c:v>
                </c:pt>
                <c:pt idx="23">
                  <c:v>9.4427161874069562E-2</c:v>
                </c:pt>
                <c:pt idx="24">
                  <c:v>9.3801690536868029E-2</c:v>
                </c:pt>
                <c:pt idx="25">
                  <c:v>9.3176236667424805E-2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418.83273656857364</c:v>
                </c:pt>
                <c:pt idx="1">
                  <c:v>832.93183202212731</c:v>
                </c:pt>
                <c:pt idx="2">
                  <c:v>293.21103937835869</c:v>
                </c:pt>
                <c:pt idx="3">
                  <c:v>-88.587134656134367</c:v>
                </c:pt>
                <c:pt idx="4">
                  <c:v>-38.919501869974283</c:v>
                </c:pt>
                <c:pt idx="5">
                  <c:v>108.49918964433209</c:v>
                </c:pt>
                <c:pt idx="6">
                  <c:v>-60.652574215101595</c:v>
                </c:pt>
                <c:pt idx="7">
                  <c:v>103.22237952410114</c:v>
                </c:pt>
                <c:pt idx="8">
                  <c:v>-11.949966400184621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65.726056561781661</c:v>
                </c:pt>
                <c:pt idx="1">
                  <c:v>306.20322192183176</c:v>
                </c:pt>
                <c:pt idx="2">
                  <c:v>182.23001936965147</c:v>
                </c:pt>
                <c:pt idx="3">
                  <c:v>78.69986263976125</c:v>
                </c:pt>
                <c:pt idx="4">
                  <c:v>-343.4392535090642</c:v>
                </c:pt>
                <c:pt idx="5">
                  <c:v>-116.47150687251224</c:v>
                </c:pt>
                <c:pt idx="6">
                  <c:v>-27.213295661623306</c:v>
                </c:pt>
                <c:pt idx="7">
                  <c:v>-204.75878330981504</c:v>
                </c:pt>
                <c:pt idx="8">
                  <c:v>-294.05532113866548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-160.06685052298144</c:v>
                </c:pt>
                <c:pt idx="1">
                  <c:v>545.72199411039401</c:v>
                </c:pt>
                <c:pt idx="2">
                  <c:v>226.65218552932311</c:v>
                </c:pt>
                <c:pt idx="3">
                  <c:v>43.92393350589964</c:v>
                </c:pt>
                <c:pt idx="4">
                  <c:v>30.5592938875252</c:v>
                </c:pt>
                <c:pt idx="5">
                  <c:v>53.633602642600636</c:v>
                </c:pt>
                <c:pt idx="6">
                  <c:v>31.845539791700503</c:v>
                </c:pt>
                <c:pt idx="7">
                  <c:v>58.485771449196363</c:v>
                </c:pt>
                <c:pt idx="8">
                  <c:v>64.311529621827503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304.92631292593751</c:v>
                </c:pt>
                <c:pt idx="1">
                  <c:v>789.05773848254648</c:v>
                </c:pt>
                <c:pt idx="2">
                  <c:v>397.9640874896304</c:v>
                </c:pt>
                <c:pt idx="3">
                  <c:v>-177.20620881663399</c:v>
                </c:pt>
                <c:pt idx="4">
                  <c:v>-68.132155315010095</c:v>
                </c:pt>
                <c:pt idx="5">
                  <c:v>187.81911775576418</c:v>
                </c:pt>
                <c:pt idx="6">
                  <c:v>12.552285195426521</c:v>
                </c:pt>
                <c:pt idx="7">
                  <c:v>-59.309961601648638</c:v>
                </c:pt>
                <c:pt idx="8">
                  <c:v>-72.328216114202405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144.85946240295607</c:v>
                </c:pt>
                <c:pt idx="1">
                  <c:v>1334.7797325929405</c:v>
                </c:pt>
                <c:pt idx="2">
                  <c:v>624.61627301895351</c:v>
                </c:pt>
                <c:pt idx="3">
                  <c:v>-133.28227531073435</c:v>
                </c:pt>
                <c:pt idx="4">
                  <c:v>-37.572861427484895</c:v>
                </c:pt>
                <c:pt idx="5">
                  <c:v>241.45272039836482</c:v>
                </c:pt>
                <c:pt idx="6">
                  <c:v>44.397824987127024</c:v>
                </c:pt>
                <c:pt idx="7">
                  <c:v>-0.82419015245227456</c:v>
                </c:pt>
                <c:pt idx="8">
                  <c:v>-8.0166864923749017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134.24574939837316</c:v>
                </c:pt>
                <c:pt idx="1">
                  <c:v>588.95131331627863</c:v>
                </c:pt>
                <c:pt idx="2">
                  <c:v>614.62170353330339</c:v>
                </c:pt>
                <c:pt idx="3">
                  <c:v>-282.19934991598598</c:v>
                </c:pt>
                <c:pt idx="4">
                  <c:v>55.404391262191382</c:v>
                </c:pt>
                <c:pt idx="5">
                  <c:v>115.32511166092218</c:v>
                </c:pt>
                <c:pt idx="6">
                  <c:v>-38.646804154624078</c:v>
                </c:pt>
                <c:pt idx="7">
                  <c:v>53.740022657200598</c:v>
                </c:pt>
                <c:pt idx="8">
                  <c:v>-35.023137741940673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10.613713004583133</c:v>
                </c:pt>
                <c:pt idx="1">
                  <c:v>745.82841927667005</c:v>
                </c:pt>
                <c:pt idx="2">
                  <c:v>9.9945694856542104</c:v>
                </c:pt>
                <c:pt idx="3">
                  <c:v>148.91707460525276</c:v>
                </c:pt>
                <c:pt idx="4">
                  <c:v>-92.977252689673151</c:v>
                </c:pt>
                <c:pt idx="5">
                  <c:v>126.12760873744833</c:v>
                </c:pt>
                <c:pt idx="6">
                  <c:v>83.04462914174735</c:v>
                </c:pt>
                <c:pt idx="7">
                  <c:v>-54.564212809650371</c:v>
                </c:pt>
                <c:pt idx="8">
                  <c:v>27.006451249583051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78.226254533838755</c:v>
                </c:pt>
                <c:pt idx="1">
                  <c:v>10.053205097017781</c:v>
                </c:pt>
                <c:pt idx="2">
                  <c:v>48.82636763088658</c:v>
                </c:pt>
                <c:pt idx="3">
                  <c:v>-3.1094589868922213</c:v>
                </c:pt>
                <c:pt idx="4">
                  <c:v>100.70613439899523</c:v>
                </c:pt>
                <c:pt idx="5">
                  <c:v>55.205309397394899</c:v>
                </c:pt>
                <c:pt idx="6">
                  <c:v>-21.148749630717006</c:v>
                </c:pt>
                <c:pt idx="7">
                  <c:v>68.558091647042545</c:v>
                </c:pt>
                <c:pt idx="8">
                  <c:v>70.115845922152062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87.470982362848929</c:v>
                </c:pt>
                <c:pt idx="1">
                  <c:v>267.96077178336964</c:v>
                </c:pt>
                <c:pt idx="2">
                  <c:v>205.27992547001497</c:v>
                </c:pt>
                <c:pt idx="3">
                  <c:v>-118.28463182412634</c:v>
                </c:pt>
                <c:pt idx="4">
                  <c:v>58.003061323229048</c:v>
                </c:pt>
                <c:pt idx="5">
                  <c:v>5.2027787163690391</c:v>
                </c:pt>
                <c:pt idx="6">
                  <c:v>66.421097838639525</c:v>
                </c:pt>
                <c:pt idx="7">
                  <c:v>67.384363105606894</c:v>
                </c:pt>
                <c:pt idx="8">
                  <c:v>-188.29434880157578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-20.837774493722463</c:v>
                </c:pt>
                <c:pt idx="1">
                  <c:v>1056.7657557125531</c:v>
                </c:pt>
                <c:pt idx="2">
                  <c:v>370.50997991806253</c:v>
                </c:pt>
                <c:pt idx="3">
                  <c:v>-11.888184499718818</c:v>
                </c:pt>
                <c:pt idx="4">
                  <c:v>-196.28205714970545</c:v>
                </c:pt>
                <c:pt idx="5">
                  <c:v>181.04463228459895</c:v>
                </c:pt>
                <c:pt idx="6">
                  <c:v>-0.87452322079923306</c:v>
                </c:pt>
                <c:pt idx="7">
                  <c:v>-136.76664490510041</c:v>
                </c:pt>
                <c:pt idx="8">
                  <c:v>110.16181638706848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20.256297944429576</c:v>
                </c:pt>
                <c:pt idx="1">
                  <c:v>44.179306597382151</c:v>
                </c:pt>
                <c:pt idx="2">
                  <c:v>24.454199565045542</c:v>
                </c:pt>
                <c:pt idx="3">
                  <c:v>-13.449967186477778</c:v>
                </c:pt>
                <c:pt idx="4">
                  <c:v>20.911223544102143</c:v>
                </c:pt>
                <c:pt idx="5">
                  <c:v>34.933749025789979</c:v>
                </c:pt>
                <c:pt idx="6">
                  <c:v>-14.298675570908991</c:v>
                </c:pt>
                <c:pt idx="7">
                  <c:v>8.2114661696666289</c:v>
                </c:pt>
                <c:pt idx="8">
                  <c:v>37.313399921557576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72.372237050598301</c:v>
                </c:pt>
                <c:pt idx="1">
                  <c:v>143.34903067393111</c:v>
                </c:pt>
                <c:pt idx="2">
                  <c:v>187.39726982959291</c:v>
                </c:pt>
                <c:pt idx="3">
                  <c:v>-111.2696670316343</c:v>
                </c:pt>
                <c:pt idx="4">
                  <c:v>18.881911901754791</c:v>
                </c:pt>
                <c:pt idx="5">
                  <c:v>-51.877188967772668</c:v>
                </c:pt>
                <c:pt idx="6">
                  <c:v>9.8191375005155805</c:v>
                </c:pt>
                <c:pt idx="7">
                  <c:v>35.0132386946973</c:v>
                </c:pt>
                <c:pt idx="8">
                  <c:v>-132.46296967707246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41.617214403344633</c:v>
                </c:pt>
                <c:pt idx="1">
                  <c:v>401.42297604496662</c:v>
                </c:pt>
                <c:pt idx="2">
                  <c:v>402.77023413866755</c:v>
                </c:pt>
                <c:pt idx="3">
                  <c:v>-157.47971569787717</c:v>
                </c:pt>
                <c:pt idx="4">
                  <c:v>15.611255816334534</c:v>
                </c:pt>
                <c:pt idx="5">
                  <c:v>132.26855160289915</c:v>
                </c:pt>
                <c:pt idx="6">
                  <c:v>-34.167266084232722</c:v>
                </c:pt>
                <c:pt idx="7">
                  <c:v>10.515317792836882</c:v>
                </c:pt>
                <c:pt idx="8">
                  <c:v>60.126432013573947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57.969956589408753</c:v>
                </c:pt>
                <c:pt idx="1">
                  <c:v>-34.126101500364314</c:v>
                </c:pt>
                <c:pt idx="2">
                  <c:v>24.372168065841834</c:v>
                </c:pt>
                <c:pt idx="3">
                  <c:v>10.34050819958561</c:v>
                </c:pt>
                <c:pt idx="4">
                  <c:v>79.794910854893033</c:v>
                </c:pt>
                <c:pt idx="5">
                  <c:v>20.271560371605034</c:v>
                </c:pt>
                <c:pt idx="6">
                  <c:v>-6.8500740598079233</c:v>
                </c:pt>
                <c:pt idx="7">
                  <c:v>60.346625477375881</c:v>
                </c:pt>
                <c:pt idx="8">
                  <c:v>32.802446000594443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15.098745312250799</c:v>
                </c:pt>
                <c:pt idx="1">
                  <c:v>124.61174110943853</c:v>
                </c:pt>
                <c:pt idx="2">
                  <c:v>17.882655640421518</c:v>
                </c:pt>
                <c:pt idx="3">
                  <c:v>-7.0149647924914973</c:v>
                </c:pt>
                <c:pt idx="4">
                  <c:v>39.121149421473945</c:v>
                </c:pt>
                <c:pt idx="5">
                  <c:v>57.079967684142474</c:v>
                </c:pt>
                <c:pt idx="6">
                  <c:v>56.601960338120421</c:v>
                </c:pt>
                <c:pt idx="7">
                  <c:v>32.371124410909346</c:v>
                </c:pt>
                <c:pt idx="8">
                  <c:v>-55.831379124501836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-62.454988897071416</c:v>
                </c:pt>
                <c:pt idx="1">
                  <c:v>655.34277966758918</c:v>
                </c:pt>
                <c:pt idx="2">
                  <c:v>-32.260254220606384</c:v>
                </c:pt>
                <c:pt idx="3">
                  <c:v>145.59153119815721</c:v>
                </c:pt>
                <c:pt idx="4">
                  <c:v>-211.89331296603882</c:v>
                </c:pt>
                <c:pt idx="5">
                  <c:v>48.776080681701842</c:v>
                </c:pt>
                <c:pt idx="6">
                  <c:v>33.292742863432068</c:v>
                </c:pt>
                <c:pt idx="7">
                  <c:v>-147.28196269793898</c:v>
                </c:pt>
                <c:pt idx="8">
                  <c:v>50.035384373493457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1702.033110914967</c:v>
                </c:pt>
                <c:pt idx="1">
                  <c:v>1655.5781152901332</c:v>
                </c:pt>
                <c:pt idx="2">
                  <c:v>1572.8390264205864</c:v>
                </c:pt>
                <c:pt idx="3">
                  <c:v>1556.8165204729598</c:v>
                </c:pt>
                <c:pt idx="4">
                  <c:v>1439.3135271229035</c:v>
                </c:pt>
                <c:pt idx="5">
                  <c:v>1486.5551957958014</c:v>
                </c:pt>
                <c:pt idx="6">
                  <c:v>1355.6873898979425</c:v>
                </c:pt>
                <c:pt idx="7">
                  <c:v>1371.1009609128341</c:v>
                </c:pt>
                <c:pt idx="8">
                  <c:v>1340.7294376486868</c:v>
                </c:pt>
                <c:pt idx="9">
                  <c:v>1334.4322674854227</c:v>
                </c:pt>
                <c:pt idx="10">
                  <c:v>1139.2997279306785</c:v>
                </c:pt>
                <c:pt idx="11">
                  <c:v>1159.9409147864726</c:v>
                </c:pt>
                <c:pt idx="12">
                  <c:v>1078.4626013055065</c:v>
                </c:pt>
                <c:pt idx="13">
                  <c:v>1022.6650086377374</c:v>
                </c:pt>
                <c:pt idx="14">
                  <c:v>967.39642283354215</c:v>
                </c:pt>
                <c:pt idx="15">
                  <c:v>936.86117983907172</c:v>
                </c:pt>
                <c:pt idx="16">
                  <c:v>909.26112734762205</c:v>
                </c:pt>
                <c:pt idx="17">
                  <c:v>881.45097909603112</c:v>
                </c:pt>
                <c:pt idx="18">
                  <c:v>853.82044513731114</c:v>
                </c:pt>
                <c:pt idx="19">
                  <c:v>826.34056328394922</c:v>
                </c:pt>
                <c:pt idx="20">
                  <c:v>799.30152857704502</c:v>
                </c:pt>
                <c:pt idx="21">
                  <c:v>772.3200632714088</c:v>
                </c:pt>
                <c:pt idx="22">
                  <c:v>745.45861033493247</c:v>
                </c:pt>
                <c:pt idx="23">
                  <c:v>718.72897053449265</c:v>
                </c:pt>
                <c:pt idx="24">
                  <c:v>693.76905385968394</c:v>
                </c:pt>
                <c:pt idx="25">
                  <c:v>694.03923533796922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4299.4224123435461</c:v>
                </c:pt>
                <c:pt idx="1">
                  <c:v>4121.354747411162</c:v>
                </c:pt>
                <c:pt idx="2">
                  <c:v>3938.2864331166511</c:v>
                </c:pt>
                <c:pt idx="3">
                  <c:v>3844.9513771826159</c:v>
                </c:pt>
                <c:pt idx="4">
                  <c:v>3965.1700118986337</c:v>
                </c:pt>
                <c:pt idx="5">
                  <c:v>3914.3609839876071</c:v>
                </c:pt>
                <c:pt idx="6">
                  <c:v>3874.7574018367691</c:v>
                </c:pt>
                <c:pt idx="7">
                  <c:v>3820.9234838812968</c:v>
                </c:pt>
                <c:pt idx="8">
                  <c:v>3863.9134791191509</c:v>
                </c:pt>
                <c:pt idx="9">
                  <c:v>3791.5074330667439</c:v>
                </c:pt>
                <c:pt idx="10">
                  <c:v>3433.340797516591</c:v>
                </c:pt>
                <c:pt idx="11">
                  <c:v>3365.8472383153608</c:v>
                </c:pt>
                <c:pt idx="12">
                  <c:v>3354.1186519836747</c:v>
                </c:pt>
                <c:pt idx="13">
                  <c:v>3269.2645943556477</c:v>
                </c:pt>
                <c:pt idx="14">
                  <c:v>3184.9429452760264</c:v>
                </c:pt>
                <c:pt idx="15">
                  <c:v>3089.2371506087961</c:v>
                </c:pt>
                <c:pt idx="16">
                  <c:v>2990.0774183305948</c:v>
                </c:pt>
                <c:pt idx="17">
                  <c:v>2888.7883257422272</c:v>
                </c:pt>
                <c:pt idx="18">
                  <c:v>2786.6746158692818</c:v>
                </c:pt>
                <c:pt idx="19">
                  <c:v>2683.6784936009117</c:v>
                </c:pt>
                <c:pt idx="20">
                  <c:v>2580.8115017704163</c:v>
                </c:pt>
                <c:pt idx="21">
                  <c:v>2476.847973988059</c:v>
                </c:pt>
                <c:pt idx="22">
                  <c:v>2372.0500521952599</c:v>
                </c:pt>
                <c:pt idx="23">
                  <c:v>2266.4680939351047</c:v>
                </c:pt>
                <c:pt idx="24">
                  <c:v>2159.741276372587</c:v>
                </c:pt>
                <c:pt idx="25">
                  <c:v>2049.7111319645246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5614.7737073058643</c:v>
                </c:pt>
                <c:pt idx="1">
                  <c:v>5731.6055328011389</c:v>
                </c:pt>
                <c:pt idx="2">
                  <c:v>5672.1253127801583</c:v>
                </c:pt>
                <c:pt idx="3">
                  <c:v>5606.676552596854</c:v>
                </c:pt>
                <c:pt idx="4">
                  <c:v>5717.9252290811482</c:v>
                </c:pt>
                <c:pt idx="5">
                  <c:v>5710.2594647863762</c:v>
                </c:pt>
                <c:pt idx="6">
                  <c:v>5754.3399614225855</c:v>
                </c:pt>
                <c:pt idx="7">
                  <c:v>5778.0327195727277</c:v>
                </c:pt>
                <c:pt idx="8">
                  <c:v>5761.0058164643779</c:v>
                </c:pt>
                <c:pt idx="9">
                  <c:v>5758.7634162135182</c:v>
                </c:pt>
                <c:pt idx="10">
                  <c:v>5330.1618704902758</c:v>
                </c:pt>
                <c:pt idx="11">
                  <c:v>5375.3338954896335</c:v>
                </c:pt>
                <c:pt idx="12">
                  <c:v>5335.0517235481902</c:v>
                </c:pt>
                <c:pt idx="13">
                  <c:v>5272.032041328308</c:v>
                </c:pt>
                <c:pt idx="14">
                  <c:v>5211.9846646078413</c:v>
                </c:pt>
                <c:pt idx="15">
                  <c:v>5134.4464820149587</c:v>
                </c:pt>
                <c:pt idx="16">
                  <c:v>5051.9991499693479</c:v>
                </c:pt>
                <c:pt idx="17">
                  <c:v>4966.9775925419099</c:v>
                </c:pt>
                <c:pt idx="18">
                  <c:v>4881.4527445955091</c:v>
                </c:pt>
                <c:pt idx="19">
                  <c:v>4795.3688622124901</c:v>
                </c:pt>
                <c:pt idx="20">
                  <c:v>4710.4932247567458</c:v>
                </c:pt>
                <c:pt idx="21">
                  <c:v>4624.7283846023211</c:v>
                </c:pt>
                <c:pt idx="22">
                  <c:v>4538.5326177396737</c:v>
                </c:pt>
                <c:pt idx="23">
                  <c:v>4452.0670878190986</c:v>
                </c:pt>
                <c:pt idx="24">
                  <c:v>4364.6689797752288</c:v>
                </c:pt>
                <c:pt idx="25">
                  <c:v>4272.5426973533804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5176.5478075817146</c:v>
                </c:pt>
                <c:pt idx="1">
                  <c:v>5146.2491521045486</c:v>
                </c:pt>
                <c:pt idx="2">
                  <c:v>5396.4145960233054</c:v>
                </c:pt>
                <c:pt idx="3">
                  <c:v>5316.2153223493924</c:v>
                </c:pt>
                <c:pt idx="4">
                  <c:v>5610.693512954058</c:v>
                </c:pt>
                <c:pt idx="5">
                  <c:v>5639.2616360428665</c:v>
                </c:pt>
                <c:pt idx="6">
                  <c:v>5755.4462883345395</c:v>
                </c:pt>
                <c:pt idx="7">
                  <c:v>5808.9951878718466</c:v>
                </c:pt>
                <c:pt idx="8">
                  <c:v>5785.3725328638066</c:v>
                </c:pt>
                <c:pt idx="9">
                  <c:v>5832.8497135580028</c:v>
                </c:pt>
                <c:pt idx="10">
                  <c:v>5842.7949099002499</c:v>
                </c:pt>
                <c:pt idx="11">
                  <c:v>5646.1692468657393</c:v>
                </c:pt>
                <c:pt idx="12">
                  <c:v>5765.1396618735862</c:v>
                </c:pt>
                <c:pt idx="13">
                  <c:v>5783.663520351547</c:v>
                </c:pt>
                <c:pt idx="14">
                  <c:v>5806.8852209820188</c:v>
                </c:pt>
                <c:pt idx="15">
                  <c:v>5811.9310878060442</c:v>
                </c:pt>
                <c:pt idx="16">
                  <c:v>5812.4635161776787</c:v>
                </c:pt>
                <c:pt idx="17">
                  <c:v>5811.0199975540736</c:v>
                </c:pt>
                <c:pt idx="18">
                  <c:v>5809.9381751003993</c:v>
                </c:pt>
                <c:pt idx="19">
                  <c:v>5809.18514705093</c:v>
                </c:pt>
                <c:pt idx="20">
                  <c:v>5810.9477863702141</c:v>
                </c:pt>
                <c:pt idx="21">
                  <c:v>5812.7535122206127</c:v>
                </c:pt>
                <c:pt idx="22">
                  <c:v>5815.1880767682796</c:v>
                </c:pt>
                <c:pt idx="23">
                  <c:v>5818.5118039142781</c:v>
                </c:pt>
                <c:pt idx="24">
                  <c:v>5821.9464357303214</c:v>
                </c:pt>
                <c:pt idx="25">
                  <c:v>5820.876437296768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1337.7813742381975</c:v>
                </c:pt>
                <c:pt idx="1">
                  <c:v>1366.2096281080082</c:v>
                </c:pt>
                <c:pt idx="2">
                  <c:v>1450.2489275019566</c:v>
                </c:pt>
                <c:pt idx="3">
                  <c:v>1483.3850866338123</c:v>
                </c:pt>
                <c:pt idx="4">
                  <c:v>1544.1819476824976</c:v>
                </c:pt>
                <c:pt idx="5">
                  <c:v>1538.7570902922553</c:v>
                </c:pt>
                <c:pt idx="6">
                  <c:v>1574.9342076581547</c:v>
                </c:pt>
                <c:pt idx="7">
                  <c:v>1593.9074486767472</c:v>
                </c:pt>
                <c:pt idx="8">
                  <c:v>1586.6920738276021</c:v>
                </c:pt>
                <c:pt idx="9">
                  <c:v>1642.6509417224656</c:v>
                </c:pt>
                <c:pt idx="10">
                  <c:v>1728.4181700933332</c:v>
                </c:pt>
                <c:pt idx="11">
                  <c:v>1761.3656420677587</c:v>
                </c:pt>
                <c:pt idx="12">
                  <c:v>1723.0214114960327</c:v>
                </c:pt>
                <c:pt idx="13">
                  <c:v>1750.2514700713521</c:v>
                </c:pt>
                <c:pt idx="14">
                  <c:v>1778.5457188223768</c:v>
                </c:pt>
                <c:pt idx="15">
                  <c:v>1800.6486764732183</c:v>
                </c:pt>
                <c:pt idx="16">
                  <c:v>1822.3217280081176</c:v>
                </c:pt>
                <c:pt idx="17">
                  <c:v>1844.0972901561859</c:v>
                </c:pt>
                <c:pt idx="18">
                  <c:v>1866.3199877772656</c:v>
                </c:pt>
                <c:pt idx="19">
                  <c:v>1888.8266886816411</c:v>
                </c:pt>
                <c:pt idx="20">
                  <c:v>1912.8622352522257</c:v>
                </c:pt>
                <c:pt idx="21" formatCode="General">
                  <c:v>1937.165625209977</c:v>
                </c:pt>
                <c:pt idx="22" formatCode="General">
                  <c:v>1962.0433694238322</c:v>
                </c:pt>
                <c:pt idx="23" formatCode="General">
                  <c:v>1987.960892622003</c:v>
                </c:pt>
                <c:pt idx="24" formatCode="General">
                  <c:v>2014.5760890597153</c:v>
                </c:pt>
                <c:pt idx="25">
                  <c:v>2039.02738078637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1586.7825100113255</c:v>
                </c:pt>
                <c:pt idx="1">
                  <c:v>1581.1973123132025</c:v>
                </c:pt>
                <c:pt idx="2">
                  <c:v>1626.8618345029072</c:v>
                </c:pt>
                <c:pt idx="3">
                  <c:v>1652.4536883945136</c:v>
                </c:pt>
                <c:pt idx="4">
                  <c:v>1673.3476881371764</c:v>
                </c:pt>
                <c:pt idx="5">
                  <c:v>1634.762270005833</c:v>
                </c:pt>
                <c:pt idx="6">
                  <c:v>1633.8100155683692</c:v>
                </c:pt>
                <c:pt idx="7">
                  <c:v>1637.2711289112337</c:v>
                </c:pt>
                <c:pt idx="8">
                  <c:v>1612.1871333606869</c:v>
                </c:pt>
                <c:pt idx="9">
                  <c:v>1634.5018593060931</c:v>
                </c:pt>
                <c:pt idx="10">
                  <c:v>1705.9422521063802</c:v>
                </c:pt>
                <c:pt idx="11">
                  <c:v>1705.0732548960543</c:v>
                </c:pt>
                <c:pt idx="12">
                  <c:v>1662.0263656049631</c:v>
                </c:pt>
                <c:pt idx="13">
                  <c:v>1675.6755286961748</c:v>
                </c:pt>
                <c:pt idx="14">
                  <c:v>1692.1877400381134</c:v>
                </c:pt>
                <c:pt idx="15">
                  <c:v>1703.3950738873423</c:v>
                </c:pt>
                <c:pt idx="16">
                  <c:v>1714.3297085684014</c:v>
                </c:pt>
                <c:pt idx="17">
                  <c:v>1725.9673003963715</c:v>
                </c:pt>
                <c:pt idx="18">
                  <c:v>1739.5969636777363</c:v>
                </c:pt>
                <c:pt idx="19">
                  <c:v>1755.0236499218126</c:v>
                </c:pt>
                <c:pt idx="20">
                  <c:v>1771.8305640587414</c:v>
                </c:pt>
                <c:pt idx="21" formatCode="General">
                  <c:v>1789.7525221947687</c:v>
                </c:pt>
                <c:pt idx="22" formatCode="General">
                  <c:v>1808.8580143407682</c:v>
                </c:pt>
                <c:pt idx="23" formatCode="General">
                  <c:v>1828.6975029297862</c:v>
                </c:pt>
                <c:pt idx="24" formatCode="General">
                  <c:v>1848.7645924960107</c:v>
                </c:pt>
                <c:pt idx="25">
                  <c:v>1868.6764428666561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4372.5617107630305</c:v>
                </c:pt>
                <c:pt idx="1">
                  <c:v>4612.6261793400472</c:v>
                </c:pt>
                <c:pt idx="2">
                  <c:v>4984.1203975720473</c:v>
                </c:pt>
                <c:pt idx="3">
                  <c:v>5230.1180480360144</c:v>
                </c:pt>
                <c:pt idx="4">
                  <c:v>5552.1107814229317</c:v>
                </c:pt>
                <c:pt idx="5">
                  <c:v>5584.3807768145725</c:v>
                </c:pt>
                <c:pt idx="6">
                  <c:v>5669.8041895566903</c:v>
                </c:pt>
                <c:pt idx="7">
                  <c:v>5828.2145674073563</c:v>
                </c:pt>
                <c:pt idx="8">
                  <c:v>5885.8422607909206</c:v>
                </c:pt>
                <c:pt idx="9">
                  <c:v>6107.7777430294263</c:v>
                </c:pt>
                <c:pt idx="10">
                  <c:v>6391.7858913682503</c:v>
                </c:pt>
                <c:pt idx="11">
                  <c:v>6563.4886340303219</c:v>
                </c:pt>
                <c:pt idx="12">
                  <c:v>6466.1153563407061</c:v>
                </c:pt>
                <c:pt idx="13">
                  <c:v>6577.7745215240211</c:v>
                </c:pt>
                <c:pt idx="14">
                  <c:v>6692.7163763733051</c:v>
                </c:pt>
                <c:pt idx="15">
                  <c:v>6786.7511547139493</c:v>
                </c:pt>
                <c:pt idx="16">
                  <c:v>6873.5327373538594</c:v>
                </c:pt>
                <c:pt idx="17">
                  <c:v>6956.262363584975</c:v>
                </c:pt>
                <c:pt idx="18">
                  <c:v>7037.2624005339339</c:v>
                </c:pt>
                <c:pt idx="19">
                  <c:v>7117.0477022541254</c:v>
                </c:pt>
                <c:pt idx="20">
                  <c:v>7198.8493872356894</c:v>
                </c:pt>
                <c:pt idx="21" formatCode="General">
                  <c:v>7279.8858291090201</c:v>
                </c:pt>
                <c:pt idx="22" formatCode="General">
                  <c:v>7360.9185021520307</c:v>
                </c:pt>
                <c:pt idx="23" formatCode="General">
                  <c:v>7442.4783862446129</c:v>
                </c:pt>
                <c:pt idx="24" formatCode="General">
                  <c:v>7524.1515345395173</c:v>
                </c:pt>
                <c:pt idx="25" formatCode="General">
                  <c:v>7601.5451445197632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2083.3354002916944</c:v>
                </c:pt>
                <c:pt idx="1">
                  <c:v>1994.7773838239889</c:v>
                </c:pt>
                <c:pt idx="2">
                  <c:v>2069.1596124927773</c:v>
                </c:pt>
                <c:pt idx="3">
                  <c:v>2165.9854077016348</c:v>
                </c:pt>
                <c:pt idx="4">
                  <c:v>2381.9020884923293</c:v>
                </c:pt>
                <c:pt idx="5">
                  <c:v>2754.1142531476767</c:v>
                </c:pt>
                <c:pt idx="6">
                  <c:v>3201.4171963419108</c:v>
                </c:pt>
                <c:pt idx="7">
                  <c:v>3261.3467888964292</c:v>
                </c:pt>
                <c:pt idx="8">
                  <c:v>3380.9957730962628</c:v>
                </c:pt>
                <c:pt idx="9">
                  <c:v>3602.5037901916585</c:v>
                </c:pt>
                <c:pt idx="10">
                  <c:v>3765.2929147959244</c:v>
                </c:pt>
                <c:pt idx="11">
                  <c:v>3880.0478346440882</c:v>
                </c:pt>
                <c:pt idx="12">
                  <c:v>4181.7615526292011</c:v>
                </c:pt>
                <c:pt idx="13">
                  <c:v>4397.7831401837047</c:v>
                </c:pt>
                <c:pt idx="14">
                  <c:v>4617.0465200105264</c:v>
                </c:pt>
                <c:pt idx="15">
                  <c:v>4821.7411523491573</c:v>
                </c:pt>
                <c:pt idx="16">
                  <c:v>5022.4226435407372</c:v>
                </c:pt>
                <c:pt idx="17">
                  <c:v>5220.7941485805704</c:v>
                </c:pt>
                <c:pt idx="18">
                  <c:v>5418.5224529126335</c:v>
                </c:pt>
                <c:pt idx="19">
                  <c:v>5615.6464147724855</c:v>
                </c:pt>
                <c:pt idx="20">
                  <c:v>5814.0939845296452</c:v>
                </c:pt>
                <c:pt idx="21" formatCode="General">
                  <c:v>6011.4999914214386</c:v>
                </c:pt>
                <c:pt idx="22" formatCode="General">
                  <c:v>6208.3069688398245</c:v>
                </c:pt>
                <c:pt idx="23" formatCode="General">
                  <c:v>6404.6727406799173</c:v>
                </c:pt>
                <c:pt idx="24" formatCode="General">
                  <c:v>6599.5961192929017</c:v>
                </c:pt>
                <c:pt idx="25" formatCode="General">
                  <c:v>6789.5072514767726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298.02296654885254</c:v>
                </c:pt>
                <c:pt idx="1">
                  <c:v>286.00094880658258</c:v>
                </c:pt>
                <c:pt idx="2">
                  <c:v>294.38285958991185</c:v>
                </c:pt>
                <c:pt idx="3">
                  <c:v>310.52899663042643</c:v>
                </c:pt>
                <c:pt idx="4">
                  <c:v>342.72621320522296</c:v>
                </c:pt>
                <c:pt idx="5">
                  <c:v>393.72032912482791</c:v>
                </c:pt>
                <c:pt idx="6">
                  <c:v>451.19334937865506</c:v>
                </c:pt>
                <c:pt idx="7">
                  <c:v>460.59471386481101</c:v>
                </c:pt>
                <c:pt idx="8">
                  <c:v>477.28649282427057</c:v>
                </c:pt>
                <c:pt idx="9">
                  <c:v>507.77283542055335</c:v>
                </c:pt>
                <c:pt idx="10">
                  <c:v>522.64446579351363</c:v>
                </c:pt>
                <c:pt idx="11">
                  <c:v>543.85233890759594</c:v>
                </c:pt>
                <c:pt idx="12">
                  <c:v>583.4736752262138</c:v>
                </c:pt>
                <c:pt idx="13">
                  <c:v>612.53017486125327</c:v>
                </c:pt>
                <c:pt idx="14">
                  <c:v>642.09639106674808</c:v>
                </c:pt>
                <c:pt idx="15">
                  <c:v>669.73604231822503</c:v>
                </c:pt>
                <c:pt idx="16">
                  <c:v>696.77897071595828</c:v>
                </c:pt>
                <c:pt idx="17">
                  <c:v>723.55600235826114</c:v>
                </c:pt>
                <c:pt idx="18">
                  <c:v>750.23221440485622</c:v>
                </c:pt>
                <c:pt idx="19">
                  <c:v>776.70647823138461</c:v>
                </c:pt>
                <c:pt idx="20">
                  <c:v>803.3357874601503</c:v>
                </c:pt>
                <c:pt idx="21" formatCode="General">
                  <c:v>829.79509799235109</c:v>
                </c:pt>
                <c:pt idx="22" formatCode="General">
                  <c:v>856.17178821619075</c:v>
                </c:pt>
                <c:pt idx="23" formatCode="General">
                  <c:v>882.38952133138491</c:v>
                </c:pt>
                <c:pt idx="24" formatCode="General">
                  <c:v>908.58291888589872</c:v>
                </c:pt>
                <c:pt idx="25" formatCode="General">
                  <c:v>934.1652784103552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1702.033110914967</c:v>
                </c:pt>
                <c:pt idx="1">
                  <c:v>1655.5781152901332</c:v>
                </c:pt>
                <c:pt idx="2">
                  <c:v>1572.8390264205864</c:v>
                </c:pt>
                <c:pt idx="3">
                  <c:v>1556.8165204729598</c:v>
                </c:pt>
                <c:pt idx="4">
                  <c:v>1439.3135271229035</c:v>
                </c:pt>
                <c:pt idx="5">
                  <c:v>1486.5551957958014</c:v>
                </c:pt>
                <c:pt idx="6">
                  <c:v>1355.6873898979425</c:v>
                </c:pt>
                <c:pt idx="7">
                  <c:v>1371.1009609128341</c:v>
                </c:pt>
                <c:pt idx="8">
                  <c:v>1340.7294376486868</c:v>
                </c:pt>
                <c:pt idx="9">
                  <c:v>1334.4322674854227</c:v>
                </c:pt>
                <c:pt idx="10">
                  <c:v>1139.2997279306785</c:v>
                </c:pt>
                <c:pt idx="11">
                  <c:v>1159.9409147864726</c:v>
                </c:pt>
                <c:pt idx="12">
                  <c:v>1078.4626013055065</c:v>
                </c:pt>
                <c:pt idx="13">
                  <c:v>1022.6650086377374</c:v>
                </c:pt>
                <c:pt idx="14">
                  <c:v>967.39642283354215</c:v>
                </c:pt>
                <c:pt idx="15">
                  <c:v>936.86117983907172</c:v>
                </c:pt>
                <c:pt idx="16">
                  <c:v>909.26112734762205</c:v>
                </c:pt>
                <c:pt idx="17">
                  <c:v>881.45097909603112</c:v>
                </c:pt>
                <c:pt idx="18">
                  <c:v>853.82044513731114</c:v>
                </c:pt>
                <c:pt idx="19">
                  <c:v>826.34056328394922</c:v>
                </c:pt>
                <c:pt idx="20">
                  <c:v>799.30152857704502</c:v>
                </c:pt>
                <c:pt idx="21">
                  <c:v>772.3200632714088</c:v>
                </c:pt>
                <c:pt idx="22">
                  <c:v>745.45861033493247</c:v>
                </c:pt>
                <c:pt idx="23">
                  <c:v>718.72897053449265</c:v>
                </c:pt>
                <c:pt idx="24">
                  <c:v>693.76905385968394</c:v>
                </c:pt>
                <c:pt idx="25">
                  <c:v>694.03923533796922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4299.4224123435461</c:v>
                </c:pt>
                <c:pt idx="1">
                  <c:v>4121.354747411162</c:v>
                </c:pt>
                <c:pt idx="2">
                  <c:v>3938.2864331166511</c:v>
                </c:pt>
                <c:pt idx="3">
                  <c:v>3844.9513771826159</c:v>
                </c:pt>
                <c:pt idx="4">
                  <c:v>3965.1700118986337</c:v>
                </c:pt>
                <c:pt idx="5">
                  <c:v>3914.3609839876071</c:v>
                </c:pt>
                <c:pt idx="6">
                  <c:v>3874.7574018367691</c:v>
                </c:pt>
                <c:pt idx="7">
                  <c:v>3820.9234838812968</c:v>
                </c:pt>
                <c:pt idx="8">
                  <c:v>3863.9134791191509</c:v>
                </c:pt>
                <c:pt idx="9">
                  <c:v>3791.5074330667439</c:v>
                </c:pt>
                <c:pt idx="10">
                  <c:v>3433.340797516591</c:v>
                </c:pt>
                <c:pt idx="11">
                  <c:v>3365.8472383153608</c:v>
                </c:pt>
                <c:pt idx="12">
                  <c:v>3354.1186519836747</c:v>
                </c:pt>
                <c:pt idx="13">
                  <c:v>3269.2645943556477</c:v>
                </c:pt>
                <c:pt idx="14">
                  <c:v>3184.9429452760264</c:v>
                </c:pt>
                <c:pt idx="15">
                  <c:v>3089.2371506087961</c:v>
                </c:pt>
                <c:pt idx="16">
                  <c:v>2990.0774183305948</c:v>
                </c:pt>
                <c:pt idx="17">
                  <c:v>2888.7883257422272</c:v>
                </c:pt>
                <c:pt idx="18">
                  <c:v>2786.6746158692818</c:v>
                </c:pt>
                <c:pt idx="19">
                  <c:v>2683.6784936009117</c:v>
                </c:pt>
                <c:pt idx="20">
                  <c:v>2580.8115017704163</c:v>
                </c:pt>
                <c:pt idx="21">
                  <c:v>2476.847973988059</c:v>
                </c:pt>
                <c:pt idx="22">
                  <c:v>2372.0500521952599</c:v>
                </c:pt>
                <c:pt idx="23">
                  <c:v>2266.4680939351047</c:v>
                </c:pt>
                <c:pt idx="24">
                  <c:v>2159.741276372587</c:v>
                </c:pt>
                <c:pt idx="25">
                  <c:v>2049.7111319645246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5614.7737073058643</c:v>
                </c:pt>
                <c:pt idx="1">
                  <c:v>5731.6055328011389</c:v>
                </c:pt>
                <c:pt idx="2">
                  <c:v>5672.1253127801583</c:v>
                </c:pt>
                <c:pt idx="3">
                  <c:v>5606.676552596854</c:v>
                </c:pt>
                <c:pt idx="4">
                  <c:v>5717.9252290811482</c:v>
                </c:pt>
                <c:pt idx="5">
                  <c:v>5710.2594647863762</c:v>
                </c:pt>
                <c:pt idx="6">
                  <c:v>5754.3399614225855</c:v>
                </c:pt>
                <c:pt idx="7">
                  <c:v>5778.0327195727277</c:v>
                </c:pt>
                <c:pt idx="8">
                  <c:v>5761.0058164643779</c:v>
                </c:pt>
                <c:pt idx="9">
                  <c:v>5758.7634162135182</c:v>
                </c:pt>
                <c:pt idx="10">
                  <c:v>5330.1618704902758</c:v>
                </c:pt>
                <c:pt idx="11">
                  <c:v>5375.3338954896335</c:v>
                </c:pt>
                <c:pt idx="12">
                  <c:v>5335.0517235481902</c:v>
                </c:pt>
                <c:pt idx="13">
                  <c:v>5272.032041328308</c:v>
                </c:pt>
                <c:pt idx="14">
                  <c:v>5211.9846646078413</c:v>
                </c:pt>
                <c:pt idx="15">
                  <c:v>5134.4464820149587</c:v>
                </c:pt>
                <c:pt idx="16">
                  <c:v>5051.9991499693479</c:v>
                </c:pt>
                <c:pt idx="17">
                  <c:v>4966.9775925419099</c:v>
                </c:pt>
                <c:pt idx="18">
                  <c:v>4881.4527445955091</c:v>
                </c:pt>
                <c:pt idx="19">
                  <c:v>4795.3688622124901</c:v>
                </c:pt>
                <c:pt idx="20">
                  <c:v>4710.4932247567458</c:v>
                </c:pt>
                <c:pt idx="21">
                  <c:v>4624.7283846023211</c:v>
                </c:pt>
                <c:pt idx="22">
                  <c:v>4538.5326177396737</c:v>
                </c:pt>
                <c:pt idx="23">
                  <c:v>4452.0670878190986</c:v>
                </c:pt>
                <c:pt idx="24">
                  <c:v>4364.6689797752288</c:v>
                </c:pt>
                <c:pt idx="25">
                  <c:v>4272.5426973533804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5176.5478075817146</c:v>
                </c:pt>
                <c:pt idx="1">
                  <c:v>5146.2491521045486</c:v>
                </c:pt>
                <c:pt idx="2">
                  <c:v>5396.4145960233054</c:v>
                </c:pt>
                <c:pt idx="3">
                  <c:v>5316.2153223493924</c:v>
                </c:pt>
                <c:pt idx="4">
                  <c:v>5610.693512954058</c:v>
                </c:pt>
                <c:pt idx="5">
                  <c:v>5639.2616360428665</c:v>
                </c:pt>
                <c:pt idx="6">
                  <c:v>5755.4462883345395</c:v>
                </c:pt>
                <c:pt idx="7">
                  <c:v>5808.9951878718466</c:v>
                </c:pt>
                <c:pt idx="8">
                  <c:v>5785.3725328638066</c:v>
                </c:pt>
                <c:pt idx="9">
                  <c:v>5832.8497135580028</c:v>
                </c:pt>
                <c:pt idx="10">
                  <c:v>5842.7949099002499</c:v>
                </c:pt>
                <c:pt idx="11">
                  <c:v>5646.1692468657393</c:v>
                </c:pt>
                <c:pt idx="12">
                  <c:v>5765.1396618735862</c:v>
                </c:pt>
                <c:pt idx="13">
                  <c:v>5783.663520351547</c:v>
                </c:pt>
                <c:pt idx="14">
                  <c:v>5806.8852209820188</c:v>
                </c:pt>
                <c:pt idx="15">
                  <c:v>5811.9310878060442</c:v>
                </c:pt>
                <c:pt idx="16">
                  <c:v>5812.4635161776787</c:v>
                </c:pt>
                <c:pt idx="17">
                  <c:v>5811.0199975540736</c:v>
                </c:pt>
                <c:pt idx="18">
                  <c:v>5809.9381751003993</c:v>
                </c:pt>
                <c:pt idx="19">
                  <c:v>5809.18514705093</c:v>
                </c:pt>
                <c:pt idx="20">
                  <c:v>5810.9477863702141</c:v>
                </c:pt>
                <c:pt idx="21">
                  <c:v>5812.7535122206127</c:v>
                </c:pt>
                <c:pt idx="22">
                  <c:v>5815.1880767682796</c:v>
                </c:pt>
                <c:pt idx="23">
                  <c:v>5818.5118039142781</c:v>
                </c:pt>
                <c:pt idx="24">
                  <c:v>5821.9464357303214</c:v>
                </c:pt>
                <c:pt idx="25">
                  <c:v>5820.876437296768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1337.7813742381975</c:v>
                </c:pt>
                <c:pt idx="1">
                  <c:v>1366.2096281080082</c:v>
                </c:pt>
                <c:pt idx="2">
                  <c:v>1450.2489275019566</c:v>
                </c:pt>
                <c:pt idx="3">
                  <c:v>1483.3850866338123</c:v>
                </c:pt>
                <c:pt idx="4">
                  <c:v>1544.1819476824976</c:v>
                </c:pt>
                <c:pt idx="5">
                  <c:v>1538.7570902922553</c:v>
                </c:pt>
                <c:pt idx="6">
                  <c:v>1574.9342076581547</c:v>
                </c:pt>
                <c:pt idx="7">
                  <c:v>1593.9074486767472</c:v>
                </c:pt>
                <c:pt idx="8">
                  <c:v>1586.6920738276021</c:v>
                </c:pt>
                <c:pt idx="9">
                  <c:v>1642.6509417224656</c:v>
                </c:pt>
                <c:pt idx="10">
                  <c:v>1728.4181700933332</c:v>
                </c:pt>
                <c:pt idx="11">
                  <c:v>1761.3656420677587</c:v>
                </c:pt>
                <c:pt idx="12">
                  <c:v>1723.0214114960327</c:v>
                </c:pt>
                <c:pt idx="13">
                  <c:v>1750.2514700713521</c:v>
                </c:pt>
                <c:pt idx="14">
                  <c:v>1778.5457188223768</c:v>
                </c:pt>
                <c:pt idx="15">
                  <c:v>1800.6486764732183</c:v>
                </c:pt>
                <c:pt idx="16">
                  <c:v>1822.3217280081176</c:v>
                </c:pt>
                <c:pt idx="17">
                  <c:v>1844.0972901561859</c:v>
                </c:pt>
                <c:pt idx="18">
                  <c:v>1866.3199877772656</c:v>
                </c:pt>
                <c:pt idx="19">
                  <c:v>1888.8266886816411</c:v>
                </c:pt>
                <c:pt idx="20">
                  <c:v>1912.8622352522257</c:v>
                </c:pt>
                <c:pt idx="21" formatCode="General">
                  <c:v>1937.165625209977</c:v>
                </c:pt>
                <c:pt idx="22" formatCode="General">
                  <c:v>1962.0433694238322</c:v>
                </c:pt>
                <c:pt idx="23" formatCode="General">
                  <c:v>1987.960892622003</c:v>
                </c:pt>
                <c:pt idx="24" formatCode="General">
                  <c:v>2014.5760890597153</c:v>
                </c:pt>
                <c:pt idx="25">
                  <c:v>2039.02738078637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1586.7825100113255</c:v>
                </c:pt>
                <c:pt idx="1">
                  <c:v>1581.1973123132025</c:v>
                </c:pt>
                <c:pt idx="2">
                  <c:v>1626.8618345029072</c:v>
                </c:pt>
                <c:pt idx="3">
                  <c:v>1652.4536883945136</c:v>
                </c:pt>
                <c:pt idx="4">
                  <c:v>1673.3476881371764</c:v>
                </c:pt>
                <c:pt idx="5">
                  <c:v>1634.762270005833</c:v>
                </c:pt>
                <c:pt idx="6">
                  <c:v>1633.8100155683692</c:v>
                </c:pt>
                <c:pt idx="7">
                  <c:v>1637.2711289112337</c:v>
                </c:pt>
                <c:pt idx="8">
                  <c:v>1612.1871333606869</c:v>
                </c:pt>
                <c:pt idx="9">
                  <c:v>1634.5018593060931</c:v>
                </c:pt>
                <c:pt idx="10">
                  <c:v>1705.9422521063802</c:v>
                </c:pt>
                <c:pt idx="11">
                  <c:v>1705.0732548960543</c:v>
                </c:pt>
                <c:pt idx="12">
                  <c:v>1662.0263656049631</c:v>
                </c:pt>
                <c:pt idx="13">
                  <c:v>1675.6755286961748</c:v>
                </c:pt>
                <c:pt idx="14">
                  <c:v>1692.1877400381134</c:v>
                </c:pt>
                <c:pt idx="15">
                  <c:v>1703.3950738873423</c:v>
                </c:pt>
                <c:pt idx="16">
                  <c:v>1714.3297085684014</c:v>
                </c:pt>
                <c:pt idx="17">
                  <c:v>1725.9673003963715</c:v>
                </c:pt>
                <c:pt idx="18">
                  <c:v>1739.5969636777363</c:v>
                </c:pt>
                <c:pt idx="19">
                  <c:v>1755.0236499218126</c:v>
                </c:pt>
                <c:pt idx="20">
                  <c:v>1771.8305640587414</c:v>
                </c:pt>
                <c:pt idx="21" formatCode="General">
                  <c:v>1789.7525221947687</c:v>
                </c:pt>
                <c:pt idx="22" formatCode="General">
                  <c:v>1808.8580143407682</c:v>
                </c:pt>
                <c:pt idx="23" formatCode="General">
                  <c:v>1828.6975029297862</c:v>
                </c:pt>
                <c:pt idx="24" formatCode="General">
                  <c:v>1848.7645924960107</c:v>
                </c:pt>
                <c:pt idx="25">
                  <c:v>1868.6764428666561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4372.5617107630305</c:v>
                </c:pt>
                <c:pt idx="1">
                  <c:v>4612.6261793400472</c:v>
                </c:pt>
                <c:pt idx="2">
                  <c:v>4984.1203975720473</c:v>
                </c:pt>
                <c:pt idx="3">
                  <c:v>5230.1180480360144</c:v>
                </c:pt>
                <c:pt idx="4">
                  <c:v>5552.1107814229317</c:v>
                </c:pt>
                <c:pt idx="5">
                  <c:v>5584.3807768145725</c:v>
                </c:pt>
                <c:pt idx="6">
                  <c:v>5669.8041895566903</c:v>
                </c:pt>
                <c:pt idx="7">
                  <c:v>5828.2145674073563</c:v>
                </c:pt>
                <c:pt idx="8">
                  <c:v>5885.8422607909206</c:v>
                </c:pt>
                <c:pt idx="9">
                  <c:v>6107.7777430294263</c:v>
                </c:pt>
                <c:pt idx="10">
                  <c:v>6391.7858913682503</c:v>
                </c:pt>
                <c:pt idx="11">
                  <c:v>6563.4886340303219</c:v>
                </c:pt>
                <c:pt idx="12">
                  <c:v>6466.1153563407061</c:v>
                </c:pt>
                <c:pt idx="13">
                  <c:v>6577.7745215240211</c:v>
                </c:pt>
                <c:pt idx="14">
                  <c:v>6692.7163763733051</c:v>
                </c:pt>
                <c:pt idx="15">
                  <c:v>6786.7511547139493</c:v>
                </c:pt>
                <c:pt idx="16">
                  <c:v>6873.5327373538594</c:v>
                </c:pt>
                <c:pt idx="17">
                  <c:v>6956.262363584975</c:v>
                </c:pt>
                <c:pt idx="18">
                  <c:v>7037.2624005339339</c:v>
                </c:pt>
                <c:pt idx="19">
                  <c:v>7117.0477022541254</c:v>
                </c:pt>
                <c:pt idx="20">
                  <c:v>7198.8493872356894</c:v>
                </c:pt>
                <c:pt idx="21" formatCode="General">
                  <c:v>7279.8858291090201</c:v>
                </c:pt>
                <c:pt idx="22" formatCode="General">
                  <c:v>7360.9185021520307</c:v>
                </c:pt>
                <c:pt idx="23" formatCode="General">
                  <c:v>7442.4783862446129</c:v>
                </c:pt>
                <c:pt idx="24" formatCode="General">
                  <c:v>7524.1515345395173</c:v>
                </c:pt>
                <c:pt idx="25" formatCode="General">
                  <c:v>7601.5451445197632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2083.3354002916944</c:v>
                </c:pt>
                <c:pt idx="1">
                  <c:v>1994.7773838239889</c:v>
                </c:pt>
                <c:pt idx="2">
                  <c:v>2069.1596124927773</c:v>
                </c:pt>
                <c:pt idx="3">
                  <c:v>2165.9854077016348</c:v>
                </c:pt>
                <c:pt idx="4">
                  <c:v>2381.9020884923293</c:v>
                </c:pt>
                <c:pt idx="5">
                  <c:v>2754.1142531476767</c:v>
                </c:pt>
                <c:pt idx="6">
                  <c:v>3201.4171963419108</c:v>
                </c:pt>
                <c:pt idx="7">
                  <c:v>3261.3467888964292</c:v>
                </c:pt>
                <c:pt idx="8">
                  <c:v>3380.9957730962628</c:v>
                </c:pt>
                <c:pt idx="9">
                  <c:v>3602.5037901916585</c:v>
                </c:pt>
                <c:pt idx="10">
                  <c:v>3765.2929147959244</c:v>
                </c:pt>
                <c:pt idx="11">
                  <c:v>3880.0478346440882</c:v>
                </c:pt>
                <c:pt idx="12">
                  <c:v>4181.7615526292011</c:v>
                </c:pt>
                <c:pt idx="13">
                  <c:v>4397.7831401837047</c:v>
                </c:pt>
                <c:pt idx="14">
                  <c:v>4617.0465200105264</c:v>
                </c:pt>
                <c:pt idx="15">
                  <c:v>4821.7411523491573</c:v>
                </c:pt>
                <c:pt idx="16">
                  <c:v>5022.4226435407372</c:v>
                </c:pt>
                <c:pt idx="17">
                  <c:v>5220.7941485805704</c:v>
                </c:pt>
                <c:pt idx="18">
                  <c:v>5418.5224529126335</c:v>
                </c:pt>
                <c:pt idx="19">
                  <c:v>5615.6464147724855</c:v>
                </c:pt>
                <c:pt idx="20">
                  <c:v>5814.0939845296452</c:v>
                </c:pt>
                <c:pt idx="21" formatCode="General">
                  <c:v>6011.4999914214386</c:v>
                </c:pt>
                <c:pt idx="22" formatCode="General">
                  <c:v>6208.3069688398245</c:v>
                </c:pt>
                <c:pt idx="23" formatCode="General">
                  <c:v>6404.6727406799173</c:v>
                </c:pt>
                <c:pt idx="24" formatCode="General">
                  <c:v>6599.5961192929017</c:v>
                </c:pt>
                <c:pt idx="25" formatCode="General">
                  <c:v>6789.5072514767726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298.02296654885254</c:v>
                </c:pt>
                <c:pt idx="1">
                  <c:v>286.00094880658258</c:v>
                </c:pt>
                <c:pt idx="2">
                  <c:v>294.38285958991185</c:v>
                </c:pt>
                <c:pt idx="3">
                  <c:v>310.52899663042643</c:v>
                </c:pt>
                <c:pt idx="4">
                  <c:v>342.72621320522296</c:v>
                </c:pt>
                <c:pt idx="5">
                  <c:v>393.72032912482791</c:v>
                </c:pt>
                <c:pt idx="6">
                  <c:v>451.19334937865506</c:v>
                </c:pt>
                <c:pt idx="7">
                  <c:v>460.59471386481101</c:v>
                </c:pt>
                <c:pt idx="8">
                  <c:v>477.28649282427057</c:v>
                </c:pt>
                <c:pt idx="9">
                  <c:v>507.77283542055335</c:v>
                </c:pt>
                <c:pt idx="10">
                  <c:v>522.64446579351363</c:v>
                </c:pt>
                <c:pt idx="11">
                  <c:v>543.85233890759594</c:v>
                </c:pt>
                <c:pt idx="12">
                  <c:v>583.4736752262138</c:v>
                </c:pt>
                <c:pt idx="13">
                  <c:v>612.53017486125327</c:v>
                </c:pt>
                <c:pt idx="14">
                  <c:v>642.09639106674808</c:v>
                </c:pt>
                <c:pt idx="15">
                  <c:v>669.73604231822503</c:v>
                </c:pt>
                <c:pt idx="16">
                  <c:v>696.77897071595828</c:v>
                </c:pt>
                <c:pt idx="17">
                  <c:v>723.55600235826114</c:v>
                </c:pt>
                <c:pt idx="18">
                  <c:v>750.23221440485622</c:v>
                </c:pt>
                <c:pt idx="19">
                  <c:v>776.70647823138461</c:v>
                </c:pt>
                <c:pt idx="20">
                  <c:v>803.3357874601503</c:v>
                </c:pt>
                <c:pt idx="21" formatCode="General">
                  <c:v>829.79509799235109</c:v>
                </c:pt>
                <c:pt idx="22" formatCode="General">
                  <c:v>856.17178821619075</c:v>
                </c:pt>
                <c:pt idx="23" formatCode="General">
                  <c:v>882.38952133138491</c:v>
                </c:pt>
                <c:pt idx="24" formatCode="General">
                  <c:v>908.58291888589872</c:v>
                </c:pt>
                <c:pt idx="25" formatCode="General">
                  <c:v>934.1652784103552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1899.4336390268675</c:v>
                </c:pt>
                <c:pt idx="1">
                  <c:v>923.52132759385643</c:v>
                </c:pt>
                <c:pt idx="2">
                  <c:v>1585.0798970775459</c:v>
                </c:pt>
                <c:pt idx="3">
                  <c:v>1169.4428202608058</c:v>
                </c:pt>
                <c:pt idx="4">
                  <c:v>1361.7491851591385</c:v>
                </c:pt>
                <c:pt idx="5">
                  <c:v>1796.9718795456633</c:v>
                </c:pt>
                <c:pt idx="6">
                  <c:v>463.28274271165401</c:v>
                </c:pt>
                <c:pt idx="7">
                  <c:v>493.00201988165986</c:v>
                </c:pt>
                <c:pt idx="8">
                  <c:v>294.53338224612924</c:v>
                </c:pt>
                <c:pt idx="9">
                  <c:v>627.36985128235642</c:v>
                </c:pt>
                <c:pt idx="10">
                  <c:v>1794.8908672659011</c:v>
                </c:pt>
                <c:pt idx="11">
                  <c:v>2509.3095493403998</c:v>
                </c:pt>
                <c:pt idx="12">
                  <c:v>640.18421130639149</c:v>
                </c:pt>
                <c:pt idx="13">
                  <c:v>298.83864607965563</c:v>
                </c:pt>
                <c:pt idx="14">
                  <c:v>1042.1574658136535</c:v>
                </c:pt>
                <c:pt idx="15">
                  <c:v>918.22690874959676</c:v>
                </c:pt>
                <c:pt idx="16">
                  <c:v>630.46793566083784</c:v>
                </c:pt>
                <c:pt idx="17">
                  <c:v>2030.2468142039766</c:v>
                </c:pt>
                <c:pt idx="18">
                  <c:v>627.3899065379079</c:v>
                </c:pt>
                <c:pt idx="19">
                  <c:v>28.840224624383737</c:v>
                </c:pt>
                <c:pt idx="20">
                  <c:v>1992.1189392123574</c:v>
                </c:pt>
                <c:pt idx="21">
                  <c:v>459.59571905867102</c:v>
                </c:pt>
                <c:pt idx="22">
                  <c:v>713.31333030825101</c:v>
                </c:pt>
                <c:pt idx="23">
                  <c:v>1054.0123740558722</c:v>
                </c:pt>
                <c:pt idx="24">
                  <c:v>475.90883310534304</c:v>
                </c:pt>
                <c:pt idx="25">
                  <c:v>2826.2835298888981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2307.7401043917707</c:v>
                </c:pt>
                <c:pt idx="1">
                  <c:v>999.77365535930846</c:v>
                </c:pt>
                <c:pt idx="2">
                  <c:v>1898.0720341129449</c:v>
                </c:pt>
                <c:pt idx="3">
                  <c:v>1355.932796971927</c:v>
                </c:pt>
                <c:pt idx="4">
                  <c:v>1503.6331126652781</c:v>
                </c:pt>
                <c:pt idx="5">
                  <c:v>2294.7408922369627</c:v>
                </c:pt>
                <c:pt idx="6">
                  <c:v>588.40741770343891</c:v>
                </c:pt>
                <c:pt idx="7">
                  <c:v>567.17631851210399</c:v>
                </c:pt>
                <c:pt idx="8">
                  <c:v>320.85693432953025</c:v>
                </c:pt>
                <c:pt idx="9">
                  <c:v>680.96833755090472</c:v>
                </c:pt>
                <c:pt idx="10">
                  <c:v>1991.1109140397323</c:v>
                </c:pt>
                <c:pt idx="11">
                  <c:v>2567.7596878310501</c:v>
                </c:pt>
                <c:pt idx="12">
                  <c:v>571.84680079936788</c:v>
                </c:pt>
                <c:pt idx="13">
                  <c:v>271.9670256457141</c:v>
                </c:pt>
                <c:pt idx="14">
                  <c:v>921.97868029404242</c:v>
                </c:pt>
                <c:pt idx="15">
                  <c:v>769.61235836915148</c:v>
                </c:pt>
                <c:pt idx="16">
                  <c:v>543.77413661579681</c:v>
                </c:pt>
                <c:pt idx="17">
                  <c:v>2019.8340014923285</c:v>
                </c:pt>
                <c:pt idx="18">
                  <c:v>627.66767668036812</c:v>
                </c:pt>
                <c:pt idx="19">
                  <c:v>31.002949965390982</c:v>
                </c:pt>
                <c:pt idx="20">
                  <c:v>1855.6966390660123</c:v>
                </c:pt>
                <c:pt idx="21">
                  <c:v>508.15214932829099</c:v>
                </c:pt>
                <c:pt idx="22">
                  <c:v>609.71859517402538</c:v>
                </c:pt>
                <c:pt idx="23">
                  <c:v>1056.0707054043842</c:v>
                </c:pt>
                <c:pt idx="24">
                  <c:v>379.27178924284834</c:v>
                </c:pt>
                <c:pt idx="25">
                  <c:v>2616.9152862125429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2283.7260613096219</c:v>
                </c:pt>
                <c:pt idx="1">
                  <c:v>1168.6471608444135</c:v>
                </c:pt>
                <c:pt idx="2">
                  <c:v>2681.3748075213884</c:v>
                </c:pt>
                <c:pt idx="3">
                  <c:v>1436.7895221098097</c:v>
                </c:pt>
                <c:pt idx="4">
                  <c:v>1586.4211218808052</c:v>
                </c:pt>
                <c:pt idx="5">
                  <c:v>2682.5731170680497</c:v>
                </c:pt>
                <c:pt idx="6">
                  <c:v>604.33246394772175</c:v>
                </c:pt>
                <c:pt idx="7">
                  <c:v>1055.204133353878</c:v>
                </c:pt>
                <c:pt idx="8">
                  <c:v>294.04112821504583</c:v>
                </c:pt>
                <c:pt idx="9">
                  <c:v>678.61701625076512</c:v>
                </c:pt>
                <c:pt idx="10">
                  <c:v>2140.9414533872537</c:v>
                </c:pt>
                <c:pt idx="11">
                  <c:v>2608.0002276081527</c:v>
                </c:pt>
                <c:pt idx="12">
                  <c:v>398.32398571153078</c:v>
                </c:pt>
                <c:pt idx="13">
                  <c:v>298.01795271042778</c:v>
                </c:pt>
                <c:pt idx="14">
                  <c:v>865.475059700835</c:v>
                </c:pt>
                <c:pt idx="15">
                  <c:v>718.69802351717806</c:v>
                </c:pt>
                <c:pt idx="16">
                  <c:v>587.56830356877924</c:v>
                </c:pt>
                <c:pt idx="17">
                  <c:v>2292.0510206757358</c:v>
                </c:pt>
                <c:pt idx="18">
                  <c:v>602.79487172872302</c:v>
                </c:pt>
                <c:pt idx="19">
                  <c:v>25.111456131993485</c:v>
                </c:pt>
                <c:pt idx="20">
                  <c:v>1776.4423055232701</c:v>
                </c:pt>
                <c:pt idx="21">
                  <c:v>631.80430785816031</c:v>
                </c:pt>
                <c:pt idx="22">
                  <c:v>598.38816602412339</c:v>
                </c:pt>
                <c:pt idx="23">
                  <c:v>1066.5769444018338</c:v>
                </c:pt>
                <c:pt idx="24">
                  <c:v>777.66227634020322</c:v>
                </c:pt>
                <c:pt idx="25">
                  <c:v>2210.5081126228129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408.30646536490326</c:v>
                </c:pt>
                <c:pt idx="1">
                  <c:v>76.252327765452037</c:v>
                </c:pt>
                <c:pt idx="2">
                  <c:v>312.99213703539908</c:v>
                </c:pt>
                <c:pt idx="3">
                  <c:v>186.48997671112124</c:v>
                </c:pt>
                <c:pt idx="4">
                  <c:v>141.88392750613957</c:v>
                </c:pt>
                <c:pt idx="5">
                  <c:v>497.76901269129939</c:v>
                </c:pt>
                <c:pt idx="6">
                  <c:v>125.1246749917849</c:v>
                </c:pt>
                <c:pt idx="7">
                  <c:v>74.174298630444127</c:v>
                </c:pt>
                <c:pt idx="8">
                  <c:v>26.323552083401012</c:v>
                </c:pt>
                <c:pt idx="9">
                  <c:v>53.598486268548299</c:v>
                </c:pt>
                <c:pt idx="10">
                  <c:v>196.2200467738312</c:v>
                </c:pt>
                <c:pt idx="11">
                  <c:v>58.450138490650261</c:v>
                </c:pt>
                <c:pt idx="12">
                  <c:v>-68.337410507023606</c:v>
                </c:pt>
                <c:pt idx="13">
                  <c:v>-26.87162043394153</c:v>
                </c:pt>
                <c:pt idx="14">
                  <c:v>-120.1787855196111</c:v>
                </c:pt>
                <c:pt idx="15">
                  <c:v>-148.61455038044528</c:v>
                </c:pt>
                <c:pt idx="16">
                  <c:v>-86.693799045041033</c:v>
                </c:pt>
                <c:pt idx="17">
                  <c:v>-10.41281271164803</c:v>
                </c:pt>
                <c:pt idx="18">
                  <c:v>0.27777014246021281</c:v>
                </c:pt>
                <c:pt idx="19">
                  <c:v>2.1627253410072456</c:v>
                </c:pt>
                <c:pt idx="20">
                  <c:v>-136.42230014634515</c:v>
                </c:pt>
                <c:pt idx="21">
                  <c:v>48.556430269619966</c:v>
                </c:pt>
                <c:pt idx="22">
                  <c:v>-103.59473513422563</c:v>
                </c:pt>
                <c:pt idx="23">
                  <c:v>2.0583313485119561</c:v>
                </c:pt>
                <c:pt idx="24">
                  <c:v>-96.637043862494693</c:v>
                </c:pt>
                <c:pt idx="25">
                  <c:v>-209.36824367635518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-24.014043082148874</c:v>
                </c:pt>
                <c:pt idx="1">
                  <c:v>168.87350548510506</c:v>
                </c:pt>
                <c:pt idx="2">
                  <c:v>783.3027734084435</c:v>
                </c:pt>
                <c:pt idx="3">
                  <c:v>80.856725137882677</c:v>
                </c:pt>
                <c:pt idx="4">
                  <c:v>82.788009215527154</c:v>
                </c:pt>
                <c:pt idx="5">
                  <c:v>387.83222483108693</c:v>
                </c:pt>
                <c:pt idx="6">
                  <c:v>15.925046244282839</c:v>
                </c:pt>
                <c:pt idx="7">
                  <c:v>488.02781484177399</c:v>
                </c:pt>
                <c:pt idx="8">
                  <c:v>-26.815806114484417</c:v>
                </c:pt>
                <c:pt idx="9">
                  <c:v>-2.3513213001396025</c:v>
                </c:pt>
                <c:pt idx="10">
                  <c:v>149.83053934752138</c:v>
                </c:pt>
                <c:pt idx="11">
                  <c:v>40.24053977710264</c:v>
                </c:pt>
                <c:pt idx="12">
                  <c:v>-173.5228150878371</c:v>
                </c:pt>
                <c:pt idx="13">
                  <c:v>26.050927064713676</c:v>
                </c:pt>
                <c:pt idx="14">
                  <c:v>-56.503620593207415</c:v>
                </c:pt>
                <c:pt idx="15">
                  <c:v>-50.914334851973422</c:v>
                </c:pt>
                <c:pt idx="16">
                  <c:v>43.794166952982437</c:v>
                </c:pt>
                <c:pt idx="17">
                  <c:v>272.21701918340727</c:v>
                </c:pt>
                <c:pt idx="18">
                  <c:v>-24.872804951645094</c:v>
                </c:pt>
                <c:pt idx="19">
                  <c:v>-5.8914938333974973</c:v>
                </c:pt>
                <c:pt idx="20">
                  <c:v>-79.254333542742188</c:v>
                </c:pt>
                <c:pt idx="21">
                  <c:v>123.65215852986933</c:v>
                </c:pt>
                <c:pt idx="22">
                  <c:v>-11.330429149901988</c:v>
                </c:pt>
                <c:pt idx="23">
                  <c:v>10.5062389974496</c:v>
                </c:pt>
                <c:pt idx="24">
                  <c:v>398.39048709735488</c:v>
                </c:pt>
                <c:pt idx="25">
                  <c:v>-406.40717358973006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6.6283578945122725</c:v>
                </c:pt>
                <c:pt idx="1">
                  <c:v>7.7286160705874272</c:v>
                </c:pt>
                <c:pt idx="2">
                  <c:v>7.1210464021094628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3.2227658585868633</c:v>
                </c:pt>
                <c:pt idx="1">
                  <c:v>3.3482395721490414</c:v>
                </c:pt>
                <c:pt idx="2">
                  <c:v>3.6440406759181241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1.6166944514141319</c:v>
                </c:pt>
                <c:pt idx="1">
                  <c:v>1.9705750295977147</c:v>
                </c:pt>
                <c:pt idx="2">
                  <c:v>1.8844114410136406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1.7204043159766709</c:v>
                </c:pt>
                <c:pt idx="1">
                  <c:v>1.8994721293646604</c:v>
                </c:pt>
                <c:pt idx="2">
                  <c:v>3.2903060155129156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1.0278183082030361</c:v>
                </c:pt>
                <c:pt idx="1">
                  <c:v>1.0745491029511725</c:v>
                </c:pt>
                <c:pt idx="2">
                  <c:v>0.91687026461799281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2.1893009690282614</c:v>
                </c:pt>
                <c:pt idx="1">
                  <c:v>2.2805613280028472</c:v>
                </c:pt>
                <c:pt idx="2">
                  <c:v>2.1160433135362799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6.2635402497794921</c:v>
                </c:pt>
                <c:pt idx="1">
                  <c:v>6.6682256720694753</c:v>
                </c:pt>
                <c:pt idx="2">
                  <c:v>6.6758197018724337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8.7566111389218193</c:v>
                </c:pt>
                <c:pt idx="1">
                  <c:v>8.5994210314285056</c:v>
                </c:pt>
                <c:pt idx="2">
                  <c:v>8.1321884231857506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2.2340185957372163</c:v>
                </c:pt>
                <c:pt idx="1">
                  <c:v>1.9151135633346499</c:v>
                </c:pt>
                <c:pt idx="2">
                  <c:v>1.2420419565113656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7.0848500427905536</c:v>
                </c:pt>
                <c:pt idx="1">
                  <c:v>6.7644192230072786</c:v>
                </c:pt>
                <c:pt idx="2">
                  <c:v>7.1470050417843876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2.1893709548433642</c:v>
                </c:pt>
                <c:pt idx="1">
                  <c:v>2.1020575426792694</c:v>
                </c:pt>
                <c:pt idx="2">
                  <c:v>1.8796169668757343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0.10064227917247978</c:v>
                </c:pt>
                <c:pt idx="1">
                  <c:v>0.10382880502104476</c:v>
                </c:pt>
                <c:pt idx="2">
                  <c:v>7.8301792570478479E-2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6.9517971179559934</c:v>
                </c:pt>
                <c:pt idx="1">
                  <c:v>6.2147235902028211</c:v>
                </c:pt>
                <c:pt idx="2">
                  <c:v>5.5392493445764686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1.6038280306898869</c:v>
                </c:pt>
                <c:pt idx="1">
                  <c:v>1.7018003284374417</c:v>
                </c:pt>
                <c:pt idx="2">
                  <c:v>1.970073324263139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2.4892135987608763</c:v>
                </c:pt>
                <c:pt idx="1">
                  <c:v>2.0419461117957791</c:v>
                </c:pt>
                <c:pt idx="2">
                  <c:v>1.8658761087515776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3.6781338905138981</c:v>
                </c:pt>
                <c:pt idx="1">
                  <c:v>3.5367782576262399</c:v>
                </c:pt>
                <c:pt idx="2">
                  <c:v>3.3257683752796883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5.531373475416288</c:v>
                </c:pt>
                <c:pt idx="1">
                  <c:v>6.3566386865058906</c:v>
                </c:pt>
                <c:pt idx="2">
                  <c:v>8.3609828469783327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4.0809457043351669</c:v>
                </c:pt>
                <c:pt idx="1">
                  <c:v>4.5410156825591814</c:v>
                </c:pt>
                <c:pt idx="2">
                  <c:v>4.4801541788866421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4.7520275393351374</c:v>
                </c:pt>
                <c:pt idx="1">
                  <c:v>5.0356636853070169</c:v>
                </c:pt>
                <c:pt idx="2">
                  <c:v>4.946730964624285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6.2708022535103547</c:v>
                </c:pt>
                <c:pt idx="1">
                  <c:v>7.6850817402815865</c:v>
                </c:pt>
                <c:pt idx="2">
                  <c:v>8.3647193800198547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1.0428421705441986</c:v>
                </c:pt>
                <c:pt idx="1">
                  <c:v>0.91081691611426674</c:v>
                </c:pt>
                <c:pt idx="2">
                  <c:v>0.9292706799937408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3.6367644143597917</c:v>
                </c:pt>
                <c:pt idx="1">
                  <c:v>3.0877043873783854</c:v>
                </c:pt>
                <c:pt idx="2">
                  <c:v>2.6986984842060391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3.2042901918290698</c:v>
                </c:pt>
                <c:pt idx="1">
                  <c:v>2.5774299409604366</c:v>
                </c:pt>
                <c:pt idx="2">
                  <c:v>2.2410227133964091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2.2001121980314986</c:v>
                </c:pt>
                <c:pt idx="1">
                  <c:v>1.8210982783636702</c:v>
                </c:pt>
                <c:pt idx="2">
                  <c:v>1.8321379367727704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1.6607550830773212</c:v>
                </c:pt>
                <c:pt idx="1">
                  <c:v>1.270180311848975</c:v>
                </c:pt>
                <c:pt idx="2">
                  <c:v>2.4248832856130647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9.862739272674375</c:v>
                </c:pt>
                <c:pt idx="1">
                  <c:v>8.7640430124252244</c:v>
                </c:pt>
                <c:pt idx="2">
                  <c:v>6.8927403811294159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-8.0166864923749017</c:v>
                </c:pt>
                <c:pt idx="1">
                  <c:v>-0.82419015245227456</c:v>
                </c:pt>
                <c:pt idx="2">
                  <c:v>44.397824987127024</c:v>
                </c:pt>
                <c:pt idx="3">
                  <c:v>241.45272039836482</c:v>
                </c:pt>
                <c:pt idx="4">
                  <c:v>-37.572861427484895</c:v>
                </c:pt>
                <c:pt idx="5">
                  <c:v>-133.28227531073435</c:v>
                </c:pt>
                <c:pt idx="6">
                  <c:v>624.61627301895351</c:v>
                </c:pt>
                <c:pt idx="7">
                  <c:v>1334.7797325929405</c:v>
                </c:pt>
                <c:pt idx="8">
                  <c:v>144.85946240295607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1460.7231055465809</c:v>
                </c:pt>
                <c:pt idx="1">
                  <c:v>820.57806131622067</c:v>
                </c:pt>
                <c:pt idx="2">
                  <c:v>1153.3547676472981</c:v>
                </c:pt>
                <c:pt idx="3">
                  <c:v>1771.27670736135</c:v>
                </c:pt>
                <c:pt idx="4">
                  <c:v>1038.6754285499644</c:v>
                </c:pt>
                <c:pt idx="5">
                  <c:v>1455.5267914479039</c:v>
                </c:pt>
                <c:pt idx="6">
                  <c:v>2748.1110520655452</c:v>
                </c:pt>
                <c:pt idx="7">
                  <c:v>4939.4095394570068</c:v>
                </c:pt>
                <c:pt idx="8">
                  <c:v>1883.2512116086466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-24.014043082148874</c:v>
                </c:pt>
                <c:pt idx="1">
                  <c:v>168.87350548510506</c:v>
                </c:pt>
                <c:pt idx="2">
                  <c:v>783.3027734084435</c:v>
                </c:pt>
                <c:pt idx="3">
                  <c:v>80.856725137882677</c:v>
                </c:pt>
                <c:pt idx="4">
                  <c:v>82.788009215527154</c:v>
                </c:pt>
                <c:pt idx="5">
                  <c:v>387.83222483108693</c:v>
                </c:pt>
                <c:pt idx="6">
                  <c:v>15.925046244282839</c:v>
                </c:pt>
                <c:pt idx="7">
                  <c:v>488.02781484177399</c:v>
                </c:pt>
                <c:pt idx="8">
                  <c:v>-26.815806114484417</c:v>
                </c:pt>
                <c:pt idx="9">
                  <c:v>-2.3513213001396025</c:v>
                </c:pt>
                <c:pt idx="10">
                  <c:v>149.83053934752138</c:v>
                </c:pt>
                <c:pt idx="11">
                  <c:v>40.24053977710264</c:v>
                </c:pt>
                <c:pt idx="12">
                  <c:v>-173.5228150878371</c:v>
                </c:pt>
                <c:pt idx="13">
                  <c:v>26.050927064713676</c:v>
                </c:pt>
                <c:pt idx="14">
                  <c:v>-56.503620593207415</c:v>
                </c:pt>
                <c:pt idx="15">
                  <c:v>-50.914334851973422</c:v>
                </c:pt>
                <c:pt idx="16">
                  <c:v>43.794166952982437</c:v>
                </c:pt>
                <c:pt idx="17">
                  <c:v>272.21701918340727</c:v>
                </c:pt>
                <c:pt idx="18">
                  <c:v>-24.872804951645094</c:v>
                </c:pt>
                <c:pt idx="19">
                  <c:v>-5.8914938333974973</c:v>
                </c:pt>
                <c:pt idx="20">
                  <c:v>-79.254333542742188</c:v>
                </c:pt>
                <c:pt idx="21">
                  <c:v>123.65215852986933</c:v>
                </c:pt>
                <c:pt idx="22">
                  <c:v>-11.330429149901988</c:v>
                </c:pt>
                <c:pt idx="23">
                  <c:v>10.5062389974496</c:v>
                </c:pt>
                <c:pt idx="24">
                  <c:v>398.39048709735488</c:v>
                </c:pt>
                <c:pt idx="25">
                  <c:v>-406.40717358973006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1104.9345830693965</c:v>
                </c:pt>
                <c:pt idx="1">
                  <c:v>778.31662853925025</c:v>
                </c:pt>
                <c:pt idx="2">
                  <c:v>1696.8869906901705</c:v>
                </c:pt>
                <c:pt idx="3">
                  <c:v>807.36747972068008</c:v>
                </c:pt>
                <c:pt idx="4">
                  <c:v>852.49465105936974</c:v>
                </c:pt>
                <c:pt idx="5">
                  <c:v>1582.6604179867859</c:v>
                </c:pt>
                <c:pt idx="6">
                  <c:v>253.2874559603232</c:v>
                </c:pt>
                <c:pt idx="7">
                  <c:v>1019.0704117827407</c:v>
                </c:pt>
                <c:pt idx="8">
                  <c:v>70.241341917877548</c:v>
                </c:pt>
                <c:pt idx="9">
                  <c:v>301.26362820183215</c:v>
                </c:pt>
                <c:pt idx="10">
                  <c:v>1104.248214202772</c:v>
                </c:pt>
                <c:pt idx="11">
                  <c:v>1367.2249432846725</c:v>
                </c:pt>
                <c:pt idx="12">
                  <c:v>88.301848163231341</c:v>
                </c:pt>
                <c:pt idx="13">
                  <c:v>185.37492094584431</c:v>
                </c:pt>
                <c:pt idx="14">
                  <c:v>289.49050339012263</c:v>
                </c:pt>
                <c:pt idx="15">
                  <c:v>269.97762252539042</c:v>
                </c:pt>
                <c:pt idx="16">
                  <c:v>293.8323816886072</c:v>
                </c:pt>
                <c:pt idx="17">
                  <c:v>1483.0836052328245</c:v>
                </c:pt>
                <c:pt idx="18">
                  <c:v>281.98161374596589</c:v>
                </c:pt>
                <c:pt idx="19">
                  <c:v>6.2114883825593861</c:v>
                </c:pt>
                <c:pt idx="20">
                  <c:v>764.2877293388301</c:v>
                </c:pt>
                <c:pt idx="21">
                  <c:v>389.06703830846811</c:v>
                </c:pt>
                <c:pt idx="22">
                  <c:v>236.3222406584824</c:v>
                </c:pt>
                <c:pt idx="23">
                  <c:v>584.25582065773813</c:v>
                </c:pt>
                <c:pt idx="24">
                  <c:v>720.56801275030921</c:v>
                </c:pt>
                <c:pt idx="25">
                  <c:v>740.15509279627145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1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1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1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1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390525"/>
          <a:ext cx="11585575" cy="4098925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6"/>
  <cols>
    <col min="1" max="1" width="16.42578125" customWidth="1"/>
  </cols>
  <sheetData>
    <row r="1" spans="1:10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>
      <c r="A2" t="s">
        <v>0</v>
      </c>
      <c r="B2" s="64" t="s">
        <v>1</v>
      </c>
      <c r="C2" t="s">
        <v>2</v>
      </c>
      <c r="D2" t="s">
        <v>3</v>
      </c>
    </row>
    <row r="3" spans="1:10">
      <c r="B3" s="64"/>
    </row>
    <row r="11" spans="1:10">
      <c r="A11" t="s">
        <v>4</v>
      </c>
      <c r="B11" s="64" t="s">
        <v>1</v>
      </c>
    </row>
    <row r="12" spans="1:10">
      <c r="B12" s="64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2578125" defaultRowHeight="12.6"/>
  <cols>
    <col min="1" max="13" width="11.5703125" style="191" customWidth="1"/>
    <col min="14" max="256" width="10.42578125" style="191"/>
    <col min="257" max="269" width="11.5703125" style="191" customWidth="1"/>
    <col min="270" max="512" width="10.42578125" style="191"/>
    <col min="513" max="525" width="11.5703125" style="191" customWidth="1"/>
    <col min="526" max="768" width="10.42578125" style="191"/>
    <col min="769" max="781" width="11.5703125" style="191" customWidth="1"/>
    <col min="782" max="1024" width="10.42578125" style="191"/>
    <col min="1025" max="1037" width="11.5703125" style="191" customWidth="1"/>
    <col min="1038" max="1280" width="10.42578125" style="191"/>
    <col min="1281" max="1293" width="11.5703125" style="191" customWidth="1"/>
    <col min="1294" max="1536" width="10.42578125" style="191"/>
    <col min="1537" max="1549" width="11.5703125" style="191" customWidth="1"/>
    <col min="1550" max="1792" width="10.42578125" style="191"/>
    <col min="1793" max="1805" width="11.5703125" style="191" customWidth="1"/>
    <col min="1806" max="2048" width="10.42578125" style="191"/>
    <col min="2049" max="2061" width="11.5703125" style="191" customWidth="1"/>
    <col min="2062" max="2304" width="10.42578125" style="191"/>
    <col min="2305" max="2317" width="11.5703125" style="191" customWidth="1"/>
    <col min="2318" max="2560" width="10.42578125" style="191"/>
    <col min="2561" max="2573" width="11.5703125" style="191" customWidth="1"/>
    <col min="2574" max="2816" width="10.42578125" style="191"/>
    <col min="2817" max="2829" width="11.5703125" style="191" customWidth="1"/>
    <col min="2830" max="3072" width="10.42578125" style="191"/>
    <col min="3073" max="3085" width="11.5703125" style="191" customWidth="1"/>
    <col min="3086" max="3328" width="10.42578125" style="191"/>
    <col min="3329" max="3341" width="11.5703125" style="191" customWidth="1"/>
    <col min="3342" max="3584" width="10.42578125" style="191"/>
    <col min="3585" max="3597" width="11.5703125" style="191" customWidth="1"/>
    <col min="3598" max="3840" width="10.42578125" style="191"/>
    <col min="3841" max="3853" width="11.5703125" style="191" customWidth="1"/>
    <col min="3854" max="4096" width="10.42578125" style="191"/>
    <col min="4097" max="4109" width="11.5703125" style="191" customWidth="1"/>
    <col min="4110" max="4352" width="10.42578125" style="191"/>
    <col min="4353" max="4365" width="11.5703125" style="191" customWidth="1"/>
    <col min="4366" max="4608" width="10.42578125" style="191"/>
    <col min="4609" max="4621" width="11.5703125" style="191" customWidth="1"/>
    <col min="4622" max="4864" width="10.42578125" style="191"/>
    <col min="4865" max="4877" width="11.5703125" style="191" customWidth="1"/>
    <col min="4878" max="5120" width="10.42578125" style="191"/>
    <col min="5121" max="5133" width="11.5703125" style="191" customWidth="1"/>
    <col min="5134" max="5376" width="10.42578125" style="191"/>
    <col min="5377" max="5389" width="11.5703125" style="191" customWidth="1"/>
    <col min="5390" max="5632" width="10.42578125" style="191"/>
    <col min="5633" max="5645" width="11.5703125" style="191" customWidth="1"/>
    <col min="5646" max="5888" width="10.42578125" style="191"/>
    <col min="5889" max="5901" width="11.5703125" style="191" customWidth="1"/>
    <col min="5902" max="6144" width="10.42578125" style="191"/>
    <col min="6145" max="6157" width="11.5703125" style="191" customWidth="1"/>
    <col min="6158" max="6400" width="10.42578125" style="191"/>
    <col min="6401" max="6413" width="11.5703125" style="191" customWidth="1"/>
    <col min="6414" max="6656" width="10.42578125" style="191"/>
    <col min="6657" max="6669" width="11.5703125" style="191" customWidth="1"/>
    <col min="6670" max="6912" width="10.42578125" style="191"/>
    <col min="6913" max="6925" width="11.5703125" style="191" customWidth="1"/>
    <col min="6926" max="7168" width="10.42578125" style="191"/>
    <col min="7169" max="7181" width="11.5703125" style="191" customWidth="1"/>
    <col min="7182" max="7424" width="10.42578125" style="191"/>
    <col min="7425" max="7437" width="11.5703125" style="191" customWidth="1"/>
    <col min="7438" max="7680" width="10.42578125" style="191"/>
    <col min="7681" max="7693" width="11.5703125" style="191" customWidth="1"/>
    <col min="7694" max="7936" width="10.42578125" style="191"/>
    <col min="7937" max="7949" width="11.5703125" style="191" customWidth="1"/>
    <col min="7950" max="8192" width="10.42578125" style="191"/>
    <col min="8193" max="8205" width="11.5703125" style="191" customWidth="1"/>
    <col min="8206" max="8448" width="10.42578125" style="191"/>
    <col min="8449" max="8461" width="11.5703125" style="191" customWidth="1"/>
    <col min="8462" max="8704" width="10.42578125" style="191"/>
    <col min="8705" max="8717" width="11.5703125" style="191" customWidth="1"/>
    <col min="8718" max="8960" width="10.42578125" style="191"/>
    <col min="8961" max="8973" width="11.5703125" style="191" customWidth="1"/>
    <col min="8974" max="9216" width="10.42578125" style="191"/>
    <col min="9217" max="9229" width="11.5703125" style="191" customWidth="1"/>
    <col min="9230" max="9472" width="10.42578125" style="191"/>
    <col min="9473" max="9485" width="11.5703125" style="191" customWidth="1"/>
    <col min="9486" max="9728" width="10.42578125" style="191"/>
    <col min="9729" max="9741" width="11.5703125" style="191" customWidth="1"/>
    <col min="9742" max="9984" width="10.42578125" style="191"/>
    <col min="9985" max="9997" width="11.5703125" style="191" customWidth="1"/>
    <col min="9998" max="10240" width="10.42578125" style="191"/>
    <col min="10241" max="10253" width="11.5703125" style="191" customWidth="1"/>
    <col min="10254" max="10496" width="10.42578125" style="191"/>
    <col min="10497" max="10509" width="11.5703125" style="191" customWidth="1"/>
    <col min="10510" max="10752" width="10.42578125" style="191"/>
    <col min="10753" max="10765" width="11.5703125" style="191" customWidth="1"/>
    <col min="10766" max="11008" width="10.42578125" style="191"/>
    <col min="11009" max="11021" width="11.5703125" style="191" customWidth="1"/>
    <col min="11022" max="11264" width="10.42578125" style="191"/>
    <col min="11265" max="11277" width="11.5703125" style="191" customWidth="1"/>
    <col min="11278" max="11520" width="10.42578125" style="191"/>
    <col min="11521" max="11533" width="11.5703125" style="191" customWidth="1"/>
    <col min="11534" max="11776" width="10.42578125" style="191"/>
    <col min="11777" max="11789" width="11.5703125" style="191" customWidth="1"/>
    <col min="11790" max="12032" width="10.42578125" style="191"/>
    <col min="12033" max="12045" width="11.5703125" style="191" customWidth="1"/>
    <col min="12046" max="12288" width="10.42578125" style="191"/>
    <col min="12289" max="12301" width="11.5703125" style="191" customWidth="1"/>
    <col min="12302" max="12544" width="10.42578125" style="191"/>
    <col min="12545" max="12557" width="11.5703125" style="191" customWidth="1"/>
    <col min="12558" max="12800" width="10.42578125" style="191"/>
    <col min="12801" max="12813" width="11.5703125" style="191" customWidth="1"/>
    <col min="12814" max="13056" width="10.42578125" style="191"/>
    <col min="13057" max="13069" width="11.5703125" style="191" customWidth="1"/>
    <col min="13070" max="13312" width="10.42578125" style="191"/>
    <col min="13313" max="13325" width="11.5703125" style="191" customWidth="1"/>
    <col min="13326" max="13568" width="10.42578125" style="191"/>
    <col min="13569" max="13581" width="11.5703125" style="191" customWidth="1"/>
    <col min="13582" max="13824" width="10.42578125" style="191"/>
    <col min="13825" max="13837" width="11.5703125" style="191" customWidth="1"/>
    <col min="13838" max="14080" width="10.42578125" style="191"/>
    <col min="14081" max="14093" width="11.5703125" style="191" customWidth="1"/>
    <col min="14094" max="14336" width="10.42578125" style="191"/>
    <col min="14337" max="14349" width="11.5703125" style="191" customWidth="1"/>
    <col min="14350" max="14592" width="10.42578125" style="191"/>
    <col min="14593" max="14605" width="11.5703125" style="191" customWidth="1"/>
    <col min="14606" max="14848" width="10.42578125" style="191"/>
    <col min="14849" max="14861" width="11.5703125" style="191" customWidth="1"/>
    <col min="14862" max="15104" width="10.42578125" style="191"/>
    <col min="15105" max="15117" width="11.5703125" style="191" customWidth="1"/>
    <col min="15118" max="15360" width="10.42578125" style="191"/>
    <col min="15361" max="15373" width="11.5703125" style="191" customWidth="1"/>
    <col min="15374" max="15616" width="10.42578125" style="191"/>
    <col min="15617" max="15629" width="11.5703125" style="191" customWidth="1"/>
    <col min="15630" max="15872" width="10.42578125" style="191"/>
    <col min="15873" max="15885" width="11.5703125" style="191" customWidth="1"/>
    <col min="15886" max="16128" width="10.42578125" style="191"/>
    <col min="16129" max="16141" width="11.5703125" style="191" customWidth="1"/>
    <col min="16142" max="16384" width="10.42578125" style="191"/>
  </cols>
  <sheetData>
    <row r="1" spans="1:14" ht="12.9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</row>
    <row r="2" spans="1:14" ht="18.75" customHeight="1">
      <c r="A2" s="319"/>
      <c r="B2" s="319"/>
      <c r="C2" s="319"/>
      <c r="D2" s="319"/>
      <c r="E2" s="319"/>
      <c r="F2" s="359" t="s">
        <v>5</v>
      </c>
      <c r="G2" s="359"/>
      <c r="H2" s="359"/>
      <c r="I2" s="319"/>
      <c r="J2" s="319"/>
      <c r="K2" s="319"/>
      <c r="L2" s="319"/>
      <c r="M2" s="319"/>
      <c r="N2" s="319"/>
    </row>
    <row r="3" spans="1:14" ht="18.75" customHeight="1">
      <c r="A3" s="319"/>
      <c r="B3" s="319"/>
      <c r="C3" s="360" t="s">
        <v>6</v>
      </c>
      <c r="D3" s="360"/>
      <c r="E3" s="360"/>
      <c r="F3" s="360"/>
      <c r="G3" s="360"/>
      <c r="H3" s="360"/>
      <c r="I3" s="360"/>
      <c r="J3" s="360"/>
      <c r="K3" s="360"/>
      <c r="L3" s="319"/>
      <c r="M3" s="319"/>
      <c r="N3" s="319"/>
    </row>
    <row r="4" spans="1:14" ht="18.75" customHeight="1">
      <c r="A4" s="319"/>
      <c r="B4" s="319"/>
      <c r="C4" s="360" t="s">
        <v>7</v>
      </c>
      <c r="D4" s="360"/>
      <c r="E4" s="360"/>
      <c r="F4" s="360"/>
      <c r="G4" s="360"/>
      <c r="H4" s="360"/>
      <c r="I4" s="360"/>
      <c r="J4" s="360"/>
      <c r="K4" s="360"/>
      <c r="L4" s="319"/>
      <c r="M4" s="319"/>
      <c r="N4" s="319"/>
    </row>
    <row r="5" spans="1:14" ht="18.75" customHeight="1">
      <c r="A5" s="319"/>
      <c r="B5" s="319"/>
      <c r="C5" s="319"/>
      <c r="D5" s="319"/>
      <c r="E5" s="319"/>
      <c r="F5" s="319"/>
      <c r="G5" s="321" t="s">
        <v>8</v>
      </c>
      <c r="H5" s="319"/>
      <c r="I5" s="319"/>
      <c r="J5" s="319"/>
      <c r="K5" s="319"/>
      <c r="L5" s="319"/>
      <c r="M5" s="319"/>
      <c r="N5" s="319"/>
    </row>
    <row r="6" spans="1:14" ht="12.7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</row>
    <row r="7" spans="1:14" ht="19.5" customHeight="1">
      <c r="A7" s="319"/>
      <c r="B7" s="319"/>
      <c r="C7" s="361" t="s">
        <v>9</v>
      </c>
      <c r="D7" s="361"/>
      <c r="E7" s="361"/>
      <c r="F7" s="361"/>
      <c r="G7" s="361"/>
      <c r="H7" s="361"/>
      <c r="I7" s="361"/>
      <c r="J7" s="361"/>
      <c r="K7" s="361"/>
      <c r="L7" s="319"/>
      <c r="M7" s="319"/>
      <c r="N7" s="319"/>
    </row>
    <row r="8" spans="1:14" ht="18.75" customHeight="1">
      <c r="A8" s="319"/>
      <c r="B8" s="319"/>
      <c r="C8" s="362" t="s">
        <v>10</v>
      </c>
      <c r="D8" s="362"/>
      <c r="E8" s="362"/>
      <c r="F8" s="362"/>
      <c r="G8" s="362"/>
      <c r="H8" s="362"/>
      <c r="I8" s="362"/>
      <c r="J8" s="362"/>
      <c r="K8" s="362"/>
      <c r="L8" s="319"/>
      <c r="M8" s="319"/>
      <c r="N8" s="319"/>
    </row>
    <row r="9" spans="1:14" ht="18.75" customHeight="1">
      <c r="A9" s="319"/>
      <c r="B9" s="362" t="s">
        <v>11</v>
      </c>
      <c r="C9" s="362"/>
      <c r="D9" s="362"/>
      <c r="E9" s="362"/>
      <c r="F9" s="362"/>
      <c r="G9" s="362"/>
      <c r="H9" s="362"/>
      <c r="I9" s="362"/>
      <c r="J9" s="362"/>
      <c r="K9" s="362"/>
      <c r="L9" s="362"/>
      <c r="M9" s="320"/>
      <c r="N9" s="319"/>
    </row>
    <row r="10" spans="1:14" ht="18.75" customHeight="1">
      <c r="A10" s="319"/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20"/>
      <c r="M10" s="320"/>
      <c r="N10" s="319"/>
    </row>
    <row r="11" spans="1:14" ht="12.95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</row>
    <row r="12" spans="1:14" ht="15.6">
      <c r="A12" s="319"/>
      <c r="B12" s="319"/>
      <c r="C12" s="319"/>
      <c r="D12" s="319"/>
      <c r="E12" s="319"/>
      <c r="F12" s="319"/>
      <c r="G12" s="192" t="s">
        <v>12</v>
      </c>
      <c r="H12" s="319"/>
      <c r="I12" s="319"/>
      <c r="J12" s="319"/>
      <c r="K12" s="319"/>
      <c r="L12" s="319"/>
      <c r="M12" s="319"/>
      <c r="N12" s="319"/>
    </row>
    <row r="13" spans="1:14" ht="12.95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</row>
    <row r="14" spans="1:14" ht="13.5" thickBo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</row>
    <row r="15" spans="1:14" ht="15.6">
      <c r="A15" s="193"/>
      <c r="B15" s="194"/>
      <c r="C15" s="195"/>
      <c r="D15" s="195"/>
      <c r="E15" s="195"/>
      <c r="F15" s="195"/>
      <c r="G15" s="196" t="s">
        <v>13</v>
      </c>
      <c r="H15" s="195"/>
      <c r="I15" s="195"/>
      <c r="J15" s="195"/>
      <c r="K15" s="195"/>
      <c r="L15" s="197"/>
      <c r="M15" s="319"/>
      <c r="N15" s="319"/>
    </row>
    <row r="16" spans="1:14" ht="15.6">
      <c r="A16" s="193"/>
      <c r="B16" s="198"/>
      <c r="C16" s="319"/>
      <c r="D16" s="319"/>
      <c r="E16" s="319"/>
      <c r="F16" s="319"/>
      <c r="G16" s="199" t="s">
        <v>14</v>
      </c>
      <c r="H16" s="319"/>
      <c r="I16" s="319"/>
      <c r="J16" s="319"/>
      <c r="K16" s="319"/>
      <c r="L16" s="200"/>
      <c r="M16" s="319"/>
      <c r="N16" s="319"/>
    </row>
    <row r="17" spans="1:14" ht="15.6">
      <c r="A17" s="193"/>
      <c r="B17" s="198"/>
      <c r="C17" s="319"/>
      <c r="D17" s="319"/>
      <c r="E17" s="319"/>
      <c r="F17" s="319"/>
      <c r="G17" s="199" t="s">
        <v>15</v>
      </c>
      <c r="H17" s="319"/>
      <c r="I17" s="319"/>
      <c r="J17" s="319"/>
      <c r="K17" s="319"/>
      <c r="L17" s="200"/>
      <c r="M17" s="319"/>
      <c r="N17" s="319"/>
    </row>
    <row r="18" spans="1:14" ht="15.6">
      <c r="A18" s="193"/>
      <c r="B18" s="198"/>
      <c r="C18" s="319"/>
      <c r="D18" s="319"/>
      <c r="E18" s="319"/>
      <c r="F18" s="319"/>
      <c r="G18" s="199" t="s">
        <v>16</v>
      </c>
      <c r="H18" s="319"/>
      <c r="I18" s="319"/>
      <c r="J18" s="319"/>
      <c r="K18" s="319"/>
      <c r="L18" s="200"/>
      <c r="M18" s="319"/>
      <c r="N18" s="319"/>
    </row>
    <row r="19" spans="1:14" ht="15.6">
      <c r="A19" s="193"/>
      <c r="B19" s="198"/>
      <c r="C19" s="319"/>
      <c r="D19" s="319"/>
      <c r="E19" s="319"/>
      <c r="F19" s="319"/>
      <c r="G19" s="199"/>
      <c r="H19" s="319"/>
      <c r="I19" s="319"/>
      <c r="J19" s="319"/>
      <c r="K19" s="319"/>
      <c r="L19" s="200"/>
      <c r="M19" s="319"/>
      <c r="N19" s="319"/>
    </row>
    <row r="20" spans="1:14" ht="15.6">
      <c r="A20" s="193"/>
      <c r="B20" s="198"/>
      <c r="C20" s="319"/>
      <c r="D20" s="319"/>
      <c r="E20" s="319"/>
      <c r="F20" s="319"/>
      <c r="G20" s="199" t="s">
        <v>17</v>
      </c>
      <c r="H20" s="319"/>
      <c r="I20" s="319"/>
      <c r="J20" s="319"/>
      <c r="K20" s="319"/>
      <c r="L20" s="200"/>
      <c r="M20" s="319"/>
      <c r="N20" s="319"/>
    </row>
    <row r="21" spans="1:14" ht="15.6">
      <c r="A21" s="193"/>
      <c r="B21" s="198"/>
      <c r="C21" s="319"/>
      <c r="D21" s="319"/>
      <c r="E21" s="319"/>
      <c r="F21" s="319"/>
      <c r="G21" s="319"/>
      <c r="H21" s="319"/>
      <c r="I21" s="319"/>
      <c r="J21" s="319"/>
      <c r="K21" s="319"/>
      <c r="L21" s="200"/>
      <c r="M21" s="319"/>
      <c r="N21" s="319"/>
    </row>
    <row r="22" spans="1:14" ht="15.6">
      <c r="A22" s="193"/>
      <c r="B22" s="198"/>
      <c r="C22" s="319"/>
      <c r="D22" s="319"/>
      <c r="E22" s="319"/>
      <c r="F22" s="319"/>
      <c r="G22" s="322" t="s">
        <v>18</v>
      </c>
      <c r="H22" s="319"/>
      <c r="I22" s="319"/>
      <c r="J22" s="319"/>
      <c r="K22" s="319"/>
      <c r="L22" s="200"/>
      <c r="M22" s="319"/>
      <c r="N22" s="319"/>
    </row>
    <row r="23" spans="1:14" ht="15.6">
      <c r="A23" s="193"/>
      <c r="B23" s="198"/>
      <c r="C23" s="319"/>
      <c r="D23" s="319"/>
      <c r="E23" s="319"/>
      <c r="F23" s="319"/>
      <c r="G23" s="322" t="s">
        <v>19</v>
      </c>
      <c r="H23" s="319"/>
      <c r="I23" s="319"/>
      <c r="J23" s="319"/>
      <c r="K23" s="319"/>
      <c r="L23" s="200"/>
      <c r="M23" s="319"/>
      <c r="N23" s="319"/>
    </row>
    <row r="24" spans="1:14" ht="15.6">
      <c r="A24" s="193"/>
      <c r="B24" s="198"/>
      <c r="C24" s="319"/>
      <c r="D24" s="319"/>
      <c r="E24" s="319"/>
      <c r="F24" s="319"/>
      <c r="G24" s="322" t="s">
        <v>20</v>
      </c>
      <c r="H24" s="319"/>
      <c r="I24" s="319"/>
      <c r="J24" s="319"/>
      <c r="K24" s="319"/>
      <c r="L24" s="200"/>
      <c r="M24" s="319"/>
      <c r="N24" s="319"/>
    </row>
    <row r="25" spans="1:14" ht="15.6">
      <c r="A25" s="193"/>
      <c r="B25" s="198"/>
      <c r="C25" s="319"/>
      <c r="D25" s="319"/>
      <c r="E25" s="319"/>
      <c r="F25" s="319"/>
      <c r="G25" s="202"/>
      <c r="H25" s="319"/>
      <c r="I25" s="319"/>
      <c r="J25" s="319"/>
      <c r="K25" s="319"/>
      <c r="L25" s="200"/>
      <c r="M25" s="319"/>
      <c r="N25" s="319"/>
    </row>
    <row r="26" spans="1:14" ht="15.6">
      <c r="A26" s="193"/>
      <c r="B26" s="198"/>
      <c r="C26" s="319"/>
      <c r="D26" s="319"/>
      <c r="E26" s="319"/>
      <c r="F26" s="319"/>
      <c r="G26" s="199" t="s">
        <v>21</v>
      </c>
      <c r="H26" s="319"/>
      <c r="I26" s="319"/>
      <c r="J26" s="319"/>
      <c r="K26" s="319"/>
      <c r="L26" s="200"/>
      <c r="M26" s="319"/>
      <c r="N26" s="319"/>
    </row>
    <row r="27" spans="1:14" ht="15.6">
      <c r="A27" s="193"/>
      <c r="B27" s="198"/>
      <c r="C27" s="319"/>
      <c r="D27" s="319"/>
      <c r="E27" s="319"/>
      <c r="F27" s="319"/>
      <c r="G27" s="199" t="s">
        <v>22</v>
      </c>
      <c r="H27" s="319"/>
      <c r="I27" s="319"/>
      <c r="J27" s="319"/>
      <c r="K27" s="319"/>
      <c r="L27" s="200"/>
      <c r="M27" s="319"/>
      <c r="N27" s="319"/>
    </row>
    <row r="28" spans="1:14" ht="15.6">
      <c r="A28" s="193"/>
      <c r="B28" s="198"/>
      <c r="C28" s="319"/>
      <c r="D28" s="319"/>
      <c r="E28" s="319"/>
      <c r="F28" s="319"/>
      <c r="G28" s="322" t="s">
        <v>23</v>
      </c>
      <c r="H28" s="319"/>
      <c r="I28" s="319"/>
      <c r="J28" s="319"/>
      <c r="K28" s="319"/>
      <c r="L28" s="200"/>
      <c r="M28" s="319"/>
      <c r="N28" s="319"/>
    </row>
    <row r="29" spans="1:14" ht="15.6">
      <c r="A29" s="193"/>
      <c r="B29" s="198"/>
      <c r="C29" s="319"/>
      <c r="D29" s="319"/>
      <c r="E29" s="319"/>
      <c r="F29" s="319"/>
      <c r="G29" s="199" t="s">
        <v>24</v>
      </c>
      <c r="H29" s="319"/>
      <c r="I29" s="319"/>
      <c r="J29" s="319"/>
      <c r="K29" s="319"/>
      <c r="L29" s="200"/>
      <c r="M29" s="319"/>
      <c r="N29" s="319"/>
    </row>
    <row r="30" spans="1:14" ht="15.6">
      <c r="A30" s="193"/>
      <c r="B30" s="198"/>
      <c r="C30" s="319"/>
      <c r="D30" s="319"/>
      <c r="E30" s="319"/>
      <c r="F30" s="319"/>
      <c r="G30" s="199" t="s">
        <v>25</v>
      </c>
      <c r="H30" s="319"/>
      <c r="I30" s="319"/>
      <c r="J30" s="319"/>
      <c r="K30" s="319"/>
      <c r="L30" s="200"/>
      <c r="M30" s="319"/>
      <c r="N30" s="319"/>
    </row>
    <row r="31" spans="1:14" ht="15.6">
      <c r="A31" s="193"/>
      <c r="B31" s="198"/>
      <c r="C31" s="319"/>
      <c r="D31" s="319"/>
      <c r="E31" s="319"/>
      <c r="F31" s="319"/>
      <c r="G31" s="319"/>
      <c r="H31" s="319"/>
      <c r="I31" s="319"/>
      <c r="J31" s="319"/>
      <c r="K31" s="319"/>
      <c r="L31" s="200"/>
      <c r="M31" s="319"/>
      <c r="N31" s="319"/>
    </row>
    <row r="32" spans="1:14" ht="15.6">
      <c r="A32" s="193"/>
      <c r="B32" s="198"/>
      <c r="C32" s="319"/>
      <c r="D32" s="319"/>
      <c r="E32" s="319"/>
      <c r="F32" s="319"/>
      <c r="G32" s="199" t="s">
        <v>26</v>
      </c>
      <c r="H32" s="319"/>
      <c r="I32" s="319"/>
      <c r="J32" s="319"/>
      <c r="K32" s="319"/>
      <c r="L32" s="200"/>
      <c r="M32" s="319"/>
      <c r="N32" s="319"/>
    </row>
    <row r="33" spans="1:14" ht="15.6">
      <c r="A33" s="193"/>
      <c r="B33" s="198"/>
      <c r="C33" s="319"/>
      <c r="D33" s="319"/>
      <c r="E33" s="319"/>
      <c r="F33" s="319"/>
      <c r="G33" s="322" t="s">
        <v>27</v>
      </c>
      <c r="H33" s="319"/>
      <c r="I33" s="319"/>
      <c r="J33" s="319"/>
      <c r="K33" s="319"/>
      <c r="L33" s="200"/>
      <c r="M33" s="319"/>
      <c r="N33" s="319"/>
    </row>
    <row r="34" spans="1:14" ht="15.6">
      <c r="A34" s="193"/>
      <c r="B34" s="198"/>
      <c r="C34" s="319"/>
      <c r="D34" s="319"/>
      <c r="E34" s="319"/>
      <c r="F34" s="319"/>
      <c r="G34" s="199" t="s">
        <v>28</v>
      </c>
      <c r="H34" s="319"/>
      <c r="I34" s="319"/>
      <c r="J34" s="319"/>
      <c r="K34" s="319"/>
      <c r="L34" s="200"/>
      <c r="M34" s="319"/>
      <c r="N34" s="319"/>
    </row>
    <row r="35" spans="1:14" ht="15.6">
      <c r="A35" s="193"/>
      <c r="B35" s="198"/>
      <c r="C35" s="319"/>
      <c r="D35" s="319"/>
      <c r="E35" s="319"/>
      <c r="F35" s="319"/>
      <c r="G35" s="319"/>
      <c r="H35" s="319"/>
      <c r="I35" s="319"/>
      <c r="J35" s="319"/>
      <c r="K35" s="319"/>
      <c r="L35" s="200"/>
      <c r="M35" s="319"/>
      <c r="N35" s="319"/>
    </row>
    <row r="36" spans="1:14" ht="15.6">
      <c r="A36" s="193"/>
      <c r="B36" s="201"/>
      <c r="C36" s="319"/>
      <c r="D36" s="319"/>
      <c r="E36" s="319"/>
      <c r="F36" s="319"/>
      <c r="G36" s="199" t="s">
        <v>29</v>
      </c>
      <c r="H36" s="319"/>
      <c r="I36" s="319"/>
      <c r="J36" s="319"/>
      <c r="K36" s="319"/>
      <c r="L36" s="200"/>
      <c r="M36" s="319"/>
      <c r="N36" s="319"/>
    </row>
    <row r="37" spans="1:14" ht="15.6">
      <c r="A37" s="193"/>
      <c r="B37" s="201"/>
      <c r="C37" s="319"/>
      <c r="D37" s="319"/>
      <c r="E37" s="319"/>
      <c r="F37" s="319"/>
      <c r="G37" s="319"/>
      <c r="H37" s="319"/>
      <c r="I37" s="319"/>
      <c r="J37" s="319"/>
      <c r="K37" s="319"/>
      <c r="L37" s="200"/>
      <c r="M37" s="319"/>
      <c r="N37" s="319"/>
    </row>
    <row r="38" spans="1:14" ht="15.6">
      <c r="A38" s="319"/>
      <c r="B38" s="328"/>
      <c r="C38" s="327"/>
      <c r="D38" s="327"/>
      <c r="E38" s="327"/>
      <c r="F38" s="327"/>
      <c r="G38" s="199" t="s">
        <v>30</v>
      </c>
      <c r="H38" s="327"/>
      <c r="I38" s="327"/>
      <c r="J38" s="327"/>
      <c r="K38" s="327"/>
      <c r="L38" s="200"/>
      <c r="M38" s="319"/>
      <c r="N38" s="319"/>
    </row>
    <row r="39" spans="1:14" ht="15.6">
      <c r="A39" s="319"/>
      <c r="B39" s="329"/>
      <c r="C39" s="319"/>
      <c r="D39" s="319"/>
      <c r="E39" s="319"/>
      <c r="F39" s="319"/>
      <c r="G39" s="199" t="s">
        <v>31</v>
      </c>
      <c r="H39" s="319"/>
      <c r="I39" s="319"/>
      <c r="J39" s="319"/>
      <c r="K39" s="319"/>
      <c r="L39" s="193"/>
      <c r="M39" s="319"/>
      <c r="N39" s="319"/>
    </row>
    <row r="40" spans="1:14" ht="13.5" thickBot="1">
      <c r="A40" s="319"/>
      <c r="B40" s="330"/>
      <c r="C40" s="331"/>
      <c r="D40" s="331"/>
      <c r="E40" s="331"/>
      <c r="F40" s="331"/>
      <c r="G40" s="331"/>
      <c r="H40" s="331"/>
      <c r="I40" s="331"/>
      <c r="J40" s="331"/>
      <c r="K40" s="331"/>
      <c r="L40" s="332"/>
      <c r="M40" s="319"/>
      <c r="N40" s="319"/>
    </row>
    <row r="41" spans="1:14">
      <c r="A41" s="363"/>
      <c r="B41" s="363"/>
      <c r="C41" s="363"/>
      <c r="D41" s="363"/>
      <c r="E41" s="363"/>
      <c r="F41" s="363"/>
      <c r="G41" s="363"/>
      <c r="H41" s="358"/>
      <c r="I41" s="358"/>
      <c r="J41" s="358"/>
      <c r="K41" s="358"/>
      <c r="L41" s="358"/>
      <c r="M41" s="358"/>
      <c r="N41" s="358"/>
    </row>
    <row r="42" spans="1:14">
      <c r="A42" s="363"/>
      <c r="B42" s="363"/>
      <c r="C42" s="363"/>
      <c r="D42" s="363"/>
      <c r="E42" s="363"/>
      <c r="F42" s="363"/>
      <c r="G42" s="363"/>
      <c r="H42" s="358"/>
      <c r="I42" s="358"/>
      <c r="J42" s="358"/>
      <c r="K42" s="358"/>
      <c r="L42" s="358"/>
      <c r="M42" s="358"/>
      <c r="N42" s="358"/>
    </row>
    <row r="43" spans="1:14" ht="12.95">
      <c r="A43" s="202"/>
      <c r="B43" s="202"/>
      <c r="C43" s="202"/>
      <c r="D43" s="202"/>
      <c r="E43" s="202"/>
      <c r="F43" s="202"/>
      <c r="G43" s="202"/>
      <c r="H43" s="358"/>
      <c r="I43" s="358"/>
      <c r="J43" s="358"/>
      <c r="K43" s="358"/>
      <c r="L43" s="358"/>
      <c r="M43" s="358"/>
      <c r="N43" s="358"/>
    </row>
    <row r="44" spans="1:14" ht="12.95">
      <c r="A44" s="202"/>
      <c r="B44" s="202"/>
      <c r="C44" s="202"/>
      <c r="D44" s="202"/>
      <c r="E44" s="202"/>
      <c r="F44" s="202"/>
      <c r="G44" s="202"/>
      <c r="H44" s="358"/>
      <c r="I44" s="358"/>
      <c r="J44" s="358"/>
      <c r="K44" s="358"/>
      <c r="L44" s="358"/>
      <c r="M44" s="358"/>
      <c r="N44" s="358"/>
    </row>
    <row r="45" spans="1:14" ht="12.95">
      <c r="A45" s="202"/>
      <c r="B45" s="202"/>
      <c r="C45" s="202"/>
      <c r="D45" s="202"/>
      <c r="E45" s="202"/>
      <c r="F45" s="202"/>
      <c r="G45" s="202"/>
      <c r="H45" s="358"/>
      <c r="I45" s="358"/>
      <c r="J45" s="358"/>
      <c r="K45" s="358"/>
      <c r="L45" s="358"/>
      <c r="M45" s="358"/>
      <c r="N45" s="358"/>
    </row>
    <row r="46" spans="1:14" ht="12.95">
      <c r="A46" s="202"/>
      <c r="B46" s="202"/>
      <c r="C46" s="202"/>
      <c r="D46" s="202"/>
      <c r="E46" s="202"/>
      <c r="F46" s="202"/>
      <c r="G46" s="202"/>
      <c r="H46" s="358"/>
      <c r="I46" s="358"/>
      <c r="J46" s="358"/>
      <c r="K46" s="358"/>
      <c r="L46" s="358"/>
      <c r="M46" s="358"/>
      <c r="N46" s="358"/>
    </row>
    <row r="47" spans="1:14" ht="12.95">
      <c r="A47" s="202"/>
      <c r="B47" s="202"/>
      <c r="C47" s="202"/>
      <c r="D47" s="202"/>
      <c r="E47" s="202"/>
      <c r="F47" s="202"/>
      <c r="G47" s="202"/>
      <c r="H47" s="358"/>
      <c r="I47" s="358"/>
      <c r="J47" s="358"/>
      <c r="K47" s="358"/>
      <c r="L47" s="358"/>
      <c r="M47" s="358"/>
      <c r="N47" s="358"/>
    </row>
    <row r="48" spans="1:14" ht="12.95">
      <c r="A48" s="202"/>
      <c r="B48" s="202"/>
      <c r="C48" s="202"/>
      <c r="D48" s="202"/>
      <c r="E48" s="202"/>
      <c r="F48" s="202"/>
      <c r="G48" s="202"/>
      <c r="H48" s="358"/>
      <c r="I48" s="358"/>
      <c r="J48" s="358"/>
      <c r="K48" s="358"/>
      <c r="L48" s="358"/>
      <c r="M48" s="358"/>
      <c r="N48" s="358"/>
    </row>
    <row r="49" spans="1:14" ht="12.95">
      <c r="A49" s="202"/>
      <c r="B49" s="202"/>
      <c r="C49" s="202"/>
      <c r="D49" s="202"/>
      <c r="E49" s="202"/>
      <c r="F49" s="202"/>
      <c r="G49" s="202"/>
      <c r="H49" s="358"/>
      <c r="I49" s="358"/>
      <c r="J49" s="358"/>
      <c r="K49" s="358"/>
      <c r="L49" s="358"/>
      <c r="M49" s="358"/>
      <c r="N49" s="358"/>
    </row>
    <row r="50" spans="1:14" ht="12.95">
      <c r="A50" s="202"/>
      <c r="B50" s="202"/>
      <c r="C50" s="202"/>
      <c r="D50" s="202"/>
      <c r="E50" s="202"/>
      <c r="F50" s="202"/>
      <c r="G50" s="202"/>
      <c r="H50" s="358"/>
      <c r="I50" s="358"/>
      <c r="J50" s="358"/>
      <c r="K50" s="358"/>
      <c r="L50" s="358"/>
      <c r="M50" s="358"/>
      <c r="N50" s="358"/>
    </row>
    <row r="51" spans="1:14" ht="12.95">
      <c r="A51" s="202"/>
      <c r="B51" s="202"/>
      <c r="C51" s="202"/>
      <c r="D51" s="202"/>
      <c r="E51" s="202"/>
      <c r="F51" s="202"/>
      <c r="G51" s="202"/>
      <c r="H51" s="358"/>
      <c r="I51" s="358"/>
      <c r="J51" s="358"/>
      <c r="K51" s="358"/>
      <c r="L51" s="358"/>
      <c r="M51" s="358"/>
      <c r="N51" s="358"/>
    </row>
    <row r="52" spans="1:14" ht="12.95">
      <c r="A52" s="202"/>
      <c r="B52" s="202"/>
      <c r="C52" s="202"/>
      <c r="D52" s="202"/>
      <c r="E52" s="202"/>
      <c r="F52" s="202"/>
      <c r="G52" s="202"/>
      <c r="H52" s="358"/>
      <c r="I52" s="358"/>
      <c r="J52" s="358"/>
      <c r="K52" s="358"/>
      <c r="L52" s="358"/>
      <c r="M52" s="358"/>
      <c r="N52" s="358"/>
    </row>
    <row r="53" spans="1:14" ht="12.95">
      <c r="A53" s="202"/>
      <c r="B53" s="202"/>
      <c r="C53" s="202"/>
      <c r="D53" s="202"/>
      <c r="E53" s="202"/>
      <c r="F53" s="202"/>
      <c r="G53" s="202"/>
      <c r="H53" s="358"/>
      <c r="I53" s="358"/>
      <c r="J53" s="358"/>
      <c r="K53" s="358"/>
      <c r="L53" s="358"/>
      <c r="M53" s="358"/>
      <c r="N53" s="358"/>
    </row>
    <row r="54" spans="1:14" ht="12.95">
      <c r="A54" s="202"/>
      <c r="B54" s="202"/>
      <c r="C54" s="202"/>
      <c r="D54" s="202"/>
      <c r="E54" s="202"/>
      <c r="F54" s="202"/>
      <c r="G54" s="202"/>
      <c r="H54" s="358"/>
      <c r="I54" s="358"/>
      <c r="J54" s="358"/>
      <c r="K54" s="358"/>
      <c r="L54" s="358"/>
      <c r="M54" s="358"/>
      <c r="N54" s="358"/>
    </row>
    <row r="55" spans="1:14" ht="12.95">
      <c r="A55" s="202"/>
      <c r="B55" s="202"/>
      <c r="C55" s="202"/>
      <c r="D55" s="202"/>
      <c r="E55" s="202"/>
      <c r="F55" s="202"/>
      <c r="G55" s="202"/>
      <c r="H55" s="358"/>
      <c r="I55" s="358"/>
      <c r="J55" s="358"/>
      <c r="K55" s="358"/>
      <c r="L55" s="358"/>
      <c r="M55" s="358"/>
      <c r="N55" s="358"/>
    </row>
    <row r="56" spans="1:14" ht="12.95">
      <c r="A56" s="202"/>
      <c r="B56" s="202"/>
      <c r="C56" s="202"/>
      <c r="D56" s="202"/>
      <c r="E56" s="202"/>
      <c r="F56" s="202"/>
      <c r="G56" s="202"/>
      <c r="H56" s="358"/>
      <c r="I56" s="358"/>
      <c r="J56" s="358"/>
      <c r="K56" s="358"/>
      <c r="L56" s="358"/>
      <c r="M56" s="358"/>
      <c r="N56" s="358"/>
    </row>
    <row r="57" spans="1:14" ht="12.95">
      <c r="A57" s="202"/>
      <c r="B57" s="202"/>
      <c r="C57" s="202"/>
      <c r="D57" s="202"/>
      <c r="E57" s="202"/>
      <c r="F57" s="202"/>
      <c r="G57" s="202"/>
      <c r="H57" s="358"/>
      <c r="I57" s="358"/>
      <c r="J57" s="358"/>
      <c r="K57" s="358"/>
      <c r="L57" s="358"/>
      <c r="M57" s="358"/>
      <c r="N57" s="358"/>
    </row>
    <row r="58" spans="1:14" ht="12.95">
      <c r="A58" s="202"/>
      <c r="B58" s="202"/>
      <c r="C58" s="202"/>
      <c r="D58" s="202"/>
      <c r="E58" s="202"/>
      <c r="F58" s="202"/>
      <c r="G58" s="202"/>
      <c r="H58" s="358"/>
      <c r="I58" s="358"/>
      <c r="J58" s="358"/>
      <c r="K58" s="358"/>
      <c r="L58" s="358"/>
      <c r="M58" s="358"/>
      <c r="N58" s="358"/>
    </row>
    <row r="59" spans="1:14" ht="12.95">
      <c r="A59" s="202"/>
      <c r="B59" s="202"/>
      <c r="C59" s="202"/>
      <c r="D59" s="202"/>
      <c r="E59" s="202"/>
      <c r="F59" s="202"/>
      <c r="G59" s="202"/>
      <c r="H59" s="358"/>
      <c r="I59" s="358"/>
      <c r="J59" s="358"/>
      <c r="K59" s="358"/>
      <c r="L59" s="358"/>
      <c r="M59" s="358"/>
      <c r="N59" s="358"/>
    </row>
    <row r="60" spans="1:14" ht="12.95">
      <c r="A60" s="202"/>
      <c r="B60" s="202"/>
      <c r="C60" s="202"/>
      <c r="D60" s="202"/>
      <c r="E60" s="202"/>
      <c r="F60" s="202"/>
      <c r="G60" s="202"/>
      <c r="H60" s="358"/>
      <c r="I60" s="358"/>
      <c r="J60" s="358"/>
      <c r="K60" s="358"/>
      <c r="L60" s="358"/>
      <c r="M60" s="358"/>
      <c r="N60" s="358"/>
    </row>
    <row r="61" spans="1:14" ht="12.95">
      <c r="A61" s="202"/>
      <c r="B61" s="202"/>
      <c r="C61" s="202"/>
      <c r="D61" s="202"/>
      <c r="E61" s="202"/>
      <c r="F61" s="202"/>
      <c r="G61" s="202"/>
      <c r="H61" s="358"/>
      <c r="I61" s="358"/>
      <c r="J61" s="358"/>
      <c r="K61" s="358"/>
      <c r="L61" s="358"/>
      <c r="M61" s="358"/>
      <c r="N61" s="358"/>
    </row>
    <row r="62" spans="1:14" ht="12.95">
      <c r="A62" s="202"/>
      <c r="B62" s="202"/>
      <c r="C62" s="202"/>
      <c r="D62" s="202"/>
      <c r="E62" s="202"/>
      <c r="F62" s="202"/>
      <c r="G62" s="202"/>
      <c r="H62" s="358"/>
      <c r="I62" s="358"/>
      <c r="J62" s="358"/>
      <c r="K62" s="358"/>
      <c r="L62" s="358"/>
      <c r="M62" s="358"/>
      <c r="N62" s="358"/>
    </row>
    <row r="63" spans="1:14" ht="12.95">
      <c r="A63" s="202"/>
      <c r="B63" s="202"/>
      <c r="C63" s="202"/>
      <c r="D63" s="202"/>
      <c r="E63" s="202"/>
      <c r="F63" s="202"/>
      <c r="G63" s="202"/>
      <c r="H63" s="358"/>
      <c r="I63" s="358"/>
      <c r="J63" s="358"/>
      <c r="K63" s="358"/>
      <c r="L63" s="358"/>
      <c r="M63" s="358"/>
      <c r="N63" s="358"/>
    </row>
    <row r="64" spans="1:14" ht="12.95">
      <c r="A64" s="202"/>
      <c r="B64" s="202"/>
      <c r="C64" s="202"/>
      <c r="D64" s="202"/>
      <c r="E64" s="202"/>
      <c r="F64" s="202"/>
      <c r="G64" s="202"/>
      <c r="H64" s="358"/>
      <c r="I64" s="358"/>
      <c r="J64" s="358"/>
      <c r="K64" s="358"/>
      <c r="L64" s="358"/>
      <c r="M64" s="358"/>
      <c r="N64" s="358"/>
    </row>
    <row r="65" spans="1:14" ht="12.95">
      <c r="A65" s="202"/>
      <c r="B65" s="202"/>
      <c r="C65" s="202"/>
      <c r="D65" s="202"/>
      <c r="E65" s="202"/>
      <c r="F65" s="202"/>
      <c r="G65" s="202"/>
      <c r="H65" s="358"/>
      <c r="I65" s="358"/>
      <c r="J65" s="358"/>
      <c r="K65" s="358"/>
      <c r="L65" s="358"/>
      <c r="M65" s="358"/>
      <c r="N65" s="358"/>
    </row>
    <row r="66" spans="1:14" ht="12.95">
      <c r="A66" s="202"/>
      <c r="B66" s="202"/>
      <c r="C66" s="202"/>
      <c r="D66" s="202"/>
      <c r="E66" s="202"/>
      <c r="F66" s="202"/>
      <c r="G66" s="202"/>
      <c r="H66" s="358"/>
      <c r="I66" s="358"/>
      <c r="J66" s="358"/>
      <c r="K66" s="358"/>
      <c r="L66" s="358"/>
      <c r="M66" s="358"/>
      <c r="N66" s="358"/>
    </row>
    <row r="67" spans="1:14" ht="12.95">
      <c r="A67" s="202"/>
      <c r="B67" s="202"/>
      <c r="C67" s="202"/>
      <c r="D67" s="202"/>
      <c r="E67" s="202"/>
      <c r="F67" s="202"/>
      <c r="G67" s="202"/>
      <c r="H67" s="358"/>
      <c r="I67" s="358"/>
      <c r="J67" s="358"/>
      <c r="K67" s="358"/>
      <c r="L67" s="358"/>
      <c r="M67" s="358"/>
      <c r="N67" s="358"/>
    </row>
    <row r="68" spans="1:14" ht="12.95">
      <c r="A68" s="202"/>
      <c r="B68" s="202"/>
      <c r="C68" s="202"/>
      <c r="D68" s="202"/>
      <c r="E68" s="202"/>
      <c r="F68" s="202"/>
      <c r="G68" s="202"/>
      <c r="H68" s="358"/>
      <c r="I68" s="358"/>
      <c r="J68" s="358"/>
      <c r="K68" s="358"/>
      <c r="L68" s="358"/>
      <c r="M68" s="358"/>
      <c r="N68" s="358"/>
    </row>
    <row r="69" spans="1:14" ht="12.95">
      <c r="A69" s="202"/>
      <c r="B69" s="202"/>
      <c r="C69" s="202"/>
      <c r="D69" s="202"/>
      <c r="E69" s="202"/>
      <c r="F69" s="202"/>
      <c r="G69" s="202"/>
      <c r="H69" s="358"/>
      <c r="I69" s="358"/>
      <c r="J69" s="358"/>
      <c r="K69" s="358"/>
      <c r="L69" s="358"/>
      <c r="M69" s="358"/>
      <c r="N69" s="358"/>
    </row>
    <row r="70" spans="1:14" ht="12.95">
      <c r="A70" s="202"/>
      <c r="B70" s="202"/>
      <c r="C70" s="202"/>
      <c r="D70" s="202"/>
      <c r="E70" s="202"/>
      <c r="F70" s="202"/>
      <c r="G70" s="202"/>
      <c r="H70" s="358"/>
      <c r="I70" s="358"/>
      <c r="J70" s="358"/>
      <c r="K70" s="358"/>
      <c r="L70" s="358"/>
      <c r="M70" s="358"/>
      <c r="N70" s="358"/>
    </row>
    <row r="71" spans="1:14" ht="12.95">
      <c r="A71" s="202"/>
      <c r="B71" s="202"/>
      <c r="C71" s="202"/>
      <c r="D71" s="202"/>
      <c r="E71" s="202"/>
      <c r="F71" s="202"/>
      <c r="G71" s="202"/>
      <c r="H71" s="358"/>
      <c r="I71" s="358"/>
      <c r="J71" s="358"/>
      <c r="K71" s="358"/>
      <c r="L71" s="358"/>
      <c r="M71" s="358"/>
      <c r="N71" s="358"/>
    </row>
    <row r="72" spans="1:14" ht="12.95">
      <c r="A72" s="202"/>
      <c r="B72" s="202"/>
      <c r="C72" s="202"/>
      <c r="D72" s="202"/>
      <c r="E72" s="202"/>
      <c r="F72" s="202"/>
      <c r="G72" s="202"/>
      <c r="H72" s="358"/>
      <c r="I72" s="358"/>
      <c r="J72" s="358"/>
      <c r="K72" s="358"/>
      <c r="L72" s="358"/>
      <c r="M72" s="358"/>
      <c r="N72" s="358"/>
    </row>
    <row r="73" spans="1:14" ht="12.95">
      <c r="A73" s="202"/>
      <c r="B73" s="202"/>
      <c r="C73" s="202"/>
      <c r="D73" s="202"/>
      <c r="E73" s="202"/>
      <c r="F73" s="202"/>
      <c r="G73" s="202"/>
      <c r="H73" s="358"/>
      <c r="I73" s="358"/>
      <c r="J73" s="358"/>
      <c r="K73" s="358"/>
      <c r="L73" s="358"/>
      <c r="M73" s="358"/>
      <c r="N73" s="358"/>
    </row>
    <row r="74" spans="1:14" ht="12.95">
      <c r="A74" s="202"/>
      <c r="B74" s="202"/>
      <c r="C74" s="202"/>
      <c r="D74" s="202"/>
      <c r="E74" s="202"/>
      <c r="F74" s="202"/>
      <c r="G74" s="202"/>
      <c r="H74" s="358"/>
      <c r="I74" s="358"/>
      <c r="J74" s="358"/>
      <c r="K74" s="358"/>
      <c r="L74" s="358"/>
      <c r="M74" s="358"/>
      <c r="N74" s="358"/>
    </row>
    <row r="75" spans="1:14" ht="12.95">
      <c r="A75" s="202"/>
      <c r="B75" s="202"/>
      <c r="C75" s="202"/>
      <c r="D75" s="202"/>
      <c r="E75" s="202"/>
      <c r="F75" s="202"/>
      <c r="G75" s="202"/>
      <c r="H75" s="358"/>
      <c r="I75" s="358"/>
      <c r="J75" s="358"/>
      <c r="K75" s="358"/>
      <c r="L75" s="358"/>
      <c r="M75" s="358"/>
      <c r="N75" s="358"/>
    </row>
    <row r="76" spans="1:14" ht="12.95">
      <c r="A76" s="202"/>
      <c r="B76" s="202"/>
      <c r="C76" s="202"/>
      <c r="D76" s="202"/>
      <c r="E76" s="202"/>
      <c r="F76" s="202"/>
      <c r="G76" s="202"/>
      <c r="H76" s="358"/>
      <c r="I76" s="358"/>
      <c r="J76" s="358"/>
      <c r="K76" s="358"/>
      <c r="L76" s="358"/>
      <c r="M76" s="358"/>
      <c r="N76" s="358"/>
    </row>
    <row r="77" spans="1:14" ht="12.95">
      <c r="A77" s="202"/>
      <c r="B77" s="202"/>
      <c r="C77" s="202"/>
      <c r="D77" s="202"/>
      <c r="E77" s="202"/>
      <c r="F77" s="202"/>
      <c r="G77" s="202"/>
      <c r="H77" s="358"/>
      <c r="I77" s="358"/>
      <c r="J77" s="358"/>
      <c r="K77" s="358"/>
      <c r="L77" s="358"/>
      <c r="M77" s="358"/>
      <c r="N77" s="358"/>
    </row>
    <row r="78" spans="1:14" ht="12.95">
      <c r="A78" s="202"/>
      <c r="B78" s="202"/>
      <c r="C78" s="202"/>
      <c r="D78" s="202"/>
      <c r="E78" s="202"/>
      <c r="F78" s="202"/>
      <c r="G78" s="202"/>
      <c r="H78" s="358"/>
      <c r="I78" s="358"/>
      <c r="J78" s="358"/>
      <c r="K78" s="358"/>
      <c r="L78" s="358"/>
      <c r="M78" s="358"/>
      <c r="N78" s="358"/>
    </row>
    <row r="79" spans="1:14" ht="12.95">
      <c r="A79" s="202"/>
      <c r="B79" s="202"/>
      <c r="C79" s="202"/>
      <c r="D79" s="202"/>
      <c r="E79" s="202"/>
      <c r="F79" s="202"/>
      <c r="G79" s="202"/>
      <c r="H79" s="358"/>
      <c r="I79" s="358"/>
      <c r="J79" s="358"/>
      <c r="K79" s="358"/>
      <c r="L79" s="358"/>
      <c r="M79" s="358"/>
      <c r="N79" s="358"/>
    </row>
    <row r="80" spans="1:14" ht="12.95">
      <c r="A80" s="202"/>
      <c r="B80" s="202"/>
      <c r="C80" s="202"/>
      <c r="D80" s="202"/>
      <c r="E80" s="202"/>
      <c r="F80" s="202"/>
      <c r="G80" s="202"/>
      <c r="H80" s="358"/>
      <c r="I80" s="358"/>
      <c r="J80" s="358"/>
      <c r="K80" s="358"/>
      <c r="L80" s="358"/>
      <c r="M80" s="358"/>
      <c r="N80" s="358"/>
    </row>
    <row r="81" spans="1:14" ht="12.95">
      <c r="A81" s="202"/>
      <c r="B81" s="202"/>
      <c r="C81" s="202"/>
      <c r="D81" s="202"/>
      <c r="E81" s="202"/>
      <c r="F81" s="202"/>
      <c r="G81" s="202"/>
      <c r="H81" s="358"/>
      <c r="I81" s="358"/>
      <c r="J81" s="358"/>
      <c r="K81" s="358"/>
      <c r="L81" s="358"/>
      <c r="M81" s="358"/>
      <c r="N81" s="358"/>
    </row>
    <row r="82" spans="1:14" ht="12.95">
      <c r="A82" s="202"/>
      <c r="B82" s="202"/>
      <c r="C82" s="202"/>
      <c r="D82" s="202"/>
      <c r="E82" s="202"/>
      <c r="F82" s="202"/>
      <c r="G82" s="202"/>
      <c r="H82" s="358"/>
      <c r="I82" s="358"/>
      <c r="J82" s="358"/>
      <c r="K82" s="358"/>
      <c r="L82" s="358"/>
      <c r="M82" s="358"/>
      <c r="N82" s="358"/>
    </row>
    <row r="83" spans="1:14" ht="12.95">
      <c r="A83" s="202"/>
      <c r="B83" s="202"/>
      <c r="C83" s="202"/>
      <c r="D83" s="202"/>
      <c r="E83" s="202"/>
      <c r="F83" s="202"/>
      <c r="G83" s="202"/>
      <c r="H83" s="358"/>
      <c r="I83" s="358"/>
      <c r="J83" s="358"/>
      <c r="K83" s="358"/>
      <c r="L83" s="358"/>
      <c r="M83" s="358"/>
      <c r="N83" s="358"/>
    </row>
    <row r="84" spans="1:14" ht="12.95">
      <c r="A84" s="202"/>
      <c r="B84" s="202"/>
      <c r="C84" s="202"/>
      <c r="D84" s="202"/>
      <c r="E84" s="202"/>
      <c r="F84" s="202"/>
      <c r="G84" s="202"/>
      <c r="H84" s="358"/>
      <c r="I84" s="358"/>
      <c r="J84" s="358"/>
      <c r="K84" s="358"/>
      <c r="L84" s="358"/>
      <c r="M84" s="358"/>
      <c r="N84" s="358"/>
    </row>
    <row r="85" spans="1:14" ht="12.95">
      <c r="A85" s="202"/>
      <c r="B85" s="202"/>
      <c r="C85" s="202"/>
      <c r="D85" s="202"/>
      <c r="E85" s="202"/>
      <c r="F85" s="202"/>
      <c r="G85" s="202"/>
      <c r="H85" s="358"/>
      <c r="I85" s="358"/>
      <c r="J85" s="358"/>
      <c r="K85" s="358"/>
      <c r="L85" s="358"/>
      <c r="M85" s="358"/>
      <c r="N85" s="358"/>
    </row>
    <row r="86" spans="1:14" ht="12.95">
      <c r="A86" s="202"/>
      <c r="B86" s="202"/>
      <c r="C86" s="202"/>
      <c r="D86" s="202"/>
      <c r="E86" s="202"/>
      <c r="F86" s="202"/>
      <c r="G86" s="202"/>
      <c r="H86" s="358"/>
      <c r="I86" s="358"/>
      <c r="J86" s="358"/>
      <c r="K86" s="358"/>
      <c r="L86" s="358"/>
      <c r="M86" s="358"/>
      <c r="N86" s="358"/>
    </row>
    <row r="87" spans="1:14" ht="12.95">
      <c r="A87" s="202"/>
      <c r="B87" s="202"/>
      <c r="C87" s="202"/>
      <c r="D87" s="202"/>
      <c r="E87" s="202"/>
      <c r="F87" s="202"/>
      <c r="G87" s="202"/>
      <c r="H87" s="358"/>
      <c r="I87" s="358"/>
      <c r="J87" s="358"/>
      <c r="K87" s="358"/>
      <c r="L87" s="358"/>
      <c r="M87" s="358"/>
      <c r="N87" s="358"/>
    </row>
    <row r="88" spans="1:14" ht="12.95">
      <c r="A88" s="202"/>
      <c r="B88" s="202"/>
      <c r="C88" s="202"/>
      <c r="D88" s="202"/>
      <c r="E88" s="202"/>
      <c r="F88" s="202"/>
      <c r="G88" s="202"/>
      <c r="H88" s="358"/>
      <c r="I88" s="358"/>
      <c r="J88" s="358"/>
      <c r="K88" s="358"/>
      <c r="L88" s="358"/>
      <c r="M88" s="358"/>
      <c r="N88" s="358"/>
    </row>
    <row r="89" spans="1:14" ht="12.95">
      <c r="A89" s="202"/>
      <c r="B89" s="202"/>
      <c r="C89" s="202"/>
      <c r="D89" s="202"/>
      <c r="E89" s="202"/>
      <c r="F89" s="202"/>
      <c r="G89" s="202"/>
      <c r="H89" s="358"/>
      <c r="I89" s="358"/>
      <c r="J89" s="358"/>
      <c r="K89" s="358"/>
      <c r="L89" s="358"/>
      <c r="M89" s="358"/>
      <c r="N89" s="358"/>
    </row>
    <row r="90" spans="1:14" ht="12.95">
      <c r="A90" s="202"/>
      <c r="B90" s="202"/>
      <c r="C90" s="202"/>
      <c r="D90" s="202"/>
      <c r="E90" s="202"/>
      <c r="F90" s="202"/>
      <c r="G90" s="202"/>
      <c r="H90" s="358"/>
      <c r="I90" s="358"/>
      <c r="J90" s="358"/>
      <c r="K90" s="358"/>
      <c r="L90" s="358"/>
      <c r="M90" s="358"/>
      <c r="N90" s="358"/>
    </row>
    <row r="91" spans="1:14" ht="12.95">
      <c r="A91" s="202"/>
      <c r="B91" s="202"/>
      <c r="C91" s="202"/>
      <c r="D91" s="202"/>
      <c r="E91" s="202"/>
      <c r="F91" s="202"/>
      <c r="G91" s="202"/>
      <c r="H91" s="358"/>
      <c r="I91" s="358"/>
      <c r="J91" s="358"/>
      <c r="K91" s="358"/>
      <c r="L91" s="358"/>
      <c r="M91" s="358"/>
      <c r="N91" s="358"/>
    </row>
    <row r="92" spans="1:14" ht="12.95">
      <c r="A92" s="202"/>
      <c r="B92" s="202"/>
      <c r="C92" s="202"/>
      <c r="D92" s="202"/>
      <c r="E92" s="202"/>
      <c r="F92" s="202"/>
      <c r="G92" s="202"/>
      <c r="H92" s="358"/>
      <c r="I92" s="358"/>
      <c r="J92" s="358"/>
      <c r="K92" s="358"/>
      <c r="L92" s="358"/>
      <c r="M92" s="358"/>
      <c r="N92" s="358"/>
    </row>
    <row r="93" spans="1:14" ht="12.95">
      <c r="A93" s="202"/>
      <c r="B93" s="202"/>
      <c r="C93" s="202"/>
      <c r="D93" s="202"/>
      <c r="E93" s="202"/>
      <c r="F93" s="202"/>
      <c r="G93" s="202"/>
      <c r="H93" s="358"/>
      <c r="I93" s="358"/>
      <c r="J93" s="358"/>
      <c r="K93" s="358"/>
      <c r="L93" s="358"/>
      <c r="M93" s="358"/>
      <c r="N93" s="358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6"/>
  <cols>
    <col min="1" max="1" width="18.140625" customWidth="1"/>
    <col min="2" max="2" width="25.7109375" customWidth="1"/>
  </cols>
  <sheetData>
    <row r="1" spans="1:2">
      <c r="A1" t="s">
        <v>32</v>
      </c>
      <c r="B1" t="s">
        <v>33</v>
      </c>
    </row>
    <row r="2" spans="1:2">
      <c r="A2" t="s">
        <v>34</v>
      </c>
      <c r="B2" t="s">
        <v>35</v>
      </c>
    </row>
    <row r="3" spans="1:2">
      <c r="A3" t="s">
        <v>36</v>
      </c>
      <c r="B3" t="s">
        <v>37</v>
      </c>
    </row>
    <row r="4" spans="1:2">
      <c r="A4" t="s">
        <v>38</v>
      </c>
      <c r="B4" s="334">
        <v>45141.449942129628</v>
      </c>
    </row>
    <row r="5" spans="1:2">
      <c r="A5" t="s">
        <v>39</v>
      </c>
      <c r="B5" t="s">
        <v>40</v>
      </c>
    </row>
    <row r="6" spans="1:2">
      <c r="A6" t="s">
        <v>41</v>
      </c>
      <c r="B6" t="s">
        <v>42</v>
      </c>
    </row>
    <row r="40" spans="7:7">
      <c r="G40" s="30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6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ht="12.95">
      <c r="A1" s="10"/>
      <c r="B1" s="10"/>
      <c r="C1" s="10"/>
      <c r="D1" s="10"/>
      <c r="E1" s="10"/>
      <c r="F1" s="10"/>
      <c r="G1" s="172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100000000000001">
      <c r="B2" s="151" t="s">
        <v>43</v>
      </c>
    </row>
    <row r="4" spans="1:52">
      <c r="B4" s="64" t="s">
        <v>44</v>
      </c>
      <c r="C4" t="str">
        <f>Stored!B11</f>
        <v>M:/IE/Projects/Nuffield via NFER AI and automation/Data/Results/Workbooks/EN/EN_Database.Main.xlsx</v>
      </c>
    </row>
    <row r="5" spans="1:52">
      <c r="B5" s="64"/>
    </row>
    <row r="6" spans="1:52" ht="22.5" customHeight="1">
      <c r="B6" s="152" t="s">
        <v>45</v>
      </c>
      <c r="C6" s="152"/>
      <c r="D6" s="176"/>
    </row>
    <row r="7" spans="1:52" ht="15.75" customHeight="1">
      <c r="B7" s="40"/>
      <c r="C7" s="41"/>
      <c r="D7" s="42"/>
    </row>
    <row r="8" spans="1:52" ht="21" customHeight="1">
      <c r="B8" s="43"/>
      <c r="C8" s="175"/>
      <c r="D8" s="44"/>
    </row>
    <row r="10" spans="1:52" ht="17.25" customHeight="1">
      <c r="B10" s="153" t="s">
        <v>46</v>
      </c>
      <c r="C10" s="38"/>
      <c r="D10" s="38"/>
      <c r="E10" s="38"/>
      <c r="F10" s="38"/>
      <c r="G10" s="38"/>
      <c r="H10" s="39"/>
    </row>
    <row r="11" spans="1:52">
      <c r="B11" s="40"/>
      <c r="C11" s="46" t="s">
        <v>47</v>
      </c>
      <c r="D11" s="46" t="s">
        <v>48</v>
      </c>
      <c r="E11" s="46" t="s">
        <v>49</v>
      </c>
      <c r="F11" s="46" t="s">
        <v>50</v>
      </c>
      <c r="G11" s="46" t="s">
        <v>51</v>
      </c>
      <c r="H11" s="42"/>
    </row>
    <row r="12" spans="1:52" ht="12.95" thickBot="1">
      <c r="B12" s="150" t="s">
        <v>52</v>
      </c>
      <c r="C12" s="47">
        <f>'Ind T3'!B3</f>
        <v>2015</v>
      </c>
      <c r="D12" s="47">
        <f>'Ind T3'!C3</f>
        <v>2019</v>
      </c>
      <c r="E12" s="47">
        <f>'Ind T3'!D3</f>
        <v>2020</v>
      </c>
      <c r="F12" s="47">
        <f>'Ind T3'!E3</f>
        <v>2025</v>
      </c>
      <c r="G12" s="47">
        <f>'Ind T3'!F3</f>
        <v>2035</v>
      </c>
      <c r="H12" s="42"/>
    </row>
    <row r="13" spans="1:52" ht="12.95" thickBot="1">
      <c r="B13" s="181" t="s">
        <v>53</v>
      </c>
      <c r="C13" s="108">
        <v>2015</v>
      </c>
      <c r="D13" s="48">
        <v>2019</v>
      </c>
      <c r="E13" s="48">
        <v>2020</v>
      </c>
      <c r="F13" s="48">
        <v>2025</v>
      </c>
      <c r="G13" s="49">
        <v>2035</v>
      </c>
      <c r="H13" s="45"/>
    </row>
    <row r="14" spans="1:52">
      <c r="A14" s="64"/>
    </row>
    <row r="16" spans="1:52" ht="45.75" customHeight="1"/>
    <row r="17" spans="5:5" ht="15.75" customHeight="1">
      <c r="E17" s="41"/>
    </row>
    <row r="18" spans="5:5" ht="24" customHeight="1">
      <c r="E18" s="41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6"/>
  <cols>
    <col min="1" max="1" width="14.140625" customWidth="1"/>
    <col min="2" max="2" width="100.85546875" customWidth="1"/>
    <col min="3" max="3" width="9.140625" customWidth="1"/>
  </cols>
  <sheetData>
    <row r="1" spans="1:2" ht="14.1">
      <c r="A1" s="190" t="s">
        <v>54</v>
      </c>
    </row>
    <row r="2" spans="1:2">
      <c r="A2" s="64" t="s">
        <v>55</v>
      </c>
    </row>
    <row r="3" spans="1:2" s="1" customFormat="1" ht="12.95">
      <c r="A3" s="185"/>
      <c r="B3" s="185"/>
    </row>
    <row r="4" spans="1:2" s="64" customFormat="1" ht="12.95">
      <c r="A4" s="186" t="s">
        <v>56</v>
      </c>
      <c r="B4" s="186" t="s">
        <v>54</v>
      </c>
    </row>
    <row r="5" spans="1:2">
      <c r="A5" s="187" t="s">
        <v>57</v>
      </c>
      <c r="B5" s="188" t="s">
        <v>58</v>
      </c>
    </row>
    <row r="6" spans="1:2">
      <c r="A6" s="187" t="s">
        <v>59</v>
      </c>
      <c r="B6" s="188" t="s">
        <v>60</v>
      </c>
    </row>
    <row r="7" spans="1:2">
      <c r="A7" s="187" t="s">
        <v>61</v>
      </c>
      <c r="B7" s="188" t="s">
        <v>62</v>
      </c>
    </row>
    <row r="8" spans="1:2">
      <c r="A8" s="187" t="s">
        <v>63</v>
      </c>
      <c r="B8" s="188" t="s">
        <v>64</v>
      </c>
    </row>
    <row r="9" spans="1:2">
      <c r="A9" s="187" t="s">
        <v>65</v>
      </c>
      <c r="B9" s="189" t="s">
        <v>66</v>
      </c>
    </row>
    <row r="10" spans="1:2">
      <c r="A10" s="187" t="s">
        <v>67</v>
      </c>
      <c r="B10" s="189" t="s">
        <v>68</v>
      </c>
    </row>
    <row r="11" spans="1:2">
      <c r="A11" s="187" t="s">
        <v>69</v>
      </c>
      <c r="B11" s="188" t="s">
        <v>70</v>
      </c>
    </row>
    <row r="12" spans="1:2">
      <c r="A12" s="187" t="s">
        <v>71</v>
      </c>
      <c r="B12" s="188" t="s">
        <v>72</v>
      </c>
    </row>
    <row r="13" spans="1:2">
      <c r="A13" s="187" t="s">
        <v>73</v>
      </c>
      <c r="B13" s="188" t="s">
        <v>74</v>
      </c>
    </row>
    <row r="14" spans="1:2">
      <c r="A14" s="187" t="s">
        <v>75</v>
      </c>
      <c r="B14" s="188" t="s">
        <v>76</v>
      </c>
    </row>
    <row r="15" spans="1:2">
      <c r="A15" s="187" t="s">
        <v>77</v>
      </c>
      <c r="B15" s="188" t="s">
        <v>78</v>
      </c>
    </row>
    <row r="16" spans="1:2">
      <c r="A16" s="187" t="s">
        <v>79</v>
      </c>
      <c r="B16" s="188" t="s">
        <v>80</v>
      </c>
    </row>
    <row r="17" spans="1:2">
      <c r="A17" s="187" t="s">
        <v>81</v>
      </c>
      <c r="B17" s="188" t="s">
        <v>82</v>
      </c>
    </row>
    <row r="18" spans="1:2">
      <c r="A18" s="187" t="s">
        <v>83</v>
      </c>
      <c r="B18" s="188" t="s">
        <v>84</v>
      </c>
    </row>
    <row r="19" spans="1:2">
      <c r="A19" s="187" t="s">
        <v>85</v>
      </c>
      <c r="B19" s="188" t="s">
        <v>86</v>
      </c>
    </row>
    <row r="20" spans="1:2">
      <c r="A20" s="187" t="s">
        <v>87</v>
      </c>
      <c r="B20" s="188" t="s">
        <v>88</v>
      </c>
    </row>
    <row r="21" spans="1:2">
      <c r="A21" s="187" t="s">
        <v>89</v>
      </c>
      <c r="B21" s="188" t="s">
        <v>90</v>
      </c>
    </row>
    <row r="22" spans="1:2">
      <c r="A22" s="187" t="s">
        <v>91</v>
      </c>
      <c r="B22" s="188" t="s">
        <v>92</v>
      </c>
    </row>
    <row r="23" spans="1:2">
      <c r="A23" s="187" t="s">
        <v>93</v>
      </c>
      <c r="B23" s="188" t="s">
        <v>94</v>
      </c>
    </row>
    <row r="24" spans="1:2">
      <c r="A24" s="187" t="s">
        <v>95</v>
      </c>
      <c r="B24" s="188" t="s">
        <v>96</v>
      </c>
    </row>
    <row r="25" spans="1:2">
      <c r="A25" s="187" t="s">
        <v>97</v>
      </c>
      <c r="B25" s="188" t="s">
        <v>98</v>
      </c>
    </row>
    <row r="26" spans="1:2">
      <c r="A26" s="187" t="s">
        <v>99</v>
      </c>
      <c r="B26" s="188" t="s">
        <v>100</v>
      </c>
    </row>
    <row r="27" spans="1:2">
      <c r="A27" s="187" t="s">
        <v>101</v>
      </c>
      <c r="B27" s="188" t="s">
        <v>102</v>
      </c>
    </row>
    <row r="28" spans="1:2">
      <c r="A28" s="187" t="s">
        <v>103</v>
      </c>
      <c r="B28" s="188" t="s">
        <v>104</v>
      </c>
    </row>
    <row r="29" spans="1:2">
      <c r="A29" s="187" t="s">
        <v>105</v>
      </c>
      <c r="B29" s="188" t="s">
        <v>106</v>
      </c>
    </row>
    <row r="30" spans="1:2">
      <c r="A30" s="187" t="s">
        <v>107</v>
      </c>
      <c r="B30" s="188" t="s">
        <v>108</v>
      </c>
    </row>
    <row r="31" spans="1:2">
      <c r="A31" s="187" t="s">
        <v>109</v>
      </c>
      <c r="B31" s="188" t="s">
        <v>110</v>
      </c>
    </row>
    <row r="32" spans="1:2">
      <c r="A32" s="187" t="s">
        <v>111</v>
      </c>
      <c r="B32" s="188" t="s">
        <v>112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6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6">
      <c r="A1" s="17" t="str">
        <f>CONCATENATE("Industry Table 1  Employment by Industry Sector (SIC 2007), ",B$5,"-",F$5,", ",Info!B5)</f>
        <v>Industry Table 1  Employment by Industry Sector (SIC 2007), 2015-2035, England</v>
      </c>
      <c r="L1" s="17" t="str">
        <f>CONCATENATE("Industry Table 1.1  Employment by Industry Sector (SIC 2007), ",B$5,"-",F$5,", ",Info!B5)</f>
        <v>Industry Table 1.1  Employment by Industry Sector (SIC 2007), 2015-2035, England</v>
      </c>
    </row>
    <row r="2" spans="1:19" ht="12.95">
      <c r="A2" s="1" t="s">
        <v>113</v>
      </c>
      <c r="F2" s="15"/>
      <c r="J2" s="15" t="s">
        <v>114</v>
      </c>
    </row>
    <row r="3" spans="1:19" ht="12.95">
      <c r="A3" s="28"/>
      <c r="B3" s="28"/>
      <c r="C3" s="28"/>
      <c r="D3" s="28"/>
      <c r="E3" s="28"/>
      <c r="F3" s="28"/>
      <c r="G3" s="16"/>
      <c r="H3" s="23" t="str">
        <f>CONCATENATE(D5,"-",F5)</f>
        <v>2020-2035</v>
      </c>
      <c r="I3" s="28"/>
      <c r="J3" s="28"/>
      <c r="K3" s="16"/>
      <c r="O3" s="1" t="s">
        <v>115</v>
      </c>
      <c r="R3" s="60" t="s">
        <v>116</v>
      </c>
    </row>
    <row r="4" spans="1:19" ht="12.95">
      <c r="G4" s="10"/>
      <c r="H4" s="15" t="s">
        <v>117</v>
      </c>
      <c r="I4" s="15" t="s">
        <v>118</v>
      </c>
      <c r="J4" s="15" t="s">
        <v>119</v>
      </c>
      <c r="K4" s="10"/>
      <c r="L4" s="19"/>
      <c r="M4" s="20">
        <f>B5</f>
        <v>2015</v>
      </c>
      <c r="N4" s="20">
        <f>C5</f>
        <v>2019</v>
      </c>
      <c r="O4" s="20">
        <f>D5</f>
        <v>2020</v>
      </c>
      <c r="P4" s="20">
        <f>E5</f>
        <v>2025</v>
      </c>
      <c r="Q4" s="20">
        <f>F5</f>
        <v>2035</v>
      </c>
      <c r="R4" s="59" t="str">
        <f>CONCATENATE(B$5,"-",D$5)</f>
        <v>2015-2020</v>
      </c>
      <c r="S4" s="59" t="str">
        <f>F33</f>
        <v>2020-2035</v>
      </c>
    </row>
    <row r="5" spans="1:19" ht="12.95">
      <c r="A5" s="21"/>
      <c r="B5" s="27">
        <f>'Ind T3'!B3</f>
        <v>2015</v>
      </c>
      <c r="C5" s="27">
        <f>'Ind T3'!C3</f>
        <v>2019</v>
      </c>
      <c r="D5" s="27">
        <f>'Ind T3'!D3</f>
        <v>2020</v>
      </c>
      <c r="E5" s="27">
        <f>'Ind T3'!E3</f>
        <v>2025</v>
      </c>
      <c r="F5" s="27">
        <f>'Ind T3'!F3</f>
        <v>2035</v>
      </c>
      <c r="G5" s="11"/>
      <c r="H5" s="50" t="s">
        <v>120</v>
      </c>
      <c r="I5" s="50" t="s">
        <v>121</v>
      </c>
      <c r="J5" s="50" t="s">
        <v>122</v>
      </c>
      <c r="K5" s="11"/>
      <c r="L5" t="str">
        <f t="shared" ref="L5:Q10" si="0">A7</f>
        <v>Primary sector and utilities</v>
      </c>
      <c r="M5" s="11">
        <f t="shared" si="0"/>
        <v>555.1960000004118</v>
      </c>
      <c r="N5" s="11">
        <f t="shared" si="0"/>
        <v>598.95700000140334</v>
      </c>
      <c r="O5" s="11">
        <f t="shared" si="0"/>
        <v>554.5439999979626</v>
      </c>
      <c r="P5" s="11">
        <f t="shared" si="0"/>
        <v>561.28600000016547</v>
      </c>
      <c r="Q5" s="11">
        <f t="shared" si="0"/>
        <v>571.78500000015674</v>
      </c>
      <c r="R5" s="30">
        <f>IF(D$5-B$5 &lt;&gt; 0,(EXP(LN(D7/B7)/(D$5-B$5))-1)*100,0)</f>
        <v>-2.3498241757269334E-2</v>
      </c>
      <c r="S5" s="30">
        <f>F34</f>
        <v>0.20432106620318358</v>
      </c>
    </row>
    <row r="6" spans="1:19" ht="12.95">
      <c r="A6" s="1" t="s">
        <v>115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2197.6419999990994</v>
      </c>
      <c r="N6" s="11">
        <f t="shared" si="0"/>
        <v>2254.4499999968243</v>
      </c>
      <c r="O6" s="11">
        <f t="shared" si="0"/>
        <v>2208.4099999961977</v>
      </c>
      <c r="P6" s="11">
        <f t="shared" si="0"/>
        <v>2130.7230000112386</v>
      </c>
      <c r="Q6" s="11">
        <f t="shared" si="0"/>
        <v>1959.1610000136038</v>
      </c>
      <c r="R6" s="30">
        <f t="shared" ref="R6:R10" si="1">IF(D$5-B$5 &lt;&gt; 0,(EXP(LN(D8/B8)/(D$5-B$5))-1)*100,0)</f>
        <v>9.7804441517013174E-2</v>
      </c>
      <c r="S6" s="30">
        <f t="shared" ref="S6:S12" si="2">F35</f>
        <v>-0.79519796718666713</v>
      </c>
    </row>
    <row r="7" spans="1:19">
      <c r="A7" t="str">
        <f>name!C4</f>
        <v>Primary sector and utilities</v>
      </c>
      <c r="B7" s="11">
        <f t="array" ref="B7:B12">MMULT(aggregation!$B$28:$BX$33,'Ind T3'!B5:B79)</f>
        <v>555.1960000004118</v>
      </c>
      <c r="C7" s="11">
        <f t="array" ref="C7:C12">MMULT(aggregation!$B$28:$BX$33,'Ind T3'!C5:C79)</f>
        <v>598.95700000140334</v>
      </c>
      <c r="D7" s="11">
        <f t="array" ref="D7:D12">MMULT(aggregation!$B$28:$BX$33,'Ind T3'!D5:D79)</f>
        <v>554.5439999979626</v>
      </c>
      <c r="E7" s="11">
        <f t="array" ref="E7:E12">MMULT(aggregation!$B$28:$BX$33,'Ind T3'!E5:E79)</f>
        <v>561.28600000016547</v>
      </c>
      <c r="F7" s="11">
        <f t="array" ref="F7:F12">MMULT(aggregation!$B$28:$BX$33,'Ind T3'!F5:F79)</f>
        <v>571.78500000015674</v>
      </c>
      <c r="G7" s="11"/>
      <c r="H7" s="11">
        <f>F7-D7</f>
        <v>17.241000002194141</v>
      </c>
      <c r="I7" s="11">
        <f t="array" ref="I7:I12">MMULT(aggregation!$B$28:$BX$33,'RD T1'!AB7:AB81)</f>
        <v>264.27520364893655</v>
      </c>
      <c r="J7" s="11">
        <f>SUM(H7:I7)</f>
        <v>281.5162036511307</v>
      </c>
      <c r="K7" s="11"/>
      <c r="L7" t="str">
        <f t="shared" si="0"/>
        <v>Construction</v>
      </c>
      <c r="M7" s="11">
        <f t="shared" si="0"/>
        <v>1800.353999982347</v>
      </c>
      <c r="N7" s="11">
        <f t="shared" si="0"/>
        <v>1996.7570000194817</v>
      </c>
      <c r="O7" s="11">
        <f t="shared" si="0"/>
        <v>1999.7949999724015</v>
      </c>
      <c r="P7" s="11">
        <f t="shared" si="0"/>
        <v>2097.9509999228385</v>
      </c>
      <c r="Q7" s="11">
        <f t="shared" si="0"/>
        <v>2251.9169999326928</v>
      </c>
      <c r="R7" s="30">
        <f t="shared" si="1"/>
        <v>2.1234584778490717</v>
      </c>
      <c r="S7" s="30">
        <f t="shared" si="2"/>
        <v>0.7947224746771564</v>
      </c>
    </row>
    <row r="8" spans="1:19">
      <c r="A8" t="str">
        <f>name!C5</f>
        <v>Manufacturing</v>
      </c>
      <c r="B8" s="11">
        <v>2197.6419999990994</v>
      </c>
      <c r="C8" s="11">
        <v>2254.4499999968243</v>
      </c>
      <c r="D8" s="11">
        <v>2208.4099999961977</v>
      </c>
      <c r="E8" s="11">
        <v>2130.7230000112386</v>
      </c>
      <c r="F8" s="11">
        <v>1959.1610000136038</v>
      </c>
      <c r="G8" s="11"/>
      <c r="H8" s="11">
        <f t="shared" ref="H8:H12" si="3">F8-D8</f>
        <v>-249.24899998259389</v>
      </c>
      <c r="I8" s="11">
        <v>891.70687725358357</v>
      </c>
      <c r="J8" s="11">
        <f t="shared" ref="J8:J12" si="4">SUM(H8:I8)</f>
        <v>642.45787727098968</v>
      </c>
      <c r="K8" s="11"/>
      <c r="L8" t="str">
        <f t="shared" si="0"/>
        <v>Trade, accomod. and transport</v>
      </c>
      <c r="M8" s="11">
        <f t="shared" si="0"/>
        <v>7525.0560001205195</v>
      </c>
      <c r="N8" s="11">
        <f t="shared" si="0"/>
        <v>8007.910000077828</v>
      </c>
      <c r="O8" s="11">
        <f t="shared" si="0"/>
        <v>7878.5050000438659</v>
      </c>
      <c r="P8" s="11">
        <f t="shared" si="0"/>
        <v>8105.1010001723571</v>
      </c>
      <c r="Q8" s="11">
        <f t="shared" si="0"/>
        <v>8490.7950001689132</v>
      </c>
      <c r="R8" s="30">
        <f t="shared" si="1"/>
        <v>0.92222477880190556</v>
      </c>
      <c r="S8" s="30">
        <f t="shared" si="2"/>
        <v>0.50021003051778923</v>
      </c>
    </row>
    <row r="9" spans="1:19">
      <c r="A9" t="str">
        <f>name!C6</f>
        <v>Construction</v>
      </c>
      <c r="B9" s="11">
        <v>1800.353999982347</v>
      </c>
      <c r="C9" s="11">
        <v>1996.7570000194817</v>
      </c>
      <c r="D9" s="11">
        <v>1999.7949999724015</v>
      </c>
      <c r="E9" s="11">
        <v>2097.9509999228385</v>
      </c>
      <c r="F9" s="11">
        <v>2251.9169999326928</v>
      </c>
      <c r="G9" s="11"/>
      <c r="H9" s="11">
        <f t="shared" si="3"/>
        <v>252.1219999602913</v>
      </c>
      <c r="I9" s="11">
        <v>892.97297550160602</v>
      </c>
      <c r="J9" s="11">
        <f t="shared" si="4"/>
        <v>1145.0949754618973</v>
      </c>
      <c r="K9" s="11"/>
      <c r="L9" t="str">
        <f t="shared" si="0"/>
        <v>Business and other services</v>
      </c>
      <c r="M9" s="11">
        <f t="shared" si="0"/>
        <v>9528.638999968709</v>
      </c>
      <c r="N9" s="11">
        <f t="shared" si="0"/>
        <v>10098.704999956526</v>
      </c>
      <c r="O9" s="11">
        <f t="shared" si="0"/>
        <v>9932.1719999800243</v>
      </c>
      <c r="P9" s="11">
        <f t="shared" si="0"/>
        <v>10297.576000103092</v>
      </c>
      <c r="Q9" s="11">
        <f t="shared" si="0"/>
        <v>10865.118000120061</v>
      </c>
      <c r="R9" s="30">
        <f t="shared" si="1"/>
        <v>0.83299606432851725</v>
      </c>
      <c r="S9" s="30">
        <f t="shared" si="2"/>
        <v>0.60031664774355953</v>
      </c>
    </row>
    <row r="10" spans="1:19">
      <c r="A10" t="str">
        <f>name!C7</f>
        <v>Trade, accomod. and transport</v>
      </c>
      <c r="B10" s="11">
        <v>7525.0560001205195</v>
      </c>
      <c r="C10" s="11">
        <v>8007.910000077828</v>
      </c>
      <c r="D10" s="11">
        <v>7878.5050000438659</v>
      </c>
      <c r="E10" s="11">
        <v>8105.1010001723571</v>
      </c>
      <c r="F10" s="11">
        <v>8490.7950001689132</v>
      </c>
      <c r="G10" s="11"/>
      <c r="H10" s="11">
        <f t="shared" si="3"/>
        <v>612.2900001250473</v>
      </c>
      <c r="I10" s="11">
        <v>3915.2459377599589</v>
      </c>
      <c r="J10" s="11">
        <f t="shared" si="4"/>
        <v>4527.5359378850062</v>
      </c>
      <c r="K10" s="11"/>
      <c r="L10" t="str">
        <f t="shared" si="0"/>
        <v>Non-marketed services</v>
      </c>
      <c r="M10" s="11">
        <f t="shared" si="0"/>
        <v>7049.2849999266746</v>
      </c>
      <c r="N10" s="11">
        <f t="shared" si="0"/>
        <v>7255.9809999418103</v>
      </c>
      <c r="O10" s="11">
        <f t="shared" si="0"/>
        <v>7286.2550000047495</v>
      </c>
      <c r="P10" s="11">
        <f t="shared" si="0"/>
        <v>7562.1109998010315</v>
      </c>
      <c r="Q10" s="11">
        <f t="shared" si="0"/>
        <v>7931.3149997771043</v>
      </c>
      <c r="R10" s="30">
        <f t="shared" si="1"/>
        <v>0.6634612852280064</v>
      </c>
      <c r="S10" s="30">
        <f t="shared" si="2"/>
        <v>0.56712980146322867</v>
      </c>
    </row>
    <row r="11" spans="1:19">
      <c r="A11" t="str">
        <f>name!C8</f>
        <v>Business and other services</v>
      </c>
      <c r="B11" s="11">
        <v>9528.638999968709</v>
      </c>
      <c r="C11" s="11">
        <v>10098.704999956526</v>
      </c>
      <c r="D11" s="11">
        <v>9932.1719999800243</v>
      </c>
      <c r="E11" s="11">
        <v>10297.576000103092</v>
      </c>
      <c r="F11" s="11">
        <v>10865.118000120061</v>
      </c>
      <c r="G11" s="11"/>
      <c r="H11" s="11">
        <f t="shared" si="3"/>
        <v>932.94600014003663</v>
      </c>
      <c r="I11" s="11">
        <v>5009.640559209538</v>
      </c>
      <c r="J11" s="11">
        <f t="shared" si="4"/>
        <v>5942.5865593495746</v>
      </c>
      <c r="K11" s="11"/>
      <c r="M11" s="11"/>
      <c r="N11" s="11"/>
      <c r="O11" s="11"/>
      <c r="P11" s="11"/>
      <c r="Q11" s="11"/>
      <c r="R11" s="30"/>
      <c r="S11" s="30"/>
    </row>
    <row r="12" spans="1:19">
      <c r="A12" t="str">
        <f>name!C9</f>
        <v>Non-marketed services</v>
      </c>
      <c r="B12" s="11">
        <v>7049.2849999266746</v>
      </c>
      <c r="C12" s="11">
        <v>7255.9809999418103</v>
      </c>
      <c r="D12" s="11">
        <v>7286.2550000047495</v>
      </c>
      <c r="E12" s="11">
        <v>7562.1109998010315</v>
      </c>
      <c r="F12" s="11">
        <v>7931.3149997771043</v>
      </c>
      <c r="G12" s="11"/>
      <c r="H12" s="11">
        <f t="shared" si="3"/>
        <v>645.05999977235479</v>
      </c>
      <c r="I12" s="11">
        <v>4086.6551116095966</v>
      </c>
      <c r="J12" s="11">
        <f t="shared" si="4"/>
        <v>4731.7151113819509</v>
      </c>
      <c r="K12" s="11"/>
      <c r="L12" s="21" t="str">
        <f t="shared" ref="L12:Q12" si="5">A14</f>
        <v>All industries</v>
      </c>
      <c r="M12" s="26">
        <f t="shared" si="5"/>
        <v>28656.171999997765</v>
      </c>
      <c r="N12" s="26">
        <f t="shared" si="5"/>
        <v>30212.759999993872</v>
      </c>
      <c r="O12" s="26">
        <f t="shared" si="5"/>
        <v>29859.680999995202</v>
      </c>
      <c r="P12" s="26">
        <f t="shared" si="5"/>
        <v>30754.748000010724</v>
      </c>
      <c r="Q12" s="26">
        <f t="shared" si="5"/>
        <v>32070.09100001253</v>
      </c>
      <c r="R12" s="33">
        <f>IF(D$5-B$5 &lt;&gt; 0,(EXP(LN(D14/B14)/(D$5-B$5))-1)*100,0)</f>
        <v>0.82619957207434869</v>
      </c>
      <c r="S12" s="33">
        <f t="shared" si="2"/>
        <v>0.47723343115717576</v>
      </c>
    </row>
    <row r="13" spans="1:19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>
      <c r="A14" s="21" t="str">
        <f>name!C3</f>
        <v>All industries</v>
      </c>
      <c r="B14" s="26">
        <f>SUM(B7:B12)</f>
        <v>28656.171999997765</v>
      </c>
      <c r="C14" s="26">
        <f t="shared" ref="C14:F14" si="6">SUM(C7:C12)</f>
        <v>30212.759999993872</v>
      </c>
      <c r="D14" s="26">
        <f t="shared" si="6"/>
        <v>29859.680999995202</v>
      </c>
      <c r="E14" s="26">
        <f t="shared" si="6"/>
        <v>30754.748000010724</v>
      </c>
      <c r="F14" s="26">
        <f t="shared" si="6"/>
        <v>32070.09100001253</v>
      </c>
      <c r="G14" s="26"/>
      <c r="H14" s="26">
        <f>SUM(H7:H12)</f>
        <v>2210.4100000173303</v>
      </c>
      <c r="I14" s="26">
        <f>SUM(I7:I12)</f>
        <v>15060.496664983219</v>
      </c>
      <c r="J14" s="26">
        <f t="shared" ref="J14" si="7">SUM(J7:J12)</f>
        <v>17270.906665000548</v>
      </c>
      <c r="K14" s="11"/>
      <c r="L14" s="11"/>
    </row>
    <row r="15" spans="1:19" ht="12.95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ht="12.95">
      <c r="B16" s="11"/>
      <c r="C16" s="11"/>
      <c r="D16" s="11"/>
      <c r="E16" s="11"/>
      <c r="F16" s="11"/>
      <c r="G16" s="335"/>
      <c r="H16" s="16"/>
      <c r="I16" s="16"/>
      <c r="J16" s="318" t="s">
        <v>123</v>
      </c>
      <c r="K16" s="335"/>
      <c r="L16" s="11"/>
    </row>
    <row r="17" spans="1:12" ht="12.95">
      <c r="A17" s="28"/>
      <c r="B17" s="52"/>
      <c r="C17" s="52"/>
      <c r="D17" s="52"/>
      <c r="E17" s="52"/>
      <c r="F17" s="52"/>
      <c r="G17" s="335"/>
      <c r="H17" s="23" t="str">
        <f>CONCATENATE(D19,"-",F19)</f>
        <v>2020-2035</v>
      </c>
      <c r="I17" s="28"/>
      <c r="J17" s="28"/>
      <c r="K17" s="335"/>
      <c r="L17" s="11"/>
    </row>
    <row r="18" spans="1:12">
      <c r="B18" s="11"/>
      <c r="C18" s="11"/>
      <c r="D18" s="11"/>
      <c r="E18" s="11"/>
      <c r="F18" s="11"/>
      <c r="G18" s="335"/>
      <c r="H18" s="15" t="s">
        <v>117</v>
      </c>
      <c r="I18" s="15" t="s">
        <v>118</v>
      </c>
      <c r="J18" s="15" t="s">
        <v>119</v>
      </c>
      <c r="K18" s="335"/>
      <c r="L18" s="11"/>
    </row>
    <row r="19" spans="1:12" ht="12.95">
      <c r="A19" s="31" t="s">
        <v>124</v>
      </c>
      <c r="B19" s="27">
        <f>B$5</f>
        <v>2015</v>
      </c>
      <c r="C19" s="27">
        <f>C$5</f>
        <v>2019</v>
      </c>
      <c r="D19" s="27">
        <f>D$5</f>
        <v>2020</v>
      </c>
      <c r="E19" s="27">
        <f>E$5</f>
        <v>2025</v>
      </c>
      <c r="F19" s="27">
        <f>F$5</f>
        <v>2035</v>
      </c>
      <c r="G19" s="335"/>
      <c r="H19" s="50" t="s">
        <v>120</v>
      </c>
      <c r="I19" s="50" t="s">
        <v>121</v>
      </c>
      <c r="J19" s="50" t="s">
        <v>122</v>
      </c>
      <c r="K19" s="335"/>
      <c r="L19" s="11"/>
    </row>
    <row r="20" spans="1:12">
      <c r="A20" t="str">
        <f>$A$7</f>
        <v>Primary sector and utilities</v>
      </c>
      <c r="B20" s="335">
        <f>B7/B$14*100</f>
        <v>1.9374395156493867</v>
      </c>
      <c r="C20" s="335">
        <f>C7/C$14*100</f>
        <v>1.9824637007725372</v>
      </c>
      <c r="D20" s="335">
        <f>D7/D$14*100</f>
        <v>1.8571665249807985</v>
      </c>
      <c r="E20" s="335">
        <f>E7/E$14*100</f>
        <v>1.8250385273843563</v>
      </c>
      <c r="F20" s="335">
        <f>F7/F$14*100</f>
        <v>1.7829229109450715</v>
      </c>
      <c r="G20" s="335"/>
      <c r="H20" s="30">
        <f>IF(D7&gt;0,(H7/D7)*100,0)</f>
        <v>3.109040942153821</v>
      </c>
      <c r="I20" s="30">
        <f>IF(D7&gt;0,(I7/D7)*100,0)</f>
        <v>47.656309264892869</v>
      </c>
      <c r="J20" s="30">
        <f>IF(D7&gt;0,(J7/D7)*100,0)</f>
        <v>50.765350207046687</v>
      </c>
      <c r="K20" s="335"/>
      <c r="L20" s="11"/>
    </row>
    <row r="21" spans="1:12">
      <c r="A21" t="str">
        <f>$A$8</f>
        <v>Manufacturing</v>
      </c>
      <c r="B21" s="335">
        <f t="shared" ref="B21:F27" si="8">B8/B$14*100</f>
        <v>7.6690005908649299</v>
      </c>
      <c r="C21" s="335">
        <f t="shared" si="8"/>
        <v>7.4619134431852032</v>
      </c>
      <c r="D21" s="335">
        <f t="shared" si="8"/>
        <v>7.3959597893780327</v>
      </c>
      <c r="E21" s="335">
        <f t="shared" si="8"/>
        <v>6.9281107424794888</v>
      </c>
      <c r="F21" s="335">
        <f t="shared" si="8"/>
        <v>6.1089973209394337</v>
      </c>
      <c r="G21" s="335"/>
      <c r="H21" s="30">
        <f t="shared" ref="H21:H25" si="9">IF(D8&gt;0,(H8/D8)*100,0)</f>
        <v>-11.286355340857133</v>
      </c>
      <c r="I21" s="30">
        <f t="shared" ref="I21:I25" si="10">IF(D8&gt;0,(I8/D8)*100,0)</f>
        <v>40.377777552860152</v>
      </c>
      <c r="J21" s="30">
        <f t="shared" ref="J21:J25" si="11">IF(D8&gt;0,(J8/D8)*100,0)</f>
        <v>29.091422212003014</v>
      </c>
      <c r="K21" s="335"/>
      <c r="L21" s="11"/>
    </row>
    <row r="22" spans="1:12">
      <c r="A22" t="str">
        <f>$A$9</f>
        <v>Construction</v>
      </c>
      <c r="B22" s="335">
        <f t="shared" si="8"/>
        <v>6.2826046688388368</v>
      </c>
      <c r="C22" s="335">
        <f t="shared" si="8"/>
        <v>6.6089857398658278</v>
      </c>
      <c r="D22" s="335">
        <f t="shared" si="8"/>
        <v>6.697308655014508</v>
      </c>
      <c r="E22" s="335">
        <f t="shared" si="8"/>
        <v>6.8215515858627978</v>
      </c>
      <c r="F22" s="335">
        <f t="shared" si="8"/>
        <v>7.0218603368846475</v>
      </c>
      <c r="G22" s="335"/>
      <c r="H22" s="30">
        <f t="shared" si="9"/>
        <v>12.607392255894768</v>
      </c>
      <c r="I22" s="30">
        <f t="shared" si="10"/>
        <v>44.653225731333947</v>
      </c>
      <c r="J22" s="30">
        <f t="shared" si="11"/>
        <v>57.260617987228713</v>
      </c>
      <c r="K22" s="335"/>
      <c r="L22" s="11"/>
    </row>
    <row r="23" spans="1:12">
      <c r="A23" t="str">
        <f>$A$10</f>
        <v>Trade, accomod. and transport</v>
      </c>
      <c r="B23" s="335">
        <f t="shared" si="8"/>
        <v>26.259808882083433</v>
      </c>
      <c r="C23" s="335">
        <f t="shared" si="8"/>
        <v>26.50505945196484</v>
      </c>
      <c r="D23" s="335">
        <f t="shared" si="8"/>
        <v>26.385094335217889</v>
      </c>
      <c r="E23" s="335">
        <f t="shared" si="8"/>
        <v>26.353982806718268</v>
      </c>
      <c r="F23" s="335">
        <f t="shared" si="8"/>
        <v>26.475743396442486</v>
      </c>
      <c r="G23" s="335"/>
      <c r="H23" s="30">
        <f t="shared" si="9"/>
        <v>7.7716521106686889</v>
      </c>
      <c r="I23" s="30">
        <f t="shared" si="10"/>
        <v>49.695290384891038</v>
      </c>
      <c r="J23" s="30">
        <f t="shared" si="11"/>
        <v>57.466942495559728</v>
      </c>
      <c r="K23" s="335"/>
      <c r="L23" s="11"/>
    </row>
    <row r="24" spans="1:12">
      <c r="A24" t="str">
        <f>$A$11</f>
        <v>Business and other services</v>
      </c>
      <c r="B24" s="335">
        <f t="shared" si="8"/>
        <v>33.251611554988756</v>
      </c>
      <c r="C24" s="335">
        <f t="shared" si="8"/>
        <v>33.425297787949773</v>
      </c>
      <c r="D24" s="335">
        <f t="shared" si="8"/>
        <v>33.262820188807844</v>
      </c>
      <c r="E24" s="335">
        <f t="shared" si="8"/>
        <v>33.482882058079291</v>
      </c>
      <c r="F24" s="335">
        <f t="shared" si="8"/>
        <v>33.879286466994486</v>
      </c>
      <c r="G24" s="335"/>
      <c r="H24" s="30">
        <f t="shared" si="9"/>
        <v>9.3931720085185084</v>
      </c>
      <c r="I24" s="30">
        <f t="shared" si="10"/>
        <v>50.438519985554152</v>
      </c>
      <c r="J24" s="30">
        <f t="shared" si="11"/>
        <v>59.831691994072656</v>
      </c>
      <c r="K24" s="335"/>
    </row>
    <row r="25" spans="1:12">
      <c r="A25" t="str">
        <f>$A$12</f>
        <v>Non-marketed services</v>
      </c>
      <c r="B25" s="335">
        <f t="shared" si="8"/>
        <v>24.599534787574644</v>
      </c>
      <c r="C25" s="335">
        <f t="shared" si="8"/>
        <v>24.016279876261827</v>
      </c>
      <c r="D25" s="335">
        <f t="shared" si="8"/>
        <v>24.401650506600923</v>
      </c>
      <c r="E25" s="335">
        <f t="shared" si="8"/>
        <v>24.588434279475788</v>
      </c>
      <c r="F25" s="335">
        <f t="shared" si="8"/>
        <v>24.731189567793884</v>
      </c>
      <c r="G25" s="335"/>
      <c r="H25" s="30">
        <f t="shared" si="9"/>
        <v>8.8531076632911461</v>
      </c>
      <c r="I25" s="30">
        <f t="shared" si="10"/>
        <v>56.087182120402488</v>
      </c>
      <c r="J25" s="30">
        <f t="shared" si="11"/>
        <v>64.940289783693643</v>
      </c>
      <c r="K25" s="335"/>
      <c r="L25" s="11"/>
    </row>
    <row r="26" spans="1:12">
      <c r="B26" s="335"/>
      <c r="C26" s="335"/>
      <c r="D26" s="335"/>
      <c r="E26" s="335"/>
      <c r="F26" s="335"/>
      <c r="G26" s="335"/>
      <c r="H26" s="30"/>
      <c r="I26" s="30"/>
      <c r="J26" s="30"/>
      <c r="K26" s="335"/>
      <c r="L26" s="11"/>
    </row>
    <row r="27" spans="1:12">
      <c r="A27" s="21" t="str">
        <f>$A$14</f>
        <v>All industries</v>
      </c>
      <c r="B27" s="336">
        <f t="shared" si="8"/>
        <v>100</v>
      </c>
      <c r="C27" s="336">
        <f t="shared" si="8"/>
        <v>100</v>
      </c>
      <c r="D27" s="336">
        <f t="shared" si="8"/>
        <v>100</v>
      </c>
      <c r="E27" s="336">
        <f t="shared" si="8"/>
        <v>100</v>
      </c>
      <c r="F27" s="336">
        <f t="shared" si="8"/>
        <v>100</v>
      </c>
      <c r="G27" s="335"/>
      <c r="H27" s="33">
        <f>IF(D14&gt;0,(H14/D14)*100,0)</f>
        <v>7.4026577846484214</v>
      </c>
      <c r="I27" s="33">
        <f>IF(D14&gt;0,(I14/D14)*100,0)</f>
        <v>50.437567182936881</v>
      </c>
      <c r="J27" s="33">
        <f>IF(D14&gt;0,(J14/D14)*100,0)</f>
        <v>57.8402249675853</v>
      </c>
      <c r="K27" s="335"/>
      <c r="L27" s="11"/>
    </row>
    <row r="28" spans="1:12">
      <c r="B28" s="335"/>
      <c r="C28" s="335"/>
      <c r="D28" s="335"/>
      <c r="E28" s="335"/>
      <c r="F28" s="335"/>
      <c r="G28" s="335"/>
      <c r="H28" s="335"/>
      <c r="I28" s="335"/>
      <c r="J28" s="335"/>
      <c r="K28" s="335"/>
      <c r="L28" s="11"/>
    </row>
    <row r="29" spans="1:12">
      <c r="B29" s="335"/>
      <c r="C29" s="335"/>
      <c r="D29" s="335"/>
      <c r="E29" s="335"/>
      <c r="F29" s="335"/>
      <c r="G29" s="335"/>
      <c r="H29" s="335"/>
      <c r="I29" s="335"/>
      <c r="J29" s="335"/>
      <c r="K29" s="335"/>
      <c r="L29" s="11"/>
    </row>
    <row r="30" spans="1:12">
      <c r="B30" s="335"/>
      <c r="C30" s="335"/>
      <c r="D30" s="335"/>
      <c r="E30" s="335"/>
      <c r="F30" s="335"/>
      <c r="H30" s="335"/>
      <c r="I30" s="335"/>
      <c r="J30" s="335"/>
    </row>
    <row r="31" spans="1:12" ht="15.6">
      <c r="A31" s="170" t="str">
        <f>CONCATENATE(A1," (Continued)")</f>
        <v>Industry Table 1  Employment by Industry Sector (SIC 2007), 2015-2035, England (Continued)</v>
      </c>
      <c r="B31" s="335"/>
      <c r="C31" s="335"/>
      <c r="D31" s="335"/>
      <c r="E31" s="335"/>
      <c r="F31" s="335"/>
      <c r="G31" s="18"/>
      <c r="K31" s="18"/>
    </row>
    <row r="32" spans="1:12" ht="12.95">
      <c r="G32" s="335"/>
      <c r="H32" s="18"/>
      <c r="I32" s="18"/>
      <c r="J32" s="18"/>
      <c r="K32" s="335"/>
    </row>
    <row r="33" spans="1:11" ht="12.95">
      <c r="A33" s="171" t="s">
        <v>125</v>
      </c>
      <c r="B33" s="22" t="str">
        <f>CONCATENATE(B$5,"-",C$5)</f>
        <v>2015-2019</v>
      </c>
      <c r="C33" s="22" t="str">
        <f>CONCATENATE(C$5,"-",D$5)</f>
        <v>2019-2020</v>
      </c>
      <c r="D33" s="22" t="str">
        <f>CONCATENATE(D$5,"-",E$5)</f>
        <v>2020-2025</v>
      </c>
      <c r="E33" s="22" t="str">
        <f>CONCATENATE(E$5,"-",F$5)</f>
        <v>2025-2035</v>
      </c>
      <c r="F33" s="22" t="str">
        <f>CONCATENATE(D$5,"-",F$5)</f>
        <v>2020-2035</v>
      </c>
      <c r="G33" s="335"/>
      <c r="H33" s="335"/>
      <c r="I33" s="335"/>
      <c r="J33" s="335"/>
      <c r="K33" s="335"/>
    </row>
    <row r="34" spans="1:11">
      <c r="A34" t="str">
        <f>$A$7</f>
        <v>Primary sector and utilities</v>
      </c>
      <c r="B34" s="335">
        <f>IF(C$5-B$5 &lt;&gt; 0,(EXP(LN(C7/B7)/(C$5-B$5))-1)*100,0)</f>
        <v>1.9148170241051421</v>
      </c>
      <c r="C34" s="335">
        <f>IF(D$5-C$5 &lt;&gt; 0,(EXP(LN(D7/C7)/(D$5-C$5))-1)*100,0)</f>
        <v>-7.4150565071176562</v>
      </c>
      <c r="D34" s="335">
        <f>IF(E$5-D$5 &lt;&gt; 0,(EXP(LN(E7/D7)/(E$5-D$5))-1)*100,0)</f>
        <v>0.24198080477286776</v>
      </c>
      <c r="E34" s="335">
        <f>IF(F$5-E$5 &lt;&gt; 0,(EXP(LN(F7/E7)/(F$5-E$5))-1)*100,0)</f>
        <v>0.18549650287165154</v>
      </c>
      <c r="F34" s="335">
        <f>IF(F$5-D$5 &lt;&gt; 0,(EXP(LN(F7/D7)/(F$5-D$5))-1)*100,0)</f>
        <v>0.20432106620318358</v>
      </c>
      <c r="G34" s="335"/>
      <c r="H34" s="335"/>
      <c r="I34" s="335"/>
      <c r="J34" s="335"/>
      <c r="K34" s="335"/>
    </row>
    <row r="35" spans="1:11">
      <c r="A35" t="str">
        <f>$A$8</f>
        <v>Manufacturing</v>
      </c>
      <c r="B35" s="335">
        <f t="shared" ref="B35:B41" si="12">IF(C$5-B$5 &lt;&gt; 0,(EXP(LN(C8/B8)/(C$5-B$5))-1)*100,0)</f>
        <v>0.64006656167867604</v>
      </c>
      <c r="C35" s="335">
        <f t="shared" ref="C35:C41" si="13">IF(D$5-C$5 &lt;&gt; 0,(EXP(LN(D8/C8)/(D$5-C$5))-1)*100,0)</f>
        <v>-2.0421832376274263</v>
      </c>
      <c r="D35" s="335">
        <f t="shared" ref="D35:E39" si="14">IF(E$5-D$5 &lt;&gt; 0,(EXP(LN(E8/D8)/(E$5-D$5))-1)*100,0)</f>
        <v>-0.7136700106286753</v>
      </c>
      <c r="E35" s="335">
        <f t="shared" si="14"/>
        <v>-0.83593683733532709</v>
      </c>
      <c r="F35" s="335">
        <f t="shared" ref="F35:F41" si="15">IF(F$5-D$5 &lt;&gt; 0,(EXP(LN(F8/D8)/(F$5-D$5))-1)*100,0)</f>
        <v>-0.79519796718666713</v>
      </c>
      <c r="G35" s="335"/>
      <c r="H35" s="335"/>
      <c r="I35" s="335"/>
      <c r="J35" s="335"/>
      <c r="K35" s="335"/>
    </row>
    <row r="36" spans="1:11">
      <c r="A36" t="str">
        <f>$A$9</f>
        <v>Construction</v>
      </c>
      <c r="B36" s="335">
        <f t="shared" si="12"/>
        <v>2.6223196022649553</v>
      </c>
      <c r="C36" s="335">
        <f t="shared" si="13"/>
        <v>0.15214670352428072</v>
      </c>
      <c r="D36" s="335">
        <f t="shared" si="14"/>
        <v>0.96293625775580871</v>
      </c>
      <c r="E36" s="335">
        <f t="shared" si="14"/>
        <v>0.71072070985578328</v>
      </c>
      <c r="F36" s="335">
        <f t="shared" si="15"/>
        <v>0.7947224746771564</v>
      </c>
      <c r="G36" s="335"/>
      <c r="H36" s="335"/>
      <c r="I36" s="335"/>
      <c r="J36" s="335"/>
      <c r="K36" s="335"/>
    </row>
    <row r="37" spans="1:11">
      <c r="A37" t="str">
        <f>$A$10</f>
        <v>Trade, accomod. and transport</v>
      </c>
      <c r="B37" s="335">
        <f t="shared" si="12"/>
        <v>1.5669384942846865</v>
      </c>
      <c r="C37" s="335">
        <f t="shared" si="13"/>
        <v>-1.6159647152965584</v>
      </c>
      <c r="D37" s="335">
        <f t="shared" si="14"/>
        <v>0.56872013761768425</v>
      </c>
      <c r="E37" s="335">
        <f t="shared" si="14"/>
        <v>0.46597248055075813</v>
      </c>
      <c r="F37" s="335">
        <f t="shared" si="15"/>
        <v>0.50021003051778923</v>
      </c>
      <c r="G37" s="335"/>
      <c r="H37" s="335"/>
      <c r="I37" s="335"/>
      <c r="J37" s="335"/>
      <c r="K37" s="335"/>
    </row>
    <row r="38" spans="1:11">
      <c r="A38" t="str">
        <f>$A$11</f>
        <v>Business and other services</v>
      </c>
      <c r="B38" s="335">
        <f t="shared" si="12"/>
        <v>1.4632345432583849</v>
      </c>
      <c r="C38" s="335">
        <f t="shared" si="13"/>
        <v>-1.6490530219193333</v>
      </c>
      <c r="D38" s="335">
        <f t="shared" si="14"/>
        <v>0.72520380801102124</v>
      </c>
      <c r="E38" s="335">
        <f t="shared" si="14"/>
        <v>0.53793114652183061</v>
      </c>
      <c r="F38" s="335">
        <f t="shared" si="15"/>
        <v>0.60031664774355953</v>
      </c>
      <c r="G38" s="335"/>
      <c r="H38" s="335"/>
      <c r="I38" s="335"/>
      <c r="J38" s="335"/>
      <c r="K38" s="335"/>
    </row>
    <row r="39" spans="1:11">
      <c r="A39" t="str">
        <f>$A$12</f>
        <v>Non-marketed services</v>
      </c>
      <c r="B39" s="335">
        <f t="shared" si="12"/>
        <v>0.72511383670565976</v>
      </c>
      <c r="C39" s="335">
        <f t="shared" si="13"/>
        <v>0.41722821577374614</v>
      </c>
      <c r="D39" s="335">
        <f t="shared" si="14"/>
        <v>0.74598243599566239</v>
      </c>
      <c r="E39" s="335">
        <f t="shared" si="14"/>
        <v>0.47782258721897897</v>
      </c>
      <c r="F39" s="335">
        <f t="shared" si="15"/>
        <v>0.56712980146322867</v>
      </c>
      <c r="G39" s="335"/>
      <c r="H39" s="335"/>
      <c r="I39" s="335"/>
      <c r="J39" s="335"/>
      <c r="K39" s="335"/>
    </row>
    <row r="40" spans="1:11">
      <c r="B40" s="335"/>
      <c r="C40" s="335"/>
      <c r="D40" s="335"/>
      <c r="E40" s="335"/>
      <c r="F40" s="335"/>
      <c r="G40" s="335"/>
      <c r="H40" s="335"/>
      <c r="I40" s="335"/>
      <c r="J40" s="335"/>
      <c r="K40" s="335"/>
    </row>
    <row r="41" spans="1:11">
      <c r="A41" t="str">
        <f>$A$14</f>
        <v>All industries</v>
      </c>
      <c r="B41" s="335">
        <f t="shared" si="12"/>
        <v>1.3311698180238807</v>
      </c>
      <c r="C41" s="335">
        <f t="shared" si="13"/>
        <v>-1.1686419909956669</v>
      </c>
      <c r="D41" s="335">
        <f>IF(E$5-D$5 &lt;&gt; 0,(EXP(LN(E14/D14)/(E$5-D$5))-1)*100,0)</f>
        <v>0.59245370532166053</v>
      </c>
      <c r="E41" s="335">
        <f>IF(F$5-E$5 &lt;&gt; 0,(EXP(LN(F14/E14)/(F$5-E$5))-1)*100,0)</f>
        <v>0.41967279423580361</v>
      </c>
      <c r="F41" s="335">
        <f t="shared" si="15"/>
        <v>0.47723343115717576</v>
      </c>
      <c r="H41" s="335"/>
      <c r="I41" s="335"/>
      <c r="J41" s="335"/>
    </row>
    <row r="42" spans="1:11" ht="12.95">
      <c r="B42" s="335"/>
      <c r="C42" s="335"/>
      <c r="D42" s="335"/>
      <c r="E42" s="335"/>
      <c r="F42" s="335"/>
      <c r="G42" s="18"/>
      <c r="K42" s="18"/>
    </row>
    <row r="43" spans="1:11" ht="12.95">
      <c r="G43" s="225"/>
      <c r="H43" s="18"/>
      <c r="I43" s="18"/>
      <c r="J43" s="18"/>
      <c r="K43" s="225"/>
    </row>
    <row r="44" spans="1:11" ht="12.95">
      <c r="A44" s="1" t="s">
        <v>126</v>
      </c>
      <c r="B44" s="18" t="str">
        <f>CONCATENATE(B$5,"-",C$5)</f>
        <v>2015-2019</v>
      </c>
      <c r="C44" s="18" t="str">
        <f>CONCATENATE(C$5,"-",D$5)</f>
        <v>2019-2020</v>
      </c>
      <c r="D44" s="18" t="str">
        <f>CONCATENATE(D$5,"-",E$5)</f>
        <v>2020-2025</v>
      </c>
      <c r="E44" s="18" t="str">
        <f>CONCATENATE(E$5,"-",F$5)</f>
        <v>2025-2035</v>
      </c>
      <c r="F44" s="18" t="str">
        <f>CONCATENATE(D$5,"-",F$5)</f>
        <v>2020-2035</v>
      </c>
      <c r="G44" s="225"/>
      <c r="H44" s="225"/>
      <c r="I44" s="225"/>
      <c r="J44" s="225"/>
      <c r="K44" s="225"/>
    </row>
    <row r="45" spans="1:11">
      <c r="A45" t="str">
        <f>$A$7</f>
        <v>Primary sector and utilities</v>
      </c>
      <c r="B45" s="225">
        <f>C7-B7</f>
        <v>43.761000000991544</v>
      </c>
      <c r="C45" s="225">
        <f>D7-C7</f>
        <v>-44.413000003440743</v>
      </c>
      <c r="D45" s="225">
        <f>E7-D7</f>
        <v>6.7420000022028717</v>
      </c>
      <c r="E45" s="225">
        <f>F7-E7</f>
        <v>10.49899999999127</v>
      </c>
      <c r="F45" s="225">
        <f>F7-D7</f>
        <v>17.241000002194141</v>
      </c>
      <c r="G45" s="225"/>
      <c r="H45" s="225"/>
      <c r="I45" s="225"/>
      <c r="J45" s="225"/>
      <c r="K45" s="225"/>
    </row>
    <row r="46" spans="1:11">
      <c r="A46" t="str">
        <f>$A$8</f>
        <v>Manufacturing</v>
      </c>
      <c r="B46" s="225">
        <f t="shared" ref="B46:E52" si="16">C8-B8</f>
        <v>56.807999997724892</v>
      </c>
      <c r="C46" s="225">
        <f>D8-C8</f>
        <v>-46.040000000626605</v>
      </c>
      <c r="D46" s="225">
        <f t="shared" si="16"/>
        <v>-77.68699998495913</v>
      </c>
      <c r="E46" s="225">
        <f t="shared" si="16"/>
        <v>-171.56199999763476</v>
      </c>
      <c r="F46" s="225">
        <f t="shared" ref="F46:F52" si="17">F8-D8</f>
        <v>-249.24899998259389</v>
      </c>
      <c r="G46" s="225"/>
      <c r="H46" s="225"/>
      <c r="I46" s="225"/>
      <c r="J46" s="225"/>
      <c r="K46" s="225"/>
    </row>
    <row r="47" spans="1:11">
      <c r="A47" t="str">
        <f>$A$9</f>
        <v>Construction</v>
      </c>
      <c r="B47" s="225">
        <f t="shared" si="16"/>
        <v>196.40300003713469</v>
      </c>
      <c r="C47" s="225">
        <f t="shared" ref="C47:C50" si="18">D9-C9</f>
        <v>3.0379999529197903</v>
      </c>
      <c r="D47" s="225">
        <f t="shared" si="16"/>
        <v>98.155999950437035</v>
      </c>
      <c r="E47" s="225">
        <f t="shared" si="16"/>
        <v>153.96600000985427</v>
      </c>
      <c r="F47" s="225">
        <f t="shared" si="17"/>
        <v>252.1219999602913</v>
      </c>
      <c r="G47" s="225"/>
      <c r="H47" s="225"/>
      <c r="I47" s="225"/>
      <c r="J47" s="225"/>
      <c r="K47" s="225"/>
    </row>
    <row r="48" spans="1:11">
      <c r="A48" t="str">
        <f>$A$10</f>
        <v>Trade, accomod. and transport</v>
      </c>
      <c r="B48" s="225">
        <f t="shared" si="16"/>
        <v>482.85399995730859</v>
      </c>
      <c r="C48" s="225">
        <f t="shared" si="18"/>
        <v>-129.4050000339621</v>
      </c>
      <c r="D48" s="225">
        <f t="shared" si="16"/>
        <v>226.59600012849114</v>
      </c>
      <c r="E48" s="225">
        <f t="shared" si="16"/>
        <v>385.69399999655616</v>
      </c>
      <c r="F48" s="225">
        <f t="shared" si="17"/>
        <v>612.2900001250473</v>
      </c>
      <c r="G48" s="225"/>
      <c r="H48" s="225"/>
      <c r="I48" s="225"/>
      <c r="J48" s="225"/>
      <c r="K48" s="225"/>
    </row>
    <row r="49" spans="1:11">
      <c r="A49" t="str">
        <f>$A$11</f>
        <v>Business and other services</v>
      </c>
      <c r="B49" s="225">
        <f t="shared" si="16"/>
        <v>570.06599998781712</v>
      </c>
      <c r="C49" s="225">
        <f t="shared" si="18"/>
        <v>-166.53299997650174</v>
      </c>
      <c r="D49" s="225">
        <f t="shared" si="16"/>
        <v>365.40400012306782</v>
      </c>
      <c r="E49" s="225">
        <f t="shared" si="16"/>
        <v>567.54200001696881</v>
      </c>
      <c r="F49" s="225">
        <f t="shared" si="17"/>
        <v>932.94600014003663</v>
      </c>
      <c r="G49" s="225"/>
      <c r="H49" s="225"/>
      <c r="I49" s="225"/>
      <c r="J49" s="225"/>
      <c r="K49" s="225"/>
    </row>
    <row r="50" spans="1:11">
      <c r="A50" t="str">
        <f>$A$12</f>
        <v>Non-marketed services</v>
      </c>
      <c r="B50" s="225">
        <f t="shared" si="16"/>
        <v>206.69600001513572</v>
      </c>
      <c r="C50" s="225">
        <f t="shared" si="18"/>
        <v>30.274000062939194</v>
      </c>
      <c r="D50" s="225">
        <f t="shared" si="16"/>
        <v>275.85599979628205</v>
      </c>
      <c r="E50" s="225">
        <f t="shared" si="16"/>
        <v>369.20399997607274</v>
      </c>
      <c r="F50" s="225">
        <f t="shared" si="17"/>
        <v>645.05999977235479</v>
      </c>
      <c r="G50" s="225"/>
      <c r="H50" s="225"/>
      <c r="I50" s="225"/>
      <c r="J50" s="225"/>
      <c r="K50" s="225"/>
    </row>
    <row r="51" spans="1:11">
      <c r="B51" s="225"/>
      <c r="C51" s="225"/>
      <c r="D51" s="225"/>
      <c r="E51" s="225"/>
      <c r="F51" s="225"/>
      <c r="H51" s="225"/>
      <c r="I51" s="225"/>
      <c r="J51" s="225"/>
    </row>
    <row r="52" spans="1:11">
      <c r="A52" s="21" t="str">
        <f>$A$14</f>
        <v>All industries</v>
      </c>
      <c r="B52" s="337">
        <f>C14-B14</f>
        <v>1556.5879999961071</v>
      </c>
      <c r="C52" s="337">
        <f>D14-C14</f>
        <v>-353.07899999867004</v>
      </c>
      <c r="D52" s="337">
        <f t="shared" si="16"/>
        <v>895.06700001552235</v>
      </c>
      <c r="E52" s="337">
        <f t="shared" si="16"/>
        <v>1315.3430000018052</v>
      </c>
      <c r="F52" s="337">
        <f t="shared" si="17"/>
        <v>2210.4100000173275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6"/>
  <cols>
    <col min="1" max="1" width="26.7109375" customWidth="1"/>
    <col min="2" max="6" width="11.7109375" customWidth="1"/>
  </cols>
  <sheetData>
    <row r="1" spans="1:7" ht="15.6">
      <c r="A1" s="17" t="str">
        <f>CONCATENATE("Industry Table 2  Employment by Industry Group (SIC 2007), ",B$3,"-",F$3,", ",Info!B5)</f>
        <v>Industry Table 2  Employment by Industry Group (SIC 2007), 2015-2035, England</v>
      </c>
    </row>
    <row r="2" spans="1:7" ht="12.95">
      <c r="A2" s="1" t="s">
        <v>127</v>
      </c>
    </row>
    <row r="3" spans="1:7" ht="12.95">
      <c r="A3" s="19"/>
      <c r="B3" s="20">
        <f>'Ind T3'!B3</f>
        <v>2015</v>
      </c>
      <c r="C3" s="20">
        <f>'Ind T3'!C3</f>
        <v>2019</v>
      </c>
      <c r="D3" s="20">
        <f>'Ind T3'!D3</f>
        <v>2020</v>
      </c>
      <c r="E3" s="20">
        <f>'Ind T3'!E3</f>
        <v>2025</v>
      </c>
      <c r="F3" s="20">
        <f>'Ind T3'!F3</f>
        <v>2035</v>
      </c>
    </row>
    <row r="4" spans="1:7" ht="12.95">
      <c r="A4" s="1" t="s">
        <v>115</v>
      </c>
    </row>
    <row r="5" spans="1:7">
      <c r="A5" s="10" t="str">
        <f>name!B4</f>
        <v>Agriculture</v>
      </c>
      <c r="B5" s="11">
        <f t="array" ref="B5:B26">MMULT(aggregation!$B$3:$BX$24,'Ind T3'!B5:B79)</f>
        <v>262.66400000087748</v>
      </c>
      <c r="C5" s="11">
        <f t="array" ref="C5:C26">MMULT(aggregation!$B$3:$BX$24,'Ind T3'!C5:C79)</f>
        <v>270.40100000186811</v>
      </c>
      <c r="D5" s="11">
        <f t="array" ref="D5:D26">MMULT(aggregation!$B$3:$BX$24,'Ind T3'!D5:D79)</f>
        <v>239.69399999867431</v>
      </c>
      <c r="E5" s="11">
        <f t="array" ref="E5:E26">MMULT(aggregation!$B$3:$BX$24,'Ind T3'!E5:E79)</f>
        <v>246.89799999842333</v>
      </c>
      <c r="F5" s="11">
        <f t="array" ref="F5:F26">MMULT(aggregation!$B$3:$BX$24,'Ind T3'!F5:F79)</f>
        <v>249.14899999814918</v>
      </c>
      <c r="G5" s="10"/>
    </row>
    <row r="6" spans="1:7">
      <c r="A6" s="10" t="str">
        <f>name!B5</f>
        <v>Mining and quarrying</v>
      </c>
      <c r="B6" s="11">
        <v>30.394999999857788</v>
      </c>
      <c r="C6" s="11">
        <v>23.97399999997727</v>
      </c>
      <c r="D6" s="11">
        <v>24.505999999997162</v>
      </c>
      <c r="E6" s="11">
        <v>19.748000000056614</v>
      </c>
      <c r="F6" s="11">
        <v>14.698000000068012</v>
      </c>
    </row>
    <row r="7" spans="1:7">
      <c r="A7" s="10" t="str">
        <f>name!B6</f>
        <v>Food drink and tobacco</v>
      </c>
      <c r="B7" s="11">
        <v>338.92800000130177</v>
      </c>
      <c r="C7" s="11">
        <v>366.44100000040521</v>
      </c>
      <c r="D7" s="11">
        <v>367.30900000022467</v>
      </c>
      <c r="E7" s="11">
        <v>371.81200000401651</v>
      </c>
      <c r="F7" s="11">
        <v>362.09300000434644</v>
      </c>
      <c r="G7" s="11"/>
    </row>
    <row r="8" spans="1:7">
      <c r="A8" s="10" t="str">
        <f>name!B7</f>
        <v>Engineering</v>
      </c>
      <c r="B8" s="11">
        <v>331.1549999989839</v>
      </c>
      <c r="C8" s="11">
        <v>338.70199999916076</v>
      </c>
      <c r="D8" s="11">
        <v>322.65599999907658</v>
      </c>
      <c r="E8" s="11">
        <v>328.98500000137847</v>
      </c>
      <c r="F8" s="11">
        <v>290.17600000162179</v>
      </c>
      <c r="G8" s="11"/>
    </row>
    <row r="9" spans="1:7">
      <c r="A9" s="10" t="str">
        <f>name!B8</f>
        <v>Rest of manufacturing</v>
      </c>
      <c r="B9" s="11">
        <v>1527.5589999988133</v>
      </c>
      <c r="C9" s="11">
        <v>1549.3069999972588</v>
      </c>
      <c r="D9" s="11">
        <v>1518.4449999968965</v>
      </c>
      <c r="E9" s="11">
        <v>1429.9260000058432</v>
      </c>
      <c r="F9" s="11">
        <v>1306.8920000076355</v>
      </c>
      <c r="G9" s="11"/>
    </row>
    <row r="10" spans="1:7">
      <c r="A10" s="10" t="str">
        <f>name!B9</f>
        <v>Electricity and gas</v>
      </c>
      <c r="B10" s="11">
        <v>98.785999999564481</v>
      </c>
      <c r="C10" s="11">
        <v>119.00299999947048</v>
      </c>
      <c r="D10" s="11">
        <v>118.73099999947034</v>
      </c>
      <c r="E10" s="11">
        <v>114.24900000075205</v>
      </c>
      <c r="F10" s="11">
        <v>113.49400000051151</v>
      </c>
      <c r="G10" s="11"/>
    </row>
    <row r="11" spans="1:7">
      <c r="A11" s="10" t="str">
        <f>name!B10</f>
        <v>Water and sewerage</v>
      </c>
      <c r="B11" s="11">
        <v>163.35100000011209</v>
      </c>
      <c r="C11" s="11">
        <v>185.5790000000874</v>
      </c>
      <c r="D11" s="11">
        <v>171.61299999982072</v>
      </c>
      <c r="E11" s="11">
        <v>180.39100000093339</v>
      </c>
      <c r="F11" s="11">
        <v>194.44400000142807</v>
      </c>
      <c r="G11" s="11"/>
    </row>
    <row r="12" spans="1:7">
      <c r="A12" s="10" t="str">
        <f>name!B11</f>
        <v>Construction</v>
      </c>
      <c r="B12" s="11">
        <v>1800.353999982347</v>
      </c>
      <c r="C12" s="11">
        <v>1996.7570000194817</v>
      </c>
      <c r="D12" s="11">
        <v>1999.7949999724015</v>
      </c>
      <c r="E12" s="11">
        <v>2097.9509999228385</v>
      </c>
      <c r="F12" s="11">
        <v>2251.9169999326928</v>
      </c>
      <c r="G12" s="11"/>
    </row>
    <row r="13" spans="1:7">
      <c r="A13" s="10" t="str">
        <f>name!B12</f>
        <v>Wholesale and retail trade</v>
      </c>
      <c r="B13" s="11">
        <v>4242.0110000769018</v>
      </c>
      <c r="C13" s="11">
        <v>4291.2060000558395</v>
      </c>
      <c r="D13" s="11">
        <v>4259.6270000323857</v>
      </c>
      <c r="E13" s="11">
        <v>4283.6300000959145</v>
      </c>
      <c r="F13" s="11">
        <v>4328.4680000838716</v>
      </c>
      <c r="G13" s="11"/>
    </row>
    <row r="14" spans="1:7">
      <c r="A14" s="10" t="str">
        <f>name!B13</f>
        <v>Transport and storage</v>
      </c>
      <c r="B14" s="11">
        <v>1399.6460000121267</v>
      </c>
      <c r="C14" s="11">
        <v>1594.7559999919513</v>
      </c>
      <c r="D14" s="11">
        <v>1582.7790000029759</v>
      </c>
      <c r="E14" s="11">
        <v>1687.9900000310877</v>
      </c>
      <c r="F14" s="11">
        <v>1720.9670000344063</v>
      </c>
      <c r="G14" s="11"/>
    </row>
    <row r="15" spans="1:7">
      <c r="A15" s="10" t="str">
        <f>name!B14</f>
        <v>Accommodation and food</v>
      </c>
      <c r="B15" s="11">
        <v>1883.3990000314907</v>
      </c>
      <c r="C15" s="11">
        <v>2121.9480000300364</v>
      </c>
      <c r="D15" s="11">
        <v>2036.0990000085042</v>
      </c>
      <c r="E15" s="11">
        <v>2133.4810000453544</v>
      </c>
      <c r="F15" s="11">
        <v>2441.3600000506367</v>
      </c>
      <c r="G15" s="11"/>
    </row>
    <row r="16" spans="1:7">
      <c r="A16" s="10" t="str">
        <f>name!B15</f>
        <v>Media</v>
      </c>
      <c r="B16" s="11">
        <v>339.44299999972964</v>
      </c>
      <c r="C16" s="11">
        <v>345.15599999886933</v>
      </c>
      <c r="D16" s="11">
        <v>348.37000000083754</v>
      </c>
      <c r="E16" s="11">
        <v>352.73400000566448</v>
      </c>
      <c r="F16" s="11">
        <v>356.61500000597562</v>
      </c>
      <c r="G16" s="11"/>
    </row>
    <row r="17" spans="1:7">
      <c r="A17" s="10" t="str">
        <f>name!B16</f>
        <v>Information technology</v>
      </c>
      <c r="B17" s="11">
        <v>935.88699998858363</v>
      </c>
      <c r="C17" s="11">
        <v>995.06599998853699</v>
      </c>
      <c r="D17" s="11">
        <v>1001.099999995374</v>
      </c>
      <c r="E17" s="11">
        <v>1075.7490000069686</v>
      </c>
      <c r="F17" s="11">
        <v>1161.9130000073874</v>
      </c>
      <c r="G17" s="11"/>
    </row>
    <row r="18" spans="1:7">
      <c r="A18" s="10" t="str">
        <f>name!B17</f>
        <v>Finance and insurance</v>
      </c>
      <c r="B18" s="11">
        <v>974.2699999908973</v>
      </c>
      <c r="C18" s="11">
        <v>998.31399998994902</v>
      </c>
      <c r="D18" s="11">
        <v>1005.1659999970659</v>
      </c>
      <c r="E18" s="11">
        <v>1006.8290000139853</v>
      </c>
      <c r="F18" s="11">
        <v>981.78100001699806</v>
      </c>
      <c r="G18" s="11"/>
    </row>
    <row r="19" spans="1:7">
      <c r="A19" s="10" t="str">
        <f>name!B18</f>
        <v>Real estate</v>
      </c>
      <c r="B19" s="11">
        <v>499.70899999841942</v>
      </c>
      <c r="C19" s="11">
        <v>512.23999999889168</v>
      </c>
      <c r="D19" s="11">
        <v>566.08499999821879</v>
      </c>
      <c r="E19" s="11">
        <v>548.04900000421856</v>
      </c>
      <c r="F19" s="11">
        <v>597.86400000572326</v>
      </c>
      <c r="G19" s="11"/>
    </row>
    <row r="20" spans="1:7">
      <c r="A20" s="10" t="str">
        <f>name!B19</f>
        <v>Professional services</v>
      </c>
      <c r="B20" s="11">
        <v>2607.93099996616</v>
      </c>
      <c r="C20" s="11">
        <v>2881.7529999625126</v>
      </c>
      <c r="D20" s="11">
        <v>2807.1649999885512</v>
      </c>
      <c r="E20" s="11">
        <v>2948.7560000339613</v>
      </c>
      <c r="F20" s="11">
        <v>3140.8240000427536</v>
      </c>
      <c r="G20" s="11"/>
    </row>
    <row r="21" spans="1:7">
      <c r="A21" s="10" t="str">
        <f>name!B20</f>
        <v>Support services</v>
      </c>
      <c r="B21" s="11">
        <v>2500.2860000175151</v>
      </c>
      <c r="C21" s="11">
        <v>2639.3450000139487</v>
      </c>
      <c r="D21" s="11">
        <v>2483.2400000001271</v>
      </c>
      <c r="E21" s="11">
        <v>2630.4030000157918</v>
      </c>
      <c r="F21" s="11">
        <v>2812.4620000164346</v>
      </c>
      <c r="G21" s="11"/>
    </row>
    <row r="22" spans="1:7">
      <c r="A22" s="10" t="str">
        <f>name!B21</f>
        <v>Public admin. and defence</v>
      </c>
      <c r="B22" s="11">
        <v>1050.7089999919904</v>
      </c>
      <c r="C22" s="11">
        <v>1063.7109999941283</v>
      </c>
      <c r="D22" s="11">
        <v>1106.4329999966935</v>
      </c>
      <c r="E22" s="11">
        <v>1135.5730000015953</v>
      </c>
      <c r="F22" s="11">
        <v>1158.0480000035327</v>
      </c>
      <c r="G22" s="11"/>
    </row>
    <row r="23" spans="1:7">
      <c r="A23" s="10" t="str">
        <f>name!B22</f>
        <v>Education</v>
      </c>
      <c r="B23" s="11">
        <v>2527.3159999829509</v>
      </c>
      <c r="C23" s="11">
        <v>2523.7989999872166</v>
      </c>
      <c r="D23" s="11">
        <v>2531.7800000136781</v>
      </c>
      <c r="E23" s="11">
        <v>2543.3239998430904</v>
      </c>
      <c r="F23" s="11">
        <v>2633.2329998416349</v>
      </c>
      <c r="G23" s="11"/>
    </row>
    <row r="24" spans="1:7">
      <c r="A24" s="10" t="str">
        <f>name!B23</f>
        <v>Health and social work</v>
      </c>
      <c r="B24" s="11">
        <v>3471.2599999517329</v>
      </c>
      <c r="C24" s="11">
        <v>3668.4709999604656</v>
      </c>
      <c r="D24" s="11">
        <v>3648.0419999943779</v>
      </c>
      <c r="E24" s="11">
        <v>3883.213999956346</v>
      </c>
      <c r="F24" s="11">
        <v>4140.0339999319367</v>
      </c>
      <c r="G24" s="11"/>
    </row>
    <row r="25" spans="1:7">
      <c r="A25" s="10" t="str">
        <f>name!B24</f>
        <v>Arts and entertainment</v>
      </c>
      <c r="B25" s="11">
        <v>835.68700000489446</v>
      </c>
      <c r="C25" s="11">
        <v>862.71200000122599</v>
      </c>
      <c r="D25" s="11">
        <v>864.73800000221956</v>
      </c>
      <c r="E25" s="11">
        <v>885.60900001445032</v>
      </c>
      <c r="F25" s="11">
        <v>957.57500001578933</v>
      </c>
      <c r="G25" s="11"/>
    </row>
    <row r="26" spans="1:7">
      <c r="A26" s="10" t="str">
        <f>name!B25</f>
        <v>Other services</v>
      </c>
      <c r="B26" s="11">
        <v>835.42600000250945</v>
      </c>
      <c r="C26" s="11">
        <v>864.11900000259277</v>
      </c>
      <c r="D26" s="11">
        <v>856.30799999762871</v>
      </c>
      <c r="E26" s="11">
        <v>849.44700000805233</v>
      </c>
      <c r="F26" s="11">
        <v>856.08400000900122</v>
      </c>
      <c r="G26" s="11"/>
    </row>
    <row r="27" spans="1:7">
      <c r="B27" s="11"/>
      <c r="C27" s="11"/>
      <c r="D27" s="11"/>
      <c r="E27" s="11"/>
      <c r="F27" s="11"/>
      <c r="G27" s="11"/>
    </row>
    <row r="28" spans="1:7">
      <c r="A28" s="10" t="str">
        <f>name!B3</f>
        <v>All industries</v>
      </c>
      <c r="B28" s="11">
        <f>SUM(B5:B26)</f>
        <v>28656.171999997765</v>
      </c>
      <c r="C28" s="11">
        <f t="shared" ref="C28:F28" si="0">SUM(C5:C26)</f>
        <v>30212.759999993868</v>
      </c>
      <c r="D28" s="11">
        <f t="shared" si="0"/>
        <v>29859.680999995202</v>
      </c>
      <c r="E28" s="11">
        <f t="shared" si="0"/>
        <v>30754.748000010717</v>
      </c>
      <c r="F28" s="11">
        <f t="shared" si="0"/>
        <v>32070.091000012537</v>
      </c>
      <c r="G28" s="11"/>
    </row>
    <row r="29" spans="1:7">
      <c r="B29" s="11"/>
      <c r="C29" s="11"/>
      <c r="D29" s="11"/>
      <c r="E29" s="11"/>
      <c r="F29" s="11"/>
      <c r="G29" s="11"/>
    </row>
    <row r="31" spans="1:7" ht="12.95">
      <c r="A31" s="31" t="s">
        <v>124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>
      <c r="A32" t="str">
        <f>$A$5</f>
        <v>Agriculture</v>
      </c>
      <c r="B32" s="335">
        <f>B5/B$28*100</f>
        <v>0.91660533026148072</v>
      </c>
      <c r="C32" s="335">
        <f t="shared" ref="C32:E32" si="1">C5/C$28*100</f>
        <v>0.89498940183526088</v>
      </c>
      <c r="D32" s="335">
        <f t="shared" si="1"/>
        <v>0.80273463068380679</v>
      </c>
      <c r="E32" s="335">
        <f t="shared" si="1"/>
        <v>0.80279636821715228</v>
      </c>
      <c r="F32" s="335">
        <f>F5/F$28*100</f>
        <v>0.77688897109163724</v>
      </c>
    </row>
    <row r="33" spans="1:6">
      <c r="A33" t="str">
        <f>$A$6</f>
        <v>Mining and quarrying</v>
      </c>
      <c r="B33" s="335">
        <f t="shared" ref="B33:F53" si="2">B6/B$28*100</f>
        <v>0.1060679004853131</v>
      </c>
      <c r="C33" s="335">
        <f t="shared" si="2"/>
        <v>7.935057902681561E-2</v>
      </c>
      <c r="D33" s="335">
        <f t="shared" si="2"/>
        <v>8.2070535180871831E-2</v>
      </c>
      <c r="E33" s="335">
        <f t="shared" si="2"/>
        <v>6.4211223580988963E-2</v>
      </c>
      <c r="F33" s="335">
        <f t="shared" si="2"/>
        <v>4.5830864652246436E-2</v>
      </c>
    </row>
    <row r="34" spans="1:6">
      <c r="A34" t="str">
        <f>$A$7</f>
        <v>Food drink and tobacco</v>
      </c>
      <c r="B34" s="335">
        <f t="shared" si="2"/>
        <v>1.1827399696000158</v>
      </c>
      <c r="C34" s="335">
        <f t="shared" si="2"/>
        <v>1.2128683377502736</v>
      </c>
      <c r="D34" s="335">
        <f t="shared" si="2"/>
        <v>1.2301169593884265</v>
      </c>
      <c r="E34" s="335">
        <f t="shared" si="2"/>
        <v>1.2089580444745862</v>
      </c>
      <c r="F34" s="335">
        <f t="shared" si="2"/>
        <v>1.1290675788983726</v>
      </c>
    </row>
    <row r="35" spans="1:6">
      <c r="A35" t="str">
        <f>$A$8</f>
        <v>Engineering</v>
      </c>
      <c r="B35" s="335">
        <f t="shared" si="2"/>
        <v>1.1556149230225508</v>
      </c>
      <c r="C35" s="335">
        <f t="shared" si="2"/>
        <v>1.1210561365437304</v>
      </c>
      <c r="D35" s="335">
        <f t="shared" si="2"/>
        <v>1.0805741695603797</v>
      </c>
      <c r="E35" s="335">
        <f t="shared" si="2"/>
        <v>1.0697047493325709</v>
      </c>
      <c r="F35" s="335">
        <f t="shared" si="2"/>
        <v>0.90481813725289506</v>
      </c>
    </row>
    <row r="36" spans="1:6">
      <c r="A36" t="str">
        <f>$A$9</f>
        <v>Rest of manufacturing</v>
      </c>
      <c r="B36" s="335">
        <f t="shared" si="2"/>
        <v>5.3306456982423631</v>
      </c>
      <c r="C36" s="335">
        <f t="shared" si="2"/>
        <v>5.1279889688912013</v>
      </c>
      <c r="D36" s="335">
        <f t="shared" si="2"/>
        <v>5.085268660429227</v>
      </c>
      <c r="E36" s="335">
        <f t="shared" si="2"/>
        <v>4.6494479486723312</v>
      </c>
      <c r="F36" s="335">
        <f t="shared" si="2"/>
        <v>4.0751116047881641</v>
      </c>
    </row>
    <row r="37" spans="1:6">
      <c r="A37" t="str">
        <f>$A$10</f>
        <v>Electricity and gas</v>
      </c>
      <c r="B37" s="335">
        <f t="shared" si="2"/>
        <v>0.34472852828902684</v>
      </c>
      <c r="C37" s="335">
        <f t="shared" si="2"/>
        <v>0.3938832466795309</v>
      </c>
      <c r="D37" s="335">
        <f t="shared" si="2"/>
        <v>0.3976298340209643</v>
      </c>
      <c r="E37" s="335">
        <f t="shared" si="2"/>
        <v>0.37148410385515834</v>
      </c>
      <c r="F37" s="335">
        <f t="shared" si="2"/>
        <v>0.35389360136354814</v>
      </c>
    </row>
    <row r="38" spans="1:6">
      <c r="A38" t="str">
        <f>$A$11</f>
        <v>Water and sewerage</v>
      </c>
      <c r="B38" s="335">
        <f t="shared" si="2"/>
        <v>0.57003775661356593</v>
      </c>
      <c r="C38" s="335">
        <f t="shared" si="2"/>
        <v>0.61424047323092978</v>
      </c>
      <c r="D38" s="335">
        <f t="shared" si="2"/>
        <v>0.57473152509515524</v>
      </c>
      <c r="E38" s="335">
        <f t="shared" si="2"/>
        <v>0.58654683173105671</v>
      </c>
      <c r="F38" s="335">
        <f t="shared" si="2"/>
        <v>0.60630947383763911</v>
      </c>
    </row>
    <row r="39" spans="1:6">
      <c r="A39" t="str">
        <f>$A$12</f>
        <v>Construction</v>
      </c>
      <c r="B39" s="335">
        <f t="shared" si="2"/>
        <v>6.2826046688388368</v>
      </c>
      <c r="C39" s="335">
        <f t="shared" si="2"/>
        <v>6.6089857398658278</v>
      </c>
      <c r="D39" s="335">
        <f t="shared" si="2"/>
        <v>6.697308655014508</v>
      </c>
      <c r="E39" s="335">
        <f t="shared" si="2"/>
        <v>6.8215515858627995</v>
      </c>
      <c r="F39" s="335">
        <f t="shared" si="2"/>
        <v>7.0218603368846457</v>
      </c>
    </row>
    <row r="40" spans="1:6">
      <c r="A40" t="str">
        <f>$A$13</f>
        <v>Wholesale and retail trade</v>
      </c>
      <c r="B40" s="335">
        <f t="shared" si="2"/>
        <v>14.80313211435649</v>
      </c>
      <c r="C40" s="335">
        <f t="shared" si="2"/>
        <v>14.20329026562522</v>
      </c>
      <c r="D40" s="335">
        <f t="shared" si="2"/>
        <v>14.26548059918346</v>
      </c>
      <c r="E40" s="335">
        <f t="shared" si="2"/>
        <v>13.928353436986127</v>
      </c>
      <c r="F40" s="335">
        <f t="shared" si="2"/>
        <v>13.496899650463043</v>
      </c>
    </row>
    <row r="41" spans="1:6">
      <c r="A41" t="str">
        <f>$A$14</f>
        <v>Transport and storage</v>
      </c>
      <c r="B41" s="335">
        <f t="shared" si="2"/>
        <v>4.8842741452425527</v>
      </c>
      <c r="C41" s="335">
        <f t="shared" si="2"/>
        <v>5.2784187872682766</v>
      </c>
      <c r="D41" s="335">
        <f t="shared" si="2"/>
        <v>5.3007230720355993</v>
      </c>
      <c r="E41" s="335">
        <f t="shared" si="2"/>
        <v>5.488550906125127</v>
      </c>
      <c r="F41" s="335">
        <f t="shared" si="2"/>
        <v>5.3662679037416314</v>
      </c>
    </row>
    <row r="42" spans="1:6">
      <c r="A42" t="str">
        <f>$A$15</f>
        <v>Accommodation and food</v>
      </c>
      <c r="B42" s="335">
        <f t="shared" si="2"/>
        <v>6.5724026224843897</v>
      </c>
      <c r="C42" s="335">
        <f t="shared" si="2"/>
        <v>7.0233503990713428</v>
      </c>
      <c r="D42" s="335">
        <f t="shared" si="2"/>
        <v>6.8188906639988263</v>
      </c>
      <c r="E42" s="335">
        <f t="shared" si="2"/>
        <v>6.9370784636070217</v>
      </c>
      <c r="F42" s="335">
        <f t="shared" si="2"/>
        <v>7.6125758422378107</v>
      </c>
    </row>
    <row r="43" spans="1:6">
      <c r="A43" t="str">
        <f>$A$16</f>
        <v>Media</v>
      </c>
      <c r="B43" s="335">
        <f t="shared" si="2"/>
        <v>1.1845371391536736</v>
      </c>
      <c r="C43" s="335">
        <f t="shared" si="2"/>
        <v>1.1424179717408782</v>
      </c>
      <c r="D43" s="335">
        <f t="shared" si="2"/>
        <v>1.1666902938477257</v>
      </c>
      <c r="E43" s="335">
        <f t="shared" si="2"/>
        <v>1.1469253463092643</v>
      </c>
      <c r="F43" s="335">
        <f t="shared" si="2"/>
        <v>1.1119862429010139</v>
      </c>
    </row>
    <row r="44" spans="1:6">
      <c r="A44" t="str">
        <f>$A$17</f>
        <v>Information technology</v>
      </c>
      <c r="B44" s="335">
        <f t="shared" si="2"/>
        <v>3.2659177226764853</v>
      </c>
      <c r="C44" s="335">
        <f t="shared" si="2"/>
        <v>3.2935289592501276</v>
      </c>
      <c r="D44" s="335">
        <f t="shared" si="2"/>
        <v>3.3526814971517438</v>
      </c>
      <c r="E44" s="335">
        <f t="shared" si="2"/>
        <v>3.4978306439272195</v>
      </c>
      <c r="F44" s="335">
        <f t="shared" si="2"/>
        <v>3.6230424167082442</v>
      </c>
    </row>
    <row r="45" spans="1:6">
      <c r="A45" t="str">
        <f>$A$18</f>
        <v>Finance and insurance</v>
      </c>
      <c r="B45" s="335">
        <f t="shared" si="2"/>
        <v>3.3998609444100674</v>
      </c>
      <c r="C45" s="335">
        <f t="shared" si="2"/>
        <v>3.3042793839098166</v>
      </c>
      <c r="D45" s="335">
        <f t="shared" si="2"/>
        <v>3.3662985213982277</v>
      </c>
      <c r="E45" s="335">
        <f t="shared" si="2"/>
        <v>3.2737351644488664</v>
      </c>
      <c r="F45" s="335">
        <f t="shared" si="2"/>
        <v>3.0613601938847452</v>
      </c>
    </row>
    <row r="46" spans="1:6">
      <c r="A46" t="str">
        <f>$A$19</f>
        <v>Real estate</v>
      </c>
      <c r="B46" s="335">
        <f t="shared" si="2"/>
        <v>1.7438093266555574</v>
      </c>
      <c r="C46" s="335">
        <f t="shared" si="2"/>
        <v>1.6954425878304253</v>
      </c>
      <c r="D46" s="335">
        <f t="shared" si="2"/>
        <v>1.8958173062810342</v>
      </c>
      <c r="E46" s="335">
        <f t="shared" si="2"/>
        <v>1.7819980186604929</v>
      </c>
      <c r="F46" s="335">
        <f t="shared" si="2"/>
        <v>1.8642416699269408</v>
      </c>
    </row>
    <row r="47" spans="1:6">
      <c r="A47" s="10" t="str">
        <f>$A$20</f>
        <v>Professional services</v>
      </c>
      <c r="B47" s="335">
        <f t="shared" si="2"/>
        <v>9.1007654475495325</v>
      </c>
      <c r="C47" s="335">
        <f t="shared" si="2"/>
        <v>9.5381984299451528</v>
      </c>
      <c r="D47" s="335">
        <f t="shared" si="2"/>
        <v>9.4011888472251339</v>
      </c>
      <c r="E47" s="335">
        <f t="shared" si="2"/>
        <v>9.5879699616883016</v>
      </c>
      <c r="F47" s="335">
        <f t="shared" si="2"/>
        <v>9.793623597892271</v>
      </c>
    </row>
    <row r="48" spans="1:6">
      <c r="A48" s="10" t="str">
        <f>$A$21</f>
        <v>Support services</v>
      </c>
      <c r="B48" s="335">
        <f t="shared" si="2"/>
        <v>8.7251221133712829</v>
      </c>
      <c r="C48" s="335">
        <f t="shared" si="2"/>
        <v>8.7358619338798729</v>
      </c>
      <c r="D48" s="335">
        <f t="shared" si="2"/>
        <v>8.3163647997462729</v>
      </c>
      <c r="E48" s="335">
        <f t="shared" si="2"/>
        <v>8.5528354841823937</v>
      </c>
      <c r="F48" s="335">
        <f t="shared" si="2"/>
        <v>8.7697350157669813</v>
      </c>
    </row>
    <row r="49" spans="1:6">
      <c r="A49" s="10" t="str">
        <f>$A$22</f>
        <v>Public admin. and defence</v>
      </c>
      <c r="B49" s="335">
        <f t="shared" si="2"/>
        <v>3.6666062724360819</v>
      </c>
      <c r="C49" s="335">
        <f t="shared" si="2"/>
        <v>3.5207342857598718</v>
      </c>
      <c r="D49" s="335">
        <f t="shared" si="2"/>
        <v>3.7054414613366808</v>
      </c>
      <c r="E49" s="335">
        <f t="shared" si="2"/>
        <v>3.6923502023206289</v>
      </c>
      <c r="F49" s="335">
        <f t="shared" si="2"/>
        <v>3.6109906891223975</v>
      </c>
    </row>
    <row r="50" spans="1:6">
      <c r="A50" s="10" t="str">
        <f>$A$23</f>
        <v>Education</v>
      </c>
      <c r="B50" s="335">
        <f t="shared" si="2"/>
        <v>8.8194473427335236</v>
      </c>
      <c r="C50" s="335">
        <f t="shared" si="2"/>
        <v>8.3534208724649073</v>
      </c>
      <c r="D50" s="335">
        <f t="shared" si="2"/>
        <v>8.4789251432863093</v>
      </c>
      <c r="E50" s="335">
        <f t="shared" si="2"/>
        <v>8.2696954624443819</v>
      </c>
      <c r="F50" s="335">
        <f t="shared" si="2"/>
        <v>8.2108685000008439</v>
      </c>
    </row>
    <row r="51" spans="1:6">
      <c r="A51" s="10" t="str">
        <f>$A$24</f>
        <v>Health and social work</v>
      </c>
      <c r="B51" s="335">
        <f t="shared" si="2"/>
        <v>12.113481172405036</v>
      </c>
      <c r="C51" s="335">
        <f t="shared" si="2"/>
        <v>12.142124718037048</v>
      </c>
      <c r="D51" s="335">
        <f t="shared" si="2"/>
        <v>12.217283901977934</v>
      </c>
      <c r="E51" s="335">
        <f t="shared" si="2"/>
        <v>12.626388614710784</v>
      </c>
      <c r="F51" s="335">
        <f t="shared" si="2"/>
        <v>12.909330378670639</v>
      </c>
    </row>
    <row r="52" spans="1:6">
      <c r="A52" s="10" t="str">
        <f>$A$25</f>
        <v>Arts and entertainment</v>
      </c>
      <c r="B52" s="335">
        <f t="shared" si="2"/>
        <v>2.9162548298668769</v>
      </c>
      <c r="C52" s="335">
        <f t="shared" si="2"/>
        <v>2.8554557743198603</v>
      </c>
      <c r="D52" s="335">
        <f t="shared" si="2"/>
        <v>2.8960054864697264</v>
      </c>
      <c r="E52" s="335">
        <f t="shared" si="2"/>
        <v>2.8795846417409816</v>
      </c>
      <c r="F52" s="335">
        <f t="shared" si="2"/>
        <v>2.9858817675803135</v>
      </c>
    </row>
    <row r="53" spans="1:6">
      <c r="A53" s="10" t="str">
        <f>$A$26</f>
        <v>Other services</v>
      </c>
      <c r="B53" s="335">
        <f t="shared" si="2"/>
        <v>2.915344031305279</v>
      </c>
      <c r="C53" s="335">
        <f t="shared" si="2"/>
        <v>2.8601127470736474</v>
      </c>
      <c r="D53" s="335">
        <f t="shared" si="2"/>
        <v>2.8677734366879748</v>
      </c>
      <c r="E53" s="335">
        <f t="shared" si="2"/>
        <v>2.7620027971217853</v>
      </c>
      <c r="F53" s="335">
        <f t="shared" si="2"/>
        <v>2.6694155623339721</v>
      </c>
    </row>
    <row r="54" spans="1:6">
      <c r="B54" s="335"/>
      <c r="C54" s="335"/>
      <c r="D54" s="335"/>
      <c r="E54" s="335"/>
      <c r="F54" s="335"/>
    </row>
    <row r="55" spans="1:6">
      <c r="A55" s="21" t="str">
        <f>$A$28</f>
        <v>All industries</v>
      </c>
      <c r="B55" s="336">
        <f>B28/B$28*100</f>
        <v>100</v>
      </c>
      <c r="C55" s="336">
        <f>C28/C$28*100</f>
        <v>100</v>
      </c>
      <c r="D55" s="336">
        <f>D28/D$28*100</f>
        <v>100</v>
      </c>
      <c r="E55" s="336">
        <f>E28/E$28*100</f>
        <v>100</v>
      </c>
      <c r="F55" s="336">
        <f>F28/F$28*100</f>
        <v>100</v>
      </c>
    </row>
    <row r="56" spans="1:6">
      <c r="B56" s="335"/>
      <c r="C56" s="335"/>
      <c r="D56" s="335"/>
      <c r="E56" s="335"/>
      <c r="F56" s="335"/>
    </row>
    <row r="57" spans="1:6">
      <c r="B57" s="335"/>
      <c r="C57" s="335"/>
      <c r="D57" s="335"/>
      <c r="E57" s="335"/>
      <c r="F57" s="335"/>
    </row>
    <row r="58" spans="1:6">
      <c r="B58" s="335"/>
      <c r="C58" s="335"/>
      <c r="D58" s="335"/>
      <c r="E58" s="335"/>
      <c r="F58" s="335"/>
    </row>
    <row r="59" spans="1:6" ht="15.6">
      <c r="A59" s="17" t="str">
        <f>CONCATENATE(A1," (Continued)")</f>
        <v>Industry Table 2  Employment by Industry Group (SIC 2007), 2015-2035, England (Continued)</v>
      </c>
      <c r="B59" s="335"/>
      <c r="C59" s="335"/>
      <c r="D59" s="335"/>
      <c r="E59" s="335"/>
      <c r="F59" s="335"/>
    </row>
    <row r="61" spans="1:6" ht="12.95">
      <c r="A61" s="19"/>
      <c r="B61" s="22" t="str">
        <f>CONCATENATE(B$3,"-",C$3)</f>
        <v>2015-2019</v>
      </c>
      <c r="C61" s="22" t="str">
        <f>CONCATENATE(C$3,"-",D$3)</f>
        <v>2019-2020</v>
      </c>
      <c r="D61" s="22" t="str">
        <f>CONCATENATE(D$3,"-",E$3)</f>
        <v>2020-2025</v>
      </c>
      <c r="E61" s="22" t="str">
        <f>CONCATENATE(E$3,"-",F$3)</f>
        <v>2025-2035</v>
      </c>
      <c r="F61" s="22" t="str">
        <f>CONCATENATE(D$3,"-",F$3)</f>
        <v>2020-2035</v>
      </c>
    </row>
    <row r="62" spans="1:6" ht="12.95">
      <c r="A62" s="23" t="s">
        <v>125</v>
      </c>
    </row>
    <row r="63" spans="1:6">
      <c r="A63" t="str">
        <f>$A$5</f>
        <v>Agriculture</v>
      </c>
      <c r="B63" s="335">
        <f>IF(AND(C$3-B$3 &lt;&gt; 0,B5&lt;&gt;0,C5&lt;&gt;0),(EXP(LN(C5/B5)/(C$3-B$3))-1)*100,0)</f>
        <v>0.72839985799513229</v>
      </c>
      <c r="C63" s="335">
        <f>IF(AND(D$3-C$3 &lt;&gt; 0,C5&lt;&gt;0,D5&lt;&gt;0),(EXP(LN(D5/C5)/(D$3-C$3))-1)*100,0)</f>
        <v>-11.356097056956759</v>
      </c>
      <c r="D63" s="335">
        <f t="shared" ref="B63:E78" si="3">IF(AND(E$3-D$3 &lt;&gt; 0,D5&lt;&gt;0,E5&lt;&gt;0),(EXP(LN(E5/D5)/(E$3-D$3))-1)*100,0)</f>
        <v>0.59400095111976636</v>
      </c>
      <c r="E63" s="335">
        <f t="shared" si="3"/>
        <v>9.0799349664405504E-2</v>
      </c>
      <c r="F63" s="335">
        <f>IF(AND(F$3-D$3 &lt;&gt; 0,D5&lt;&gt;0,F5&lt;&gt;0),(EXP(LN(F5/D5)/(F$3-D$3))-1)*100,0)</f>
        <v>0.2582529080175755</v>
      </c>
    </row>
    <row r="64" spans="1:6">
      <c r="A64" t="str">
        <f>$A$6</f>
        <v>Mining and quarrying</v>
      </c>
      <c r="B64" s="335">
        <f t="shared" si="3"/>
        <v>-5.7601495369162485</v>
      </c>
      <c r="C64" s="335">
        <f t="shared" ref="C64:C78" si="4">IF(AND(D$3-C$3 &lt;&gt; 0,C6&lt;&gt;0,D6&lt;&gt;0),(EXP(LN(D6/C6)/(D$3-C$3))-1)*100,0)</f>
        <v>2.2190706599666044</v>
      </c>
      <c r="D64" s="335">
        <f t="shared" si="3"/>
        <v>-4.2254460829143632</v>
      </c>
      <c r="E64" s="335">
        <f t="shared" si="3"/>
        <v>-2.9102210176361276</v>
      </c>
      <c r="F64" s="335">
        <f t="shared" ref="F64:F86" si="5">IF(AND(F$3-D$3 &lt;&gt; 0,D6&lt;&gt;0,F6&lt;&gt;0),(EXP(LN(F6/D6)/(F$3-D$3))-1)*100,0)</f>
        <v>-3.3506240374576501</v>
      </c>
    </row>
    <row r="65" spans="1:6">
      <c r="A65" t="str">
        <f>$A$7</f>
        <v>Food drink and tobacco</v>
      </c>
      <c r="B65" s="335">
        <f t="shared" si="3"/>
        <v>1.9704069912768407</v>
      </c>
      <c r="C65" s="335">
        <f t="shared" si="4"/>
        <v>0.23687305727757568</v>
      </c>
      <c r="D65" s="335">
        <f t="shared" si="3"/>
        <v>0.24399507541574827</v>
      </c>
      <c r="E65" s="335">
        <f t="shared" si="3"/>
        <v>-0.26452217463556194</v>
      </c>
      <c r="F65" s="335">
        <f t="shared" si="5"/>
        <v>-9.530369539735295E-2</v>
      </c>
    </row>
    <row r="66" spans="1:6">
      <c r="A66" t="str">
        <f>$A$8</f>
        <v>Engineering</v>
      </c>
      <c r="B66" s="335">
        <f t="shared" si="3"/>
        <v>0.56494284275070417</v>
      </c>
      <c r="C66" s="335">
        <f t="shared" si="4"/>
        <v>-4.7374978595118851</v>
      </c>
      <c r="D66" s="335">
        <f t="shared" si="3"/>
        <v>0.38926400827772323</v>
      </c>
      <c r="E66" s="335">
        <f t="shared" si="3"/>
        <v>-1.2473998733893543</v>
      </c>
      <c r="F66" s="335">
        <f t="shared" si="5"/>
        <v>-0.70483169270012525</v>
      </c>
    </row>
    <row r="67" spans="1:6">
      <c r="A67" t="str">
        <f>$A$9</f>
        <v>Rest of manufacturing</v>
      </c>
      <c r="B67" s="335">
        <f t="shared" si="3"/>
        <v>0.35404269721375226</v>
      </c>
      <c r="C67" s="335">
        <f t="shared" si="4"/>
        <v>-1.9919873853546655</v>
      </c>
      <c r="D67" s="335">
        <f t="shared" si="3"/>
        <v>-1.1940952200940269</v>
      </c>
      <c r="E67" s="335">
        <f t="shared" si="3"/>
        <v>-0.89567368428171701</v>
      </c>
      <c r="F67" s="335">
        <f t="shared" si="5"/>
        <v>-0.99524754165890572</v>
      </c>
    </row>
    <row r="68" spans="1:6">
      <c r="A68" t="str">
        <f>$A$10</f>
        <v>Electricity and gas</v>
      </c>
      <c r="B68" s="335">
        <f t="shared" si="3"/>
        <v>4.7648576757263417</v>
      </c>
      <c r="C68" s="335">
        <f t="shared" si="4"/>
        <v>-0.22856566641290543</v>
      </c>
      <c r="D68" s="335">
        <f t="shared" si="3"/>
        <v>-0.76664920019353655</v>
      </c>
      <c r="E68" s="335">
        <f t="shared" si="3"/>
        <v>-6.6281073533880352E-2</v>
      </c>
      <c r="F68" s="335">
        <f t="shared" si="5"/>
        <v>-0.30028462788562749</v>
      </c>
    </row>
    <row r="69" spans="1:6">
      <c r="A69" t="str">
        <f>$A$11</f>
        <v>Water and sewerage</v>
      </c>
      <c r="B69" s="335">
        <f t="shared" si="3"/>
        <v>3.2408943744891783</v>
      </c>
      <c r="C69" s="335">
        <f t="shared" si="4"/>
        <v>-7.5256359826597397</v>
      </c>
      <c r="D69" s="335">
        <f t="shared" si="3"/>
        <v>1.0026890846227321</v>
      </c>
      <c r="E69" s="335">
        <f t="shared" si="3"/>
        <v>0.75299572721267971</v>
      </c>
      <c r="F69" s="335">
        <f t="shared" si="5"/>
        <v>0.83615818439963796</v>
      </c>
    </row>
    <row r="70" spans="1:6">
      <c r="A70" t="str">
        <f>$A$12</f>
        <v>Construction</v>
      </c>
      <c r="B70" s="335">
        <f t="shared" si="3"/>
        <v>2.6223196022649553</v>
      </c>
      <c r="C70" s="335">
        <f t="shared" si="4"/>
        <v>0.15214670352428072</v>
      </c>
      <c r="D70" s="335">
        <f t="shared" si="3"/>
        <v>0.96293625775580871</v>
      </c>
      <c r="E70" s="335">
        <f t="shared" si="3"/>
        <v>0.71072070985578328</v>
      </c>
      <c r="F70" s="335">
        <f t="shared" si="5"/>
        <v>0.7947224746771564</v>
      </c>
    </row>
    <row r="71" spans="1:6">
      <c r="A71" t="str">
        <f>$A$13</f>
        <v>Wholesale and retail trade</v>
      </c>
      <c r="B71" s="335">
        <f t="shared" si="3"/>
        <v>0.28867494231585855</v>
      </c>
      <c r="C71" s="335">
        <f t="shared" si="4"/>
        <v>-0.73590035116102293</v>
      </c>
      <c r="D71" s="335">
        <f t="shared" si="3"/>
        <v>0.1124468386546118</v>
      </c>
      <c r="E71" s="335">
        <f t="shared" si="3"/>
        <v>0.10418311100850453</v>
      </c>
      <c r="F71" s="335">
        <f t="shared" si="5"/>
        <v>0.10693761109610289</v>
      </c>
    </row>
    <row r="72" spans="1:6">
      <c r="A72" t="str">
        <f>$A$14</f>
        <v>Transport and storage</v>
      </c>
      <c r="B72" s="335">
        <f t="shared" si="3"/>
        <v>3.3163391789962304</v>
      </c>
      <c r="C72" s="335">
        <f t="shared" si="4"/>
        <v>-0.75102398041053675</v>
      </c>
      <c r="D72" s="335">
        <f t="shared" si="3"/>
        <v>1.2954453070460392</v>
      </c>
      <c r="E72" s="335">
        <f t="shared" si="3"/>
        <v>0.19366599244192706</v>
      </c>
      <c r="F72" s="335">
        <f t="shared" si="5"/>
        <v>0.55958773798108208</v>
      </c>
    </row>
    <row r="73" spans="1:6">
      <c r="A73" t="str">
        <f>$A$15</f>
        <v>Accommodation and food</v>
      </c>
      <c r="B73" s="335">
        <f t="shared" si="3"/>
        <v>3.0262993239237534</v>
      </c>
      <c r="C73" s="335">
        <f t="shared" si="4"/>
        <v>-4.0457636106217993</v>
      </c>
      <c r="D73" s="335">
        <f t="shared" si="3"/>
        <v>0.93876291093246689</v>
      </c>
      <c r="E73" s="335">
        <f t="shared" si="3"/>
        <v>1.3571299590209973</v>
      </c>
      <c r="F73" s="335">
        <f t="shared" si="5"/>
        <v>1.2174819602314813</v>
      </c>
    </row>
    <row r="74" spans="1:6">
      <c r="A74" t="str">
        <f>$A$16</f>
        <v>Media</v>
      </c>
      <c r="B74" s="335">
        <f t="shared" si="3"/>
        <v>0.41813299181927555</v>
      </c>
      <c r="C74" s="335">
        <f t="shared" si="4"/>
        <v>0.93117315126456379</v>
      </c>
      <c r="D74" s="335">
        <f t="shared" si="3"/>
        <v>0.24929218684894838</v>
      </c>
      <c r="E74" s="335">
        <f t="shared" si="3"/>
        <v>0.10948525820031474</v>
      </c>
      <c r="F74" s="335">
        <f t="shared" si="5"/>
        <v>0.15606589056480491</v>
      </c>
    </row>
    <row r="75" spans="1:6">
      <c r="A75" t="str">
        <f>$A$17</f>
        <v>Information technology</v>
      </c>
      <c r="B75" s="335">
        <f t="shared" si="3"/>
        <v>1.5446666266863307</v>
      </c>
      <c r="C75" s="335">
        <f t="shared" si="4"/>
        <v>0.60639193851528272</v>
      </c>
      <c r="D75" s="335">
        <f t="shared" si="3"/>
        <v>1.448749459960208</v>
      </c>
      <c r="E75" s="335">
        <f t="shared" si="3"/>
        <v>0.77348225337268151</v>
      </c>
      <c r="F75" s="335">
        <f t="shared" si="5"/>
        <v>0.99807042342914265</v>
      </c>
    </row>
    <row r="76" spans="1:6">
      <c r="A76" t="str">
        <f>$A$18</f>
        <v>Finance and insurance</v>
      </c>
      <c r="B76" s="335">
        <f t="shared" si="3"/>
        <v>0.61134572309835544</v>
      </c>
      <c r="C76" s="335">
        <f t="shared" si="4"/>
        <v>0.68635719895602243</v>
      </c>
      <c r="D76" s="335">
        <f t="shared" si="3"/>
        <v>3.3067186234236878E-2</v>
      </c>
      <c r="E76" s="335">
        <f t="shared" si="3"/>
        <v>-0.25161090527463514</v>
      </c>
      <c r="F76" s="335">
        <f t="shared" si="5"/>
        <v>-0.15680833862264931</v>
      </c>
    </row>
    <row r="77" spans="1:6">
      <c r="A77" t="str">
        <f>$A$19</f>
        <v>Real estate</v>
      </c>
      <c r="B77" s="335">
        <f t="shared" si="3"/>
        <v>0.62110430846624709</v>
      </c>
      <c r="C77" s="335">
        <f t="shared" si="4"/>
        <v>10.511674215102996</v>
      </c>
      <c r="D77" s="335">
        <f t="shared" si="3"/>
        <v>-0.64549854097271098</v>
      </c>
      <c r="E77" s="335">
        <f t="shared" si="3"/>
        <v>0.87378142030405392</v>
      </c>
      <c r="F77" s="335">
        <f t="shared" si="5"/>
        <v>0.36479081293476767</v>
      </c>
    </row>
    <row r="78" spans="1:6">
      <c r="A78" t="str">
        <f>$A$20</f>
        <v>Professional services</v>
      </c>
      <c r="B78" s="335">
        <f t="shared" si="3"/>
        <v>2.5274519586056421</v>
      </c>
      <c r="C78" s="335">
        <f t="shared" si="4"/>
        <v>-2.5882856710804703</v>
      </c>
      <c r="D78" s="335">
        <f t="shared" si="3"/>
        <v>0.98902502689348637</v>
      </c>
      <c r="E78" s="335">
        <f t="shared" si="3"/>
        <v>0.63301310664232169</v>
      </c>
      <c r="F78" s="335">
        <f t="shared" si="5"/>
        <v>0.75154407975916993</v>
      </c>
    </row>
    <row r="79" spans="1:6">
      <c r="A79" s="10" t="str">
        <f>$A$21</f>
        <v>Support services</v>
      </c>
      <c r="B79" s="335">
        <f t="shared" ref="B79:B84" si="6">IF(AND(C$3-B$3 &lt;&gt; 0,B21&lt;&gt;0,C21&lt;&gt;0),(EXP(LN(C21/B21)/(C$3-B$3))-1)*100,0)</f>
        <v>1.362337765677557</v>
      </c>
      <c r="C79" s="335">
        <f t="shared" ref="C79:C84" si="7">IF(AND(D$3-C$3 &lt;&gt; 0,C21&lt;&gt;0,D21&lt;&gt;0),(EXP(LN(D21/C21)/(D$3-C$3))-1)*100,0)</f>
        <v>-5.9145356144420962</v>
      </c>
      <c r="D79" s="335">
        <f t="shared" ref="D79:D84" si="8">IF(AND(E$3-D$3 &lt;&gt; 0,D21&lt;&gt;0,E21&lt;&gt;0),(EXP(LN(E21/D21)/(E$3-D$3))-1)*100,0)</f>
        <v>1.1581129426073256</v>
      </c>
      <c r="E79" s="335">
        <f t="shared" ref="E79:E84" si="9">IF(AND(F$3-E$3 &lt;&gt; 0,E21&lt;&gt;0,F21&lt;&gt;0),(EXP(LN(F21/E21)/(F$3-E$3))-1)*100,0)</f>
        <v>0.6714762599209001</v>
      </c>
      <c r="F79" s="335">
        <f t="shared" si="5"/>
        <v>0.83342781413744405</v>
      </c>
    </row>
    <row r="80" spans="1:6">
      <c r="A80" s="10" t="str">
        <f>$A$22</f>
        <v>Public admin. and defence</v>
      </c>
      <c r="B80" s="335">
        <f t="shared" si="6"/>
        <v>0.30793723289141983</v>
      </c>
      <c r="C80" s="335">
        <f t="shared" si="7"/>
        <v>4.0163164621594527</v>
      </c>
      <c r="D80" s="335">
        <f t="shared" si="8"/>
        <v>0.52127477330379257</v>
      </c>
      <c r="E80" s="335">
        <f t="shared" si="9"/>
        <v>0.19617677247598664</v>
      </c>
      <c r="F80" s="335">
        <f t="shared" si="5"/>
        <v>0.30442578158296207</v>
      </c>
    </row>
    <row r="81" spans="1:6">
      <c r="A81" s="10" t="str">
        <f>$A$23</f>
        <v>Education</v>
      </c>
      <c r="B81" s="335">
        <f t="shared" si="6"/>
        <v>-3.4808041680745028E-2</v>
      </c>
      <c r="C81" s="335">
        <f t="shared" si="7"/>
        <v>0.31622962155473111</v>
      </c>
      <c r="D81" s="335">
        <f t="shared" si="8"/>
        <v>9.1026887514988886E-2</v>
      </c>
      <c r="E81" s="335">
        <f t="shared" si="9"/>
        <v>0.34800896913445012</v>
      </c>
      <c r="F81" s="335">
        <f t="shared" si="5"/>
        <v>0.26227504797926571</v>
      </c>
    </row>
    <row r="82" spans="1:6">
      <c r="A82" s="10" t="str">
        <f>$A$24</f>
        <v>Health and social work</v>
      </c>
      <c r="B82" s="335">
        <f t="shared" si="6"/>
        <v>1.3910187124869688</v>
      </c>
      <c r="C82" s="335">
        <f t="shared" si="7"/>
        <v>-0.55688050869988626</v>
      </c>
      <c r="D82" s="335">
        <f t="shared" si="8"/>
        <v>1.2572897754293377</v>
      </c>
      <c r="E82" s="335">
        <f t="shared" si="9"/>
        <v>0.64246338999944808</v>
      </c>
      <c r="F82" s="335">
        <f t="shared" si="5"/>
        <v>0.8469895975561359</v>
      </c>
    </row>
    <row r="83" spans="1:6">
      <c r="A83" s="10" t="str">
        <f>$A$25</f>
        <v>Arts and entertainment</v>
      </c>
      <c r="B83" s="335">
        <f>IF(AND(C$3-B$3 &lt;&gt; 0,B25&lt;&gt;0,C25&lt;&gt;0),(EXP(LN(C25/B25)/(C$3-B$3))-1)*100,0)</f>
        <v>0.79884322930838803</v>
      </c>
      <c r="C83" s="335">
        <f t="shared" si="7"/>
        <v>0.23484082764475556</v>
      </c>
      <c r="D83" s="335">
        <f t="shared" si="8"/>
        <v>0.47811881941839385</v>
      </c>
      <c r="E83" s="335">
        <f t="shared" si="9"/>
        <v>0.78434502564388442</v>
      </c>
      <c r="F83" s="335">
        <f t="shared" si="5"/>
        <v>0.68216606570450367</v>
      </c>
    </row>
    <row r="84" spans="1:6">
      <c r="A84" s="10" t="str">
        <f>$A$26</f>
        <v>Other services</v>
      </c>
      <c r="B84" s="335">
        <f t="shared" si="6"/>
        <v>0.8477914787368368</v>
      </c>
      <c r="C84" s="335">
        <f t="shared" si="7"/>
        <v>-0.90392642737175954</v>
      </c>
      <c r="D84" s="335">
        <f t="shared" si="8"/>
        <v>-0.16076213844719023</v>
      </c>
      <c r="E84" s="335">
        <f t="shared" si="9"/>
        <v>7.7859821481673919E-2</v>
      </c>
      <c r="F84" s="335">
        <f t="shared" si="5"/>
        <v>-1.7441336366053051E-3</v>
      </c>
    </row>
    <row r="85" spans="1:6">
      <c r="B85" s="335"/>
      <c r="C85" s="335"/>
      <c r="D85" s="335"/>
      <c r="E85" s="335"/>
      <c r="F85" s="335"/>
    </row>
    <row r="86" spans="1:6">
      <c r="A86" t="str">
        <f>$A$28</f>
        <v>All industries</v>
      </c>
      <c r="B86" s="335">
        <f>IF(AND(C$3-B$3 &lt;&gt; 0,B28&lt;&gt;0,C28&lt;&gt;0),(EXP(LN(C28/B28)/(C$3-B$3))-1)*100,0)</f>
        <v>1.3311698180238585</v>
      </c>
      <c r="C86" s="335">
        <f>IF(AND(D$3-C$3 &lt;&gt; 0,C28&lt;&gt;0,D28&lt;&gt;0),(EXP(LN(D28/C28)/(D$3-C$3))-1)*100,0)</f>
        <v>-1.1686419909956558</v>
      </c>
      <c r="D86" s="335">
        <f>IF(AND(E$3-D$3 &lt;&gt; 0,D28&lt;&gt;0,E28&lt;&gt;0),(EXP(LN(E28/D28)/(E$3-D$3))-1)*100,0)</f>
        <v>0.59245370532163832</v>
      </c>
      <c r="E86" s="335">
        <f>IF(AND(F$3-E$3 &lt;&gt; 0,E28&lt;&gt;0,F28&lt;&gt;0),(EXP(LN(F28/E28)/(F$3-E$3))-1)*100,0)</f>
        <v>0.41967279423580361</v>
      </c>
      <c r="F86" s="335">
        <f t="shared" si="5"/>
        <v>0.47723343115717576</v>
      </c>
    </row>
    <row r="89" spans="1:6" ht="12.95">
      <c r="A89" s="1" t="s">
        <v>126</v>
      </c>
      <c r="B89" s="18" t="str">
        <f>CONCATENATE(B$3,"-",C$3)</f>
        <v>2015-2019</v>
      </c>
      <c r="C89" s="18" t="str">
        <f>CONCATENATE(C$3,"-",D$3)</f>
        <v>2019-2020</v>
      </c>
      <c r="D89" s="18" t="str">
        <f>CONCATENATE(D$3,"-",E$3)</f>
        <v>2020-2025</v>
      </c>
      <c r="E89" s="18" t="str">
        <f>CONCATENATE(E$3,"-",F$3)</f>
        <v>2025-2035</v>
      </c>
      <c r="F89" s="18" t="str">
        <f>CONCATENATE(D$3,"-",F$3)</f>
        <v>2020-2035</v>
      </c>
    </row>
    <row r="90" spans="1:6">
      <c r="A90" t="str">
        <f>$A$5</f>
        <v>Agriculture</v>
      </c>
      <c r="B90" s="225">
        <f t="shared" ref="B90:E105" si="10">C5-B5</f>
        <v>7.7370000009906335</v>
      </c>
      <c r="C90" s="225">
        <f>D5-C5</f>
        <v>-30.707000003193798</v>
      </c>
      <c r="D90" s="225">
        <f t="shared" si="10"/>
        <v>7.2039999997490156</v>
      </c>
      <c r="E90" s="225">
        <f t="shared" si="10"/>
        <v>2.250999999725849</v>
      </c>
      <c r="F90" s="225">
        <f>F5-D5</f>
        <v>9.4549999994748646</v>
      </c>
    </row>
    <row r="91" spans="1:6">
      <c r="A91" t="str">
        <f>$A$6</f>
        <v>Mining and quarrying</v>
      </c>
      <c r="B91" s="225">
        <f t="shared" si="10"/>
        <v>-6.4209999998805181</v>
      </c>
      <c r="C91" s="225">
        <f t="shared" ref="C91:C105" si="11">D6-C6</f>
        <v>0.53200000001989167</v>
      </c>
      <c r="D91" s="225">
        <f t="shared" si="10"/>
        <v>-4.757999999940548</v>
      </c>
      <c r="E91" s="225">
        <f t="shared" si="10"/>
        <v>-5.0499999999886018</v>
      </c>
      <c r="F91" s="225">
        <f t="shared" ref="F91:F113" si="12">F6-D6</f>
        <v>-9.8079999999291498</v>
      </c>
    </row>
    <row r="92" spans="1:6">
      <c r="A92" t="str">
        <f>$A$7</f>
        <v>Food drink and tobacco</v>
      </c>
      <c r="B92" s="225">
        <f t="shared" si="10"/>
        <v>27.512999999103442</v>
      </c>
      <c r="C92" s="225">
        <f t="shared" si="11"/>
        <v>0.8679999998194603</v>
      </c>
      <c r="D92" s="225">
        <f t="shared" si="10"/>
        <v>4.5030000037918398</v>
      </c>
      <c r="E92" s="225">
        <f t="shared" si="10"/>
        <v>-9.7189999996700749</v>
      </c>
      <c r="F92" s="225">
        <f t="shared" si="12"/>
        <v>-5.215999995878235</v>
      </c>
    </row>
    <row r="93" spans="1:6">
      <c r="A93" t="str">
        <f>$A$8</f>
        <v>Engineering</v>
      </c>
      <c r="B93" s="225">
        <f t="shared" si="10"/>
        <v>7.5470000001768653</v>
      </c>
      <c r="C93" s="225">
        <f t="shared" si="11"/>
        <v>-16.046000000084177</v>
      </c>
      <c r="D93" s="225">
        <f t="shared" si="10"/>
        <v>6.329000002301882</v>
      </c>
      <c r="E93" s="225">
        <f t="shared" si="10"/>
        <v>-38.808999999756679</v>
      </c>
      <c r="F93" s="225">
        <f t="shared" si="12"/>
        <v>-32.479999997454797</v>
      </c>
    </row>
    <row r="94" spans="1:6">
      <c r="A94" t="str">
        <f>$A$9</f>
        <v>Rest of manufacturing</v>
      </c>
      <c r="B94" s="225">
        <f t="shared" si="10"/>
        <v>21.747999998445493</v>
      </c>
      <c r="C94" s="225">
        <f t="shared" si="11"/>
        <v>-30.862000000362286</v>
      </c>
      <c r="D94" s="225">
        <f t="shared" si="10"/>
        <v>-88.518999991053306</v>
      </c>
      <c r="E94" s="225">
        <f t="shared" si="10"/>
        <v>-123.03399999820772</v>
      </c>
      <c r="F94" s="225">
        <f t="shared" si="12"/>
        <v>-211.55299998926102</v>
      </c>
    </row>
    <row r="95" spans="1:6">
      <c r="A95" t="str">
        <f>$A$10</f>
        <v>Electricity and gas</v>
      </c>
      <c r="B95" s="225">
        <f t="shared" si="10"/>
        <v>20.216999999905994</v>
      </c>
      <c r="C95" s="225">
        <f t="shared" si="11"/>
        <v>-0.27200000000013347</v>
      </c>
      <c r="D95" s="225">
        <f t="shared" si="10"/>
        <v>-4.4819999987182939</v>
      </c>
      <c r="E95" s="225">
        <f t="shared" si="10"/>
        <v>-0.75500000024054259</v>
      </c>
      <c r="F95" s="225">
        <f t="shared" si="12"/>
        <v>-5.2369999989588365</v>
      </c>
    </row>
    <row r="96" spans="1:6">
      <c r="A96" t="str">
        <f>$A$11</f>
        <v>Water and sewerage</v>
      </c>
      <c r="B96" s="225">
        <f t="shared" si="10"/>
        <v>22.22799999997531</v>
      </c>
      <c r="C96" s="225">
        <f t="shared" si="11"/>
        <v>-13.966000000266689</v>
      </c>
      <c r="D96" s="225">
        <f t="shared" si="10"/>
        <v>8.7780000011126731</v>
      </c>
      <c r="E96" s="225">
        <f t="shared" si="10"/>
        <v>14.053000000494677</v>
      </c>
      <c r="F96" s="225">
        <f t="shared" si="12"/>
        <v>22.83100000160735</v>
      </c>
    </row>
    <row r="97" spans="1:6">
      <c r="A97" t="str">
        <f>$A$12</f>
        <v>Construction</v>
      </c>
      <c r="B97" s="225">
        <f t="shared" si="10"/>
        <v>196.40300003713469</v>
      </c>
      <c r="C97" s="225">
        <f t="shared" si="11"/>
        <v>3.0379999529197903</v>
      </c>
      <c r="D97" s="225">
        <f t="shared" si="10"/>
        <v>98.155999950437035</v>
      </c>
      <c r="E97" s="225">
        <f t="shared" si="10"/>
        <v>153.96600000985427</v>
      </c>
      <c r="F97" s="225">
        <f t="shared" si="12"/>
        <v>252.1219999602913</v>
      </c>
    </row>
    <row r="98" spans="1:6">
      <c r="A98" t="str">
        <f>$A$13</f>
        <v>Wholesale and retail trade</v>
      </c>
      <c r="B98" s="225">
        <f t="shared" si="10"/>
        <v>49.194999978937631</v>
      </c>
      <c r="C98" s="225">
        <f t="shared" si="11"/>
        <v>-31.579000023453773</v>
      </c>
      <c r="D98" s="225">
        <f t="shared" si="10"/>
        <v>24.003000063528816</v>
      </c>
      <c r="E98" s="225">
        <f t="shared" si="10"/>
        <v>44.837999987957119</v>
      </c>
      <c r="F98" s="225">
        <f t="shared" si="12"/>
        <v>68.841000051485935</v>
      </c>
    </row>
    <row r="99" spans="1:6">
      <c r="A99" t="str">
        <f>$A$14</f>
        <v>Transport and storage</v>
      </c>
      <c r="B99" s="225">
        <f t="shared" si="10"/>
        <v>195.10999997982458</v>
      </c>
      <c r="C99" s="225">
        <f t="shared" si="11"/>
        <v>-11.976999988975422</v>
      </c>
      <c r="D99" s="225">
        <f t="shared" si="10"/>
        <v>105.21100002811181</v>
      </c>
      <c r="E99" s="225">
        <f t="shared" si="10"/>
        <v>32.977000003318608</v>
      </c>
      <c r="F99" s="225">
        <f t="shared" si="12"/>
        <v>138.18800003143042</v>
      </c>
    </row>
    <row r="100" spans="1:6">
      <c r="A100" t="str">
        <f>$A$15</f>
        <v>Accommodation and food</v>
      </c>
      <c r="B100" s="225">
        <f t="shared" si="10"/>
        <v>238.5489999985457</v>
      </c>
      <c r="C100" s="225">
        <f t="shared" si="11"/>
        <v>-85.84900002153222</v>
      </c>
      <c r="D100" s="225">
        <f t="shared" si="10"/>
        <v>97.382000036850286</v>
      </c>
      <c r="E100" s="225">
        <f t="shared" si="10"/>
        <v>307.87900000528225</v>
      </c>
      <c r="F100" s="225">
        <f t="shared" si="12"/>
        <v>405.26100004213254</v>
      </c>
    </row>
    <row r="101" spans="1:6">
      <c r="A101" t="str">
        <f>$A$16</f>
        <v>Media</v>
      </c>
      <c r="B101" s="225">
        <f t="shared" si="10"/>
        <v>5.7129999991396971</v>
      </c>
      <c r="C101" s="225">
        <f t="shared" si="11"/>
        <v>3.214000001968202</v>
      </c>
      <c r="D101" s="225">
        <f t="shared" si="10"/>
        <v>4.3640000048269485</v>
      </c>
      <c r="E101" s="225">
        <f t="shared" si="10"/>
        <v>3.8810000003111327</v>
      </c>
      <c r="F101" s="225">
        <f t="shared" si="12"/>
        <v>8.2450000051380812</v>
      </c>
    </row>
    <row r="102" spans="1:6">
      <c r="A102" t="str">
        <f>$A$17</f>
        <v>Information technology</v>
      </c>
      <c r="B102" s="225">
        <f t="shared" si="10"/>
        <v>59.178999999953362</v>
      </c>
      <c r="C102" s="225">
        <f t="shared" si="11"/>
        <v>6.0340000068370045</v>
      </c>
      <c r="D102" s="225">
        <f t="shared" si="10"/>
        <v>74.64900001159458</v>
      </c>
      <c r="E102" s="225">
        <f t="shared" si="10"/>
        <v>86.16400000041881</v>
      </c>
      <c r="F102" s="225">
        <f t="shared" si="12"/>
        <v>160.81300001201339</v>
      </c>
    </row>
    <row r="103" spans="1:6">
      <c r="A103" t="str">
        <f>$A$18</f>
        <v>Finance and insurance</v>
      </c>
      <c r="B103" s="225">
        <f t="shared" si="10"/>
        <v>24.043999999051721</v>
      </c>
      <c r="C103" s="225">
        <f t="shared" si="11"/>
        <v>6.8520000071168852</v>
      </c>
      <c r="D103" s="225">
        <f t="shared" si="10"/>
        <v>1.6630000169193409</v>
      </c>
      <c r="E103" s="225">
        <f t="shared" si="10"/>
        <v>-25.047999996987187</v>
      </c>
      <c r="F103" s="225">
        <f t="shared" si="12"/>
        <v>-23.384999980067846</v>
      </c>
    </row>
    <row r="104" spans="1:6">
      <c r="A104" t="str">
        <f>$A$19</f>
        <v>Real estate</v>
      </c>
      <c r="B104" s="225">
        <f t="shared" si="10"/>
        <v>12.531000000472261</v>
      </c>
      <c r="C104" s="225">
        <f t="shared" si="11"/>
        <v>53.844999999327115</v>
      </c>
      <c r="D104" s="225">
        <f t="shared" si="10"/>
        <v>-18.035999994000235</v>
      </c>
      <c r="E104" s="225">
        <f t="shared" si="10"/>
        <v>49.8150000015047</v>
      </c>
      <c r="F104" s="225">
        <f t="shared" si="12"/>
        <v>31.779000007504465</v>
      </c>
    </row>
    <row r="105" spans="1:6">
      <c r="A105" t="str">
        <f>$A$20</f>
        <v>Professional services</v>
      </c>
      <c r="B105" s="225">
        <f t="shared" si="10"/>
        <v>273.82199999635259</v>
      </c>
      <c r="C105" s="225">
        <f t="shared" si="11"/>
        <v>-74.58799997396136</v>
      </c>
      <c r="D105" s="225">
        <f t="shared" si="10"/>
        <v>141.59100004541006</v>
      </c>
      <c r="E105" s="225">
        <f t="shared" si="10"/>
        <v>192.0680000087923</v>
      </c>
      <c r="F105" s="225">
        <f t="shared" si="12"/>
        <v>333.65900005420235</v>
      </c>
    </row>
    <row r="106" spans="1:6">
      <c r="A106" s="10" t="str">
        <f>$A$21</f>
        <v>Support services</v>
      </c>
      <c r="B106" s="225">
        <f t="shared" ref="B106:B111" si="13">C21-B21</f>
        <v>139.05899999643361</v>
      </c>
      <c r="C106" s="225">
        <f t="shared" ref="C106:C111" si="14">D21-C21</f>
        <v>-156.10500001382161</v>
      </c>
      <c r="D106" s="225">
        <f t="shared" ref="D106:D111" si="15">E21-D21</f>
        <v>147.16300001566469</v>
      </c>
      <c r="E106" s="225">
        <f t="shared" ref="E106:E111" si="16">F21-E21</f>
        <v>182.05900000064275</v>
      </c>
      <c r="F106" s="225">
        <f t="shared" si="12"/>
        <v>329.22200001630745</v>
      </c>
    </row>
    <row r="107" spans="1:6">
      <c r="A107" s="10" t="str">
        <f>$A$22</f>
        <v>Public admin. and defence</v>
      </c>
      <c r="B107" s="225">
        <f t="shared" si="13"/>
        <v>13.002000002137947</v>
      </c>
      <c r="C107" s="225">
        <f t="shared" si="14"/>
        <v>42.72200000256521</v>
      </c>
      <c r="D107" s="225">
        <f t="shared" si="15"/>
        <v>29.140000004901822</v>
      </c>
      <c r="E107" s="225">
        <f t="shared" si="16"/>
        <v>22.47500000193736</v>
      </c>
      <c r="F107" s="225">
        <f t="shared" si="12"/>
        <v>51.615000006839182</v>
      </c>
    </row>
    <row r="108" spans="1:6">
      <c r="A108" s="10" t="str">
        <f>$A$23</f>
        <v>Education</v>
      </c>
      <c r="B108" s="225">
        <f t="shared" si="13"/>
        <v>-3.5169999957342952</v>
      </c>
      <c r="C108" s="225">
        <f t="shared" si="14"/>
        <v>7.9810000264615155</v>
      </c>
      <c r="D108" s="225">
        <f t="shared" si="15"/>
        <v>11.543999829412314</v>
      </c>
      <c r="E108" s="225">
        <f t="shared" si="16"/>
        <v>89.908999998544459</v>
      </c>
      <c r="F108" s="225">
        <f t="shared" si="12"/>
        <v>101.45299982795677</v>
      </c>
    </row>
    <row r="109" spans="1:6">
      <c r="A109" s="10" t="str">
        <f>$A$24</f>
        <v>Health and social work</v>
      </c>
      <c r="B109" s="225">
        <f t="shared" si="13"/>
        <v>197.21100000873275</v>
      </c>
      <c r="C109" s="225">
        <f t="shared" si="14"/>
        <v>-20.428999966087758</v>
      </c>
      <c r="D109" s="225">
        <f t="shared" si="15"/>
        <v>235.17199996196814</v>
      </c>
      <c r="E109" s="225">
        <f t="shared" si="16"/>
        <v>256.81999997559069</v>
      </c>
      <c r="F109" s="225">
        <f t="shared" si="12"/>
        <v>491.99199993755883</v>
      </c>
    </row>
    <row r="110" spans="1:6">
      <c r="A110" s="10" t="str">
        <f>$A$25</f>
        <v>Arts and entertainment</v>
      </c>
      <c r="B110" s="225">
        <f t="shared" si="13"/>
        <v>27.02499999633153</v>
      </c>
      <c r="C110" s="225">
        <f t="shared" si="14"/>
        <v>2.0260000009935766</v>
      </c>
      <c r="D110" s="225">
        <f t="shared" si="15"/>
        <v>20.871000012230752</v>
      </c>
      <c r="E110" s="225">
        <f t="shared" si="16"/>
        <v>71.966000001339012</v>
      </c>
      <c r="F110" s="225">
        <f t="shared" si="12"/>
        <v>92.837000013569764</v>
      </c>
    </row>
    <row r="111" spans="1:6">
      <c r="A111" s="10" t="str">
        <f>$A$26</f>
        <v>Other services</v>
      </c>
      <c r="B111" s="225">
        <f t="shared" si="13"/>
        <v>28.693000000083316</v>
      </c>
      <c r="C111" s="225">
        <f t="shared" si="14"/>
        <v>-7.8110000049640576</v>
      </c>
      <c r="D111" s="225">
        <f t="shared" si="15"/>
        <v>-6.8609999895763849</v>
      </c>
      <c r="E111" s="225">
        <f t="shared" si="16"/>
        <v>6.6370000009488876</v>
      </c>
      <c r="F111" s="225">
        <f t="shared" si="12"/>
        <v>-0.22399998862749726</v>
      </c>
    </row>
    <row r="112" spans="1:6">
      <c r="B112" s="225"/>
      <c r="C112" s="225"/>
      <c r="D112" s="225"/>
      <c r="E112" s="225"/>
      <c r="F112" s="225"/>
    </row>
    <row r="113" spans="1:6">
      <c r="A113" s="21" t="str">
        <f>$A$28</f>
        <v>All industries</v>
      </c>
      <c r="B113" s="337">
        <f>C28-B28</f>
        <v>1556.5879999961035</v>
      </c>
      <c r="C113" s="337">
        <f>D28-C28</f>
        <v>-353.0789999986664</v>
      </c>
      <c r="D113" s="337">
        <f>E28-D28</f>
        <v>895.06700001551508</v>
      </c>
      <c r="E113" s="337">
        <f>F28-E28</f>
        <v>1315.3430000018197</v>
      </c>
      <c r="F113" s="337">
        <f t="shared" si="12"/>
        <v>2210.4100000173348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6"/>
  <cols>
    <col min="1" max="1" width="26.7109375" customWidth="1"/>
    <col min="2" max="6" width="11.7109375" customWidth="1"/>
  </cols>
  <sheetData>
    <row r="1" spans="1:7" ht="15.6">
      <c r="A1" s="17" t="str">
        <f>CONCATENATE("Industry Table 3  Employment by Industry (SIC 2007), ",B$3,"-",F$3,", ",Info!B5)</f>
        <v>Industry Table 3  Employment by Industry (SIC 2007), 2015-2035, England</v>
      </c>
    </row>
    <row r="2" spans="1:7" ht="12.95">
      <c r="A2" s="1" t="s">
        <v>128</v>
      </c>
    </row>
    <row r="3" spans="1:7" ht="12.95">
      <c r="A3" s="19"/>
      <c r="B3" s="20">
        <v>2015</v>
      </c>
      <c r="C3" s="20">
        <v>2019</v>
      </c>
      <c r="D3" s="20">
        <v>2020</v>
      </c>
      <c r="E3" s="20">
        <v>2025</v>
      </c>
      <c r="F3" s="20">
        <v>2035</v>
      </c>
    </row>
    <row r="4" spans="1:7" ht="12.95">
      <c r="A4" s="1" t="s">
        <v>115</v>
      </c>
    </row>
    <row r="5" spans="1:7">
      <c r="A5" t="str">
        <f>name!A4</f>
        <v>Agriculture, etc</v>
      </c>
      <c r="B5" s="11">
        <v>262.66400000087748</v>
      </c>
      <c r="C5" s="11">
        <v>270.40100000186811</v>
      </c>
      <c r="D5" s="11">
        <v>239.69399999867431</v>
      </c>
      <c r="E5" s="11">
        <v>246.89799999842333</v>
      </c>
      <c r="F5" s="11">
        <v>249.14899999814918</v>
      </c>
      <c r="G5" s="10"/>
    </row>
    <row r="6" spans="1:7">
      <c r="A6" t="str">
        <f>name!A5</f>
        <v>Coal, oil &amp; gas; Mining &amp; related</v>
      </c>
      <c r="B6" s="11">
        <v>30.394999999857788</v>
      </c>
      <c r="C6" s="11">
        <v>23.97399999997727</v>
      </c>
      <c r="D6" s="11">
        <v>24.505999999997162</v>
      </c>
      <c r="E6" s="11">
        <v>19.748000000056614</v>
      </c>
      <c r="F6" s="11">
        <v>14.698000000068012</v>
      </c>
    </row>
    <row r="7" spans="1:7">
      <c r="A7" t="str">
        <f>name!A6</f>
        <v>Food products</v>
      </c>
      <c r="B7" s="11">
        <v>312.08400000128637</v>
      </c>
      <c r="C7" s="11">
        <v>332.82800000038947</v>
      </c>
      <c r="D7" s="11">
        <v>332.29400000032757</v>
      </c>
      <c r="E7" s="11">
        <v>336.58200000386358</v>
      </c>
      <c r="F7" s="11">
        <v>328.04800000423478</v>
      </c>
      <c r="G7" s="11"/>
    </row>
    <row r="8" spans="1:7">
      <c r="A8" t="str">
        <f>name!A7</f>
        <v>Beverages and tobacco</v>
      </c>
      <c r="B8" s="11">
        <v>26.84400000001542</v>
      </c>
      <c r="C8" s="11">
        <v>33.613000000015738</v>
      </c>
      <c r="D8" s="11">
        <v>35.014999999897107</v>
      </c>
      <c r="E8" s="11">
        <v>35.230000000152906</v>
      </c>
      <c r="F8" s="11">
        <v>34.045000000111628</v>
      </c>
      <c r="G8" s="11"/>
    </row>
    <row r="9" spans="1:7">
      <c r="A9" t="str">
        <f>name!A8</f>
        <v>Textiles</v>
      </c>
      <c r="B9" s="11">
        <v>49.458000000183269</v>
      </c>
      <c r="C9" s="11">
        <v>53.887000000053547</v>
      </c>
      <c r="D9" s="11">
        <v>56.820999999999039</v>
      </c>
      <c r="E9" s="11">
        <v>50.240000000468839</v>
      </c>
      <c r="F9" s="11">
        <v>42.984000000511358</v>
      </c>
      <c r="G9" s="11"/>
    </row>
    <row r="10" spans="1:7">
      <c r="A10" t="str">
        <f>name!A9</f>
        <v>Wearing apparel; Leather, etc</v>
      </c>
      <c r="B10" s="11">
        <v>48.421000000370483</v>
      </c>
      <c r="C10" s="11">
        <v>44.361000000189001</v>
      </c>
      <c r="D10" s="11">
        <v>49.279000000011884</v>
      </c>
      <c r="E10" s="11">
        <v>43.617000000230803</v>
      </c>
      <c r="F10" s="11">
        <v>37.630000000276084</v>
      </c>
      <c r="G10" s="11"/>
    </row>
    <row r="11" spans="1:7">
      <c r="A11" t="str">
        <f>name!A10</f>
        <v xml:space="preserve">Wood and cork </v>
      </c>
      <c r="B11" s="11">
        <v>66.357999999882438</v>
      </c>
      <c r="C11" s="11">
        <v>74.082000000200296</v>
      </c>
      <c r="D11" s="11">
        <v>76.711999999876014</v>
      </c>
      <c r="E11" s="11">
        <v>76.347999999751579</v>
      </c>
      <c r="F11" s="11">
        <v>73.502000000007882</v>
      </c>
      <c r="G11" s="11"/>
    </row>
    <row r="12" spans="1:7">
      <c r="A12" t="str">
        <f>name!A11</f>
        <v>Paper, etc</v>
      </c>
      <c r="B12" s="11">
        <v>54.884000000123478</v>
      </c>
      <c r="C12" s="11">
        <v>46.5899999999803</v>
      </c>
      <c r="D12" s="11">
        <v>41.400000000073369</v>
      </c>
      <c r="E12" s="11">
        <v>41.296000000288046</v>
      </c>
      <c r="F12" s="11">
        <v>39.809000000297168</v>
      </c>
      <c r="G12" s="11"/>
    </row>
    <row r="13" spans="1:7">
      <c r="A13" t="str">
        <f>name!A12</f>
        <v>Printing and recording</v>
      </c>
      <c r="B13" s="11">
        <v>108.78399999993721</v>
      </c>
      <c r="C13" s="11">
        <v>85.105999999740604</v>
      </c>
      <c r="D13" s="11">
        <v>80.943999999927939</v>
      </c>
      <c r="E13" s="11">
        <v>74.949000000666288</v>
      </c>
      <c r="F13" s="11">
        <v>63.367000000766687</v>
      </c>
      <c r="G13" s="11"/>
    </row>
    <row r="14" spans="1:7">
      <c r="A14" t="str">
        <f>name!A13</f>
        <v>Coke and petroleum; Chemicals, etc</v>
      </c>
      <c r="B14" s="11">
        <v>88.073999999760957</v>
      </c>
      <c r="C14" s="11">
        <v>97.323999999678037</v>
      </c>
      <c r="D14" s="11">
        <v>95.042999999644366</v>
      </c>
      <c r="E14" s="11">
        <v>89.531000000634123</v>
      </c>
      <c r="F14" s="11">
        <v>81.697000000754826</v>
      </c>
      <c r="G14" s="11"/>
    </row>
    <row r="15" spans="1:7">
      <c r="A15" t="str">
        <f>name!A14</f>
        <v>Pharmaceuticals</v>
      </c>
      <c r="B15" s="11">
        <v>34.220999999893387</v>
      </c>
      <c r="C15" s="11">
        <v>38.576999999803327</v>
      </c>
      <c r="D15" s="11">
        <v>40.486999999838034</v>
      </c>
      <c r="E15" s="11">
        <v>43.759000000243553</v>
      </c>
      <c r="F15" s="11">
        <v>42.416000000356412</v>
      </c>
      <c r="G15" s="11"/>
    </row>
    <row r="16" spans="1:7">
      <c r="A16" t="str">
        <f>name!A15</f>
        <v>Rubber and plastic</v>
      </c>
      <c r="B16" s="11">
        <v>156.55400000000614</v>
      </c>
      <c r="C16" s="11">
        <v>147.45399999966889</v>
      </c>
      <c r="D16" s="11">
        <v>156.97699999980949</v>
      </c>
      <c r="E16" s="11">
        <v>154.49100000090218</v>
      </c>
      <c r="F16" s="11">
        <v>137.66700000103702</v>
      </c>
      <c r="G16" s="11"/>
    </row>
    <row r="17" spans="1:7">
      <c r="A17" t="str">
        <f>name!A16</f>
        <v>Other non-metallic</v>
      </c>
      <c r="B17" s="11">
        <v>73.813999999869921</v>
      </c>
      <c r="C17" s="11">
        <v>81.482999999927287</v>
      </c>
      <c r="D17" s="11">
        <v>82.475999999956031</v>
      </c>
      <c r="E17" s="11">
        <v>81.073000000383018</v>
      </c>
      <c r="F17" s="11">
        <v>72.09700000042568</v>
      </c>
      <c r="G17" s="11"/>
    </row>
    <row r="18" spans="1:7">
      <c r="A18" t="str">
        <f>name!A17</f>
        <v>Basic metals</v>
      </c>
      <c r="B18" s="11">
        <v>53.344999999923346</v>
      </c>
      <c r="C18" s="11">
        <v>57.307999999859575</v>
      </c>
      <c r="D18" s="11">
        <v>48.218999999907361</v>
      </c>
      <c r="E18" s="11">
        <v>46.926000000092827</v>
      </c>
      <c r="F18" s="11">
        <v>41.265000000113787</v>
      </c>
      <c r="G18" s="11"/>
    </row>
    <row r="19" spans="1:7">
      <c r="A19" t="str">
        <f>name!A18</f>
        <v>Metal products</v>
      </c>
      <c r="B19" s="11">
        <v>279.70699999960522</v>
      </c>
      <c r="C19" s="11">
        <v>270.79999999947239</v>
      </c>
      <c r="D19" s="11">
        <v>237.35899999947742</v>
      </c>
      <c r="E19" s="11">
        <v>230.43300000075118</v>
      </c>
      <c r="F19" s="11">
        <v>202.21800000106202</v>
      </c>
      <c r="G19" s="11"/>
    </row>
    <row r="20" spans="1:7">
      <c r="A20" t="str">
        <f>name!A19</f>
        <v>Computer, etc</v>
      </c>
      <c r="B20" s="11">
        <v>98.336999999702286</v>
      </c>
      <c r="C20" s="11">
        <v>100.33799999965268</v>
      </c>
      <c r="D20" s="11">
        <v>104.26599999968749</v>
      </c>
      <c r="E20" s="11">
        <v>108.23900000061933</v>
      </c>
      <c r="F20" s="11">
        <v>92.178000000650385</v>
      </c>
      <c r="G20" s="11"/>
    </row>
    <row r="21" spans="1:7">
      <c r="A21" t="str">
        <f>name!A20</f>
        <v>Electrical equipment</v>
      </c>
      <c r="B21" s="11">
        <v>75.604999999765056</v>
      </c>
      <c r="C21" s="11">
        <v>68.789999999875931</v>
      </c>
      <c r="D21" s="11">
        <v>61.081999999842061</v>
      </c>
      <c r="E21" s="11">
        <v>59.658000000284261</v>
      </c>
      <c r="F21" s="11">
        <v>56.905000000359578</v>
      </c>
      <c r="G21" s="11"/>
    </row>
    <row r="22" spans="1:7">
      <c r="A22" t="str">
        <f>name!A21</f>
        <v>Machinery n.e.c.</v>
      </c>
      <c r="B22" s="11">
        <v>157.21299999951657</v>
      </c>
      <c r="C22" s="11">
        <v>169.57399999963212</v>
      </c>
      <c r="D22" s="11">
        <v>157.30799999954706</v>
      </c>
      <c r="E22" s="11">
        <v>161.08800000047492</v>
      </c>
      <c r="F22" s="11">
        <v>141.09300000061182</v>
      </c>
      <c r="G22" s="11"/>
    </row>
    <row r="23" spans="1:7">
      <c r="A23" t="str">
        <f>name!A22</f>
        <v>Motor vehicles, etc</v>
      </c>
      <c r="B23" s="11">
        <v>135.58299999984345</v>
      </c>
      <c r="C23" s="11">
        <v>148.64499999934</v>
      </c>
      <c r="D23" s="11">
        <v>130.31599999946076</v>
      </c>
      <c r="E23" s="11">
        <v>129.59200000027593</v>
      </c>
      <c r="F23" s="11">
        <v>120.06600000037851</v>
      </c>
      <c r="G23" s="11"/>
    </row>
    <row r="24" spans="1:7">
      <c r="A24" t="str">
        <f>name!A23</f>
        <v>Other transport equipment</v>
      </c>
      <c r="B24" s="11">
        <v>114.12299999951678</v>
      </c>
      <c r="C24" s="11">
        <v>119.79799999970213</v>
      </c>
      <c r="D24" s="11">
        <v>120.05199999956933</v>
      </c>
      <c r="E24" s="11">
        <v>103.04700000010418</v>
      </c>
      <c r="F24" s="11">
        <v>102.5810000003038</v>
      </c>
      <c r="G24" s="11"/>
    </row>
    <row r="25" spans="1:7">
      <c r="A25" t="str">
        <f>name!A24</f>
        <v>Furniture</v>
      </c>
      <c r="B25" s="11">
        <v>82.425999999966592</v>
      </c>
      <c r="C25" s="11">
        <v>84.32299999995827</v>
      </c>
      <c r="D25" s="11">
        <v>87.090999999971714</v>
      </c>
      <c r="E25" s="11">
        <v>76.412000000408867</v>
      </c>
      <c r="F25" s="11">
        <v>71.928000000504611</v>
      </c>
      <c r="G25" s="11"/>
    </row>
    <row r="26" spans="1:7">
      <c r="A26" t="str">
        <f>name!A25</f>
        <v>Other manufacturing</v>
      </c>
      <c r="B26" s="11">
        <v>85.631000000021018</v>
      </c>
      <c r="C26" s="11">
        <v>85.433999999841049</v>
      </c>
      <c r="D26" s="11">
        <v>88.895999999777246</v>
      </c>
      <c r="E26" s="11">
        <v>77.565000000583368</v>
      </c>
      <c r="F26" s="11">
        <v>72.855000000727202</v>
      </c>
      <c r="G26" s="11"/>
    </row>
    <row r="27" spans="1:7">
      <c r="A27" t="str">
        <f>name!A26</f>
        <v>Repair and installation</v>
      </c>
      <c r="B27" s="11">
        <v>96.175999999909706</v>
      </c>
      <c r="C27" s="11">
        <v>114.13499999984397</v>
      </c>
      <c r="D27" s="11">
        <v>126.3729999995966</v>
      </c>
      <c r="E27" s="11">
        <v>110.64700000005855</v>
      </c>
      <c r="F27" s="11">
        <v>104.81000000011225</v>
      </c>
      <c r="G27" s="11"/>
    </row>
    <row r="28" spans="1:7">
      <c r="A28" t="str">
        <f>name!A27</f>
        <v>Electricity, gas, etc</v>
      </c>
      <c r="B28" s="11">
        <v>98.785999999564481</v>
      </c>
      <c r="C28" s="11">
        <v>119.00299999947048</v>
      </c>
      <c r="D28" s="11">
        <v>118.73099999947034</v>
      </c>
      <c r="E28" s="11">
        <v>114.24900000075205</v>
      </c>
      <c r="F28" s="11">
        <v>113.49400000051151</v>
      </c>
      <c r="G28" s="11"/>
    </row>
    <row r="29" spans="1:7">
      <c r="A29" t="str">
        <f>name!A28</f>
        <v>Water</v>
      </c>
      <c r="B29" s="11">
        <v>31.964999999850033</v>
      </c>
      <c r="C29" s="11">
        <v>38.641999999835072</v>
      </c>
      <c r="D29" s="11">
        <v>36.481999999835793</v>
      </c>
      <c r="E29" s="11">
        <v>38.369000000199492</v>
      </c>
      <c r="F29" s="11">
        <v>41.417000000289086</v>
      </c>
      <c r="G29" s="11"/>
    </row>
    <row r="30" spans="1:7">
      <c r="A30" t="str">
        <f>name!A29</f>
        <v>Sewerage</v>
      </c>
      <c r="B30" s="11">
        <v>21.915000000085648</v>
      </c>
      <c r="C30" s="11">
        <v>21.356000000039192</v>
      </c>
      <c r="D30" s="11">
        <v>19.471000000039442</v>
      </c>
      <c r="E30" s="11">
        <v>20.517000000183408</v>
      </c>
      <c r="F30" s="11">
        <v>22.226000000263895</v>
      </c>
      <c r="G30" s="11"/>
    </row>
    <row r="31" spans="1:7">
      <c r="A31" t="str">
        <f>name!A30</f>
        <v>Waste management</v>
      </c>
      <c r="B31" s="11">
        <v>109.47100000017643</v>
      </c>
      <c r="C31" s="11">
        <v>125.58100000021314</v>
      </c>
      <c r="D31" s="11">
        <v>115.6599999999455</v>
      </c>
      <c r="E31" s="11">
        <v>121.5050000005505</v>
      </c>
      <c r="F31" s="11">
        <v>130.80100000087509</v>
      </c>
      <c r="G31" s="11"/>
    </row>
    <row r="32" spans="1:7">
      <c r="A32" t="str">
        <f>name!A31</f>
        <v>Construction</v>
      </c>
      <c r="B32" s="11">
        <v>558.64099999525831</v>
      </c>
      <c r="C32" s="11">
        <v>657.70900000629968</v>
      </c>
      <c r="D32" s="11">
        <v>663.91799999058435</v>
      </c>
      <c r="E32" s="11">
        <v>700.54499997668802</v>
      </c>
      <c r="F32" s="11">
        <v>757.61799997975652</v>
      </c>
      <c r="G32" s="11"/>
    </row>
    <row r="33" spans="1:7">
      <c r="A33" t="str">
        <f>name!A32</f>
        <v>Civil engineering</v>
      </c>
      <c r="B33" s="11">
        <v>246.99099999751871</v>
      </c>
      <c r="C33" s="11">
        <v>262.68900000282974</v>
      </c>
      <c r="D33" s="11">
        <v>261.28999999656997</v>
      </c>
      <c r="E33" s="11">
        <v>272.9499999893946</v>
      </c>
      <c r="F33" s="11">
        <v>291.46699999047405</v>
      </c>
      <c r="G33" s="11"/>
    </row>
    <row r="34" spans="1:7">
      <c r="A34" t="str">
        <f>name!A33</f>
        <v>Specialised construction</v>
      </c>
      <c r="B34" s="11">
        <v>994.72199998956978</v>
      </c>
      <c r="C34" s="11">
        <v>1076.3590000103522</v>
      </c>
      <c r="D34" s="11">
        <v>1074.5869999852471</v>
      </c>
      <c r="E34" s="11">
        <v>1124.4559999567557</v>
      </c>
      <c r="F34" s="11">
        <v>1202.8319999624623</v>
      </c>
      <c r="G34" s="11"/>
    </row>
    <row r="35" spans="1:7">
      <c r="A35" t="str">
        <f>name!A34</f>
        <v>Motor vehicle trade</v>
      </c>
      <c r="B35" s="11">
        <v>492.94200000315448</v>
      </c>
      <c r="C35" s="11">
        <v>564.76600000369922</v>
      </c>
      <c r="D35" s="11">
        <v>516.88400000061358</v>
      </c>
      <c r="E35" s="11">
        <v>532.43100000247023</v>
      </c>
      <c r="F35" s="11">
        <v>553.44000000295523</v>
      </c>
      <c r="G35" s="11"/>
    </row>
    <row r="36" spans="1:7">
      <c r="A36" t="str">
        <f>name!A35</f>
        <v>Wholesale trade</v>
      </c>
      <c r="B36" s="11">
        <v>1079.3900000077663</v>
      </c>
      <c r="C36" s="11">
        <v>1116.5560000032058</v>
      </c>
      <c r="D36" s="11">
        <v>1106.2539999999633</v>
      </c>
      <c r="E36" s="11">
        <v>1119.6640000128928</v>
      </c>
      <c r="F36" s="11">
        <v>1126.4980000144355</v>
      </c>
      <c r="G36" s="11"/>
    </row>
    <row r="37" spans="1:7">
      <c r="A37" t="str">
        <f>name!A36</f>
        <v>Retail trade</v>
      </c>
      <c r="B37" s="11">
        <v>2669.6790000659817</v>
      </c>
      <c r="C37" s="11">
        <v>2609.8840000489349</v>
      </c>
      <c r="D37" s="11">
        <v>2636.4890000318092</v>
      </c>
      <c r="E37" s="11">
        <v>2631.535000080552</v>
      </c>
      <c r="F37" s="11">
        <v>2648.5300000664806</v>
      </c>
      <c r="G37" s="11"/>
    </row>
    <row r="38" spans="1:7">
      <c r="A38" t="str">
        <f>name!A37</f>
        <v>Land transport, etc</v>
      </c>
      <c r="B38" s="11">
        <v>644.04300000624687</v>
      </c>
      <c r="C38" s="11">
        <v>750.11599998816951</v>
      </c>
      <c r="D38" s="11">
        <v>709.30400000267298</v>
      </c>
      <c r="E38" s="11">
        <v>772.04100002246719</v>
      </c>
      <c r="F38" s="11">
        <v>779.281000024901</v>
      </c>
      <c r="G38" s="11"/>
    </row>
    <row r="39" spans="1:7">
      <c r="A39" t="str">
        <f>name!A38</f>
        <v>Water transport</v>
      </c>
      <c r="B39" s="11">
        <v>14.219000000060893</v>
      </c>
      <c r="C39" s="11">
        <v>16.068000000089157</v>
      </c>
      <c r="D39" s="11">
        <v>16.010000000037998</v>
      </c>
      <c r="E39" s="11">
        <v>13.420000000193115</v>
      </c>
      <c r="F39" s="11">
        <v>12.616000000165785</v>
      </c>
      <c r="G39" s="11"/>
    </row>
    <row r="40" spans="1:7">
      <c r="A40" t="str">
        <f>name!A39</f>
        <v>Air transport</v>
      </c>
      <c r="B40" s="11">
        <v>70.84000000054003</v>
      </c>
      <c r="C40" s="11">
        <v>75.469000000376283</v>
      </c>
      <c r="D40" s="11">
        <v>70.473999999781313</v>
      </c>
      <c r="E40" s="11">
        <v>73.195000000431591</v>
      </c>
      <c r="F40" s="11">
        <v>74.19300000065887</v>
      </c>
      <c r="G40" s="11"/>
    </row>
    <row r="41" spans="1:7">
      <c r="A41" t="str">
        <f>name!A40</f>
        <v>Warehousing, etc</v>
      </c>
      <c r="B41" s="11">
        <v>422.60900000283527</v>
      </c>
      <c r="C41" s="11">
        <v>485.73300000151772</v>
      </c>
      <c r="D41" s="11">
        <v>504.00200000016918</v>
      </c>
      <c r="E41" s="11">
        <v>530.43900000408451</v>
      </c>
      <c r="F41" s="11">
        <v>544.55100000469736</v>
      </c>
      <c r="G41" s="11"/>
    </row>
    <row r="42" spans="1:7">
      <c r="A42" t="str">
        <f>name!A41</f>
        <v>Postal and courier</v>
      </c>
      <c r="B42" s="11">
        <v>247.93500000244345</v>
      </c>
      <c r="C42" s="11">
        <v>267.37000000179876</v>
      </c>
      <c r="D42" s="11">
        <v>282.98900000031438</v>
      </c>
      <c r="E42" s="11">
        <v>298.89500000391115</v>
      </c>
      <c r="F42" s="11">
        <v>310.32600000398315</v>
      </c>
      <c r="G42" s="11"/>
    </row>
    <row r="43" spans="1:7">
      <c r="A43" t="str">
        <f>name!A42</f>
        <v>Accommodation</v>
      </c>
      <c r="B43" s="11">
        <v>388.05700000519715</v>
      </c>
      <c r="C43" s="11">
        <v>436.69100000547149</v>
      </c>
      <c r="D43" s="11">
        <v>400.30100000156239</v>
      </c>
      <c r="E43" s="11">
        <v>446.72700000950391</v>
      </c>
      <c r="F43" s="11">
        <v>487.12100000951614</v>
      </c>
      <c r="G43" s="11"/>
    </row>
    <row r="44" spans="1:7">
      <c r="A44" t="str">
        <f>name!A43</f>
        <v>Food and beverage services</v>
      </c>
      <c r="B44" s="11">
        <v>1495.3420000262936</v>
      </c>
      <c r="C44" s="11">
        <v>1685.2570000245648</v>
      </c>
      <c r="D44" s="11">
        <v>1635.7980000069417</v>
      </c>
      <c r="E44" s="11">
        <v>1686.7540000358506</v>
      </c>
      <c r="F44" s="11">
        <v>1954.2390000411206</v>
      </c>
      <c r="G44" s="11"/>
    </row>
    <row r="45" spans="1:7">
      <c r="A45" t="str">
        <f>name!A44</f>
        <v>Publishing activities</v>
      </c>
      <c r="B45" s="11">
        <v>163.05599999939992</v>
      </c>
      <c r="C45" s="11">
        <v>146.03999999912853</v>
      </c>
      <c r="D45" s="11">
        <v>148.25099999989291</v>
      </c>
      <c r="E45" s="11">
        <v>148.95600000202174</v>
      </c>
      <c r="F45" s="11">
        <v>149.36400000220115</v>
      </c>
      <c r="G45" s="11"/>
    </row>
    <row r="46" spans="1:7">
      <c r="A46" t="str">
        <f>name!A45</f>
        <v>Film and music</v>
      </c>
      <c r="B46" s="11">
        <v>137.48700000037729</v>
      </c>
      <c r="C46" s="11">
        <v>154.96699999985657</v>
      </c>
      <c r="D46" s="11">
        <v>154.98300000072942</v>
      </c>
      <c r="E46" s="11">
        <v>157.85100000270936</v>
      </c>
      <c r="F46" s="11">
        <v>161.03200000287956</v>
      </c>
      <c r="G46" s="11"/>
    </row>
    <row r="47" spans="1:7">
      <c r="A47" t="str">
        <f>name!A46</f>
        <v>Broadcasting</v>
      </c>
      <c r="B47" s="11">
        <v>38.899999999952449</v>
      </c>
      <c r="C47" s="11">
        <v>44.148999999884246</v>
      </c>
      <c r="D47" s="11">
        <v>45.136000000215198</v>
      </c>
      <c r="E47" s="11">
        <v>45.927000000933404</v>
      </c>
      <c r="F47" s="11">
        <v>46.219000000894866</v>
      </c>
      <c r="G47" s="11"/>
    </row>
    <row r="48" spans="1:7">
      <c r="A48" t="str">
        <f>name!A47</f>
        <v>Telecommunications</v>
      </c>
      <c r="B48" s="11">
        <v>196.26399999814851</v>
      </c>
      <c r="C48" s="11">
        <v>184.62599999846506</v>
      </c>
      <c r="D48" s="11">
        <v>178.70999999876952</v>
      </c>
      <c r="E48" s="11">
        <v>191.23500000103044</v>
      </c>
      <c r="F48" s="11">
        <v>205.3720000011173</v>
      </c>
      <c r="G48" s="11"/>
    </row>
    <row r="49" spans="1:7">
      <c r="A49" t="str">
        <f>name!A48</f>
        <v>Computing services</v>
      </c>
      <c r="B49" s="11">
        <v>646.45199999114118</v>
      </c>
      <c r="C49" s="11">
        <v>724.92799999075453</v>
      </c>
      <c r="D49" s="11">
        <v>733.45199999675367</v>
      </c>
      <c r="E49" s="11">
        <v>788.21400000506935</v>
      </c>
      <c r="F49" s="11">
        <v>851.37300000523999</v>
      </c>
      <c r="G49" s="11"/>
    </row>
    <row r="50" spans="1:7">
      <c r="A50" t="str">
        <f>name!A49</f>
        <v>Information services</v>
      </c>
      <c r="B50" s="11">
        <v>93.170999999293969</v>
      </c>
      <c r="C50" s="11">
        <v>85.511999999317382</v>
      </c>
      <c r="D50" s="11">
        <v>88.937999999850831</v>
      </c>
      <c r="E50" s="11">
        <v>96.300000000868835</v>
      </c>
      <c r="F50" s="11">
        <v>105.16800000103001</v>
      </c>
      <c r="G50" s="11"/>
    </row>
    <row r="51" spans="1:7">
      <c r="A51" t="str">
        <f>name!A50</f>
        <v>Financial services</v>
      </c>
      <c r="B51" s="11">
        <v>453.54999999592729</v>
      </c>
      <c r="C51" s="11">
        <v>442.76499999583899</v>
      </c>
      <c r="D51" s="11">
        <v>437.16499999867938</v>
      </c>
      <c r="E51" s="11">
        <v>437.13700000551199</v>
      </c>
      <c r="F51" s="11">
        <v>427.6450000072096</v>
      </c>
      <c r="G51" s="11"/>
    </row>
    <row r="52" spans="1:7">
      <c r="A52" t="str">
        <f>name!A51</f>
        <v>Insurance and pensions</v>
      </c>
      <c r="B52" s="11">
        <v>105.85999999915578</v>
      </c>
      <c r="C52" s="11">
        <v>119.25899999888843</v>
      </c>
      <c r="D52" s="11">
        <v>118.36399999936367</v>
      </c>
      <c r="E52" s="11">
        <v>117.19100000142946</v>
      </c>
      <c r="F52" s="11">
        <v>112.34300000168859</v>
      </c>
      <c r="G52" s="11"/>
    </row>
    <row r="53" spans="1:7">
      <c r="A53" t="str">
        <f>name!A52</f>
        <v>Auxiliary financial services</v>
      </c>
      <c r="B53" s="11">
        <v>414.85999999581412</v>
      </c>
      <c r="C53" s="11">
        <v>436.28999999522165</v>
      </c>
      <c r="D53" s="11">
        <v>449.63699999902298</v>
      </c>
      <c r="E53" s="11">
        <v>452.50100000704373</v>
      </c>
      <c r="F53" s="11">
        <v>441.79300000809985</v>
      </c>
      <c r="G53" s="11"/>
    </row>
    <row r="54" spans="1:7">
      <c r="A54" t="str">
        <f>name!A53</f>
        <v>Real estate</v>
      </c>
      <c r="B54" s="11">
        <v>499.70899999841942</v>
      </c>
      <c r="C54" s="11">
        <v>512.23999999889168</v>
      </c>
      <c r="D54" s="11">
        <v>566.08499999821879</v>
      </c>
      <c r="E54" s="11">
        <v>548.04900000421856</v>
      </c>
      <c r="F54" s="11">
        <v>597.86400000572326</v>
      </c>
      <c r="G54" s="11"/>
    </row>
    <row r="55" spans="1:7">
      <c r="A55" t="str">
        <f>name!A54</f>
        <v>Legal and accounting</v>
      </c>
      <c r="B55" s="11">
        <v>670.28699999085256</v>
      </c>
      <c r="C55" s="11">
        <v>766.71499998954027</v>
      </c>
      <c r="D55" s="11">
        <v>730.3389999964686</v>
      </c>
      <c r="E55" s="11">
        <v>768.43000001110227</v>
      </c>
      <c r="F55" s="11">
        <v>810.2250000154022</v>
      </c>
      <c r="G55" s="11"/>
    </row>
    <row r="56" spans="1:7">
      <c r="A56" t="str">
        <f>name!A55</f>
        <v>Head offices, etc</v>
      </c>
      <c r="B56" s="11">
        <v>770.0639999884562</v>
      </c>
      <c r="C56" s="11">
        <v>799.29099998908396</v>
      </c>
      <c r="D56" s="11">
        <v>805.09299999557402</v>
      </c>
      <c r="E56" s="11">
        <v>833.65500000878308</v>
      </c>
      <c r="F56" s="11">
        <v>864.09700001178453</v>
      </c>
      <c r="G56" s="11"/>
    </row>
    <row r="57" spans="1:7">
      <c r="A57" t="str">
        <f>name!A56</f>
        <v>Architectural and related</v>
      </c>
      <c r="B57" s="11">
        <v>490.67599999324506</v>
      </c>
      <c r="C57" s="11">
        <v>558.96099999302476</v>
      </c>
      <c r="D57" s="11">
        <v>568.07999999614174</v>
      </c>
      <c r="E57" s="11">
        <v>559.27700000583377</v>
      </c>
      <c r="F57" s="11">
        <v>580.55500000605491</v>
      </c>
      <c r="G57" s="11"/>
    </row>
    <row r="58" spans="1:7">
      <c r="A58" t="str">
        <f>name!A57</f>
        <v>Scientific research and development</v>
      </c>
      <c r="B58" s="11">
        <v>144.65599999916802</v>
      </c>
      <c r="C58" s="11">
        <v>165.76599999847284</v>
      </c>
      <c r="D58" s="11">
        <v>149.94500000022938</v>
      </c>
      <c r="E58" s="11">
        <v>166.80800000025494</v>
      </c>
      <c r="F58" s="11">
        <v>188.54399999978017</v>
      </c>
      <c r="G58" s="11"/>
    </row>
    <row r="59" spans="1:7">
      <c r="A59" t="str">
        <f>name!A58</f>
        <v>Advertising, etc</v>
      </c>
      <c r="B59" s="11">
        <v>256.08199999672968</v>
      </c>
      <c r="C59" s="11">
        <v>236.64799999631626</v>
      </c>
      <c r="D59" s="11">
        <v>221.03499999980369</v>
      </c>
      <c r="E59" s="11">
        <v>248.19800000471693</v>
      </c>
      <c r="F59" s="11">
        <v>276.39800000606107</v>
      </c>
      <c r="G59" s="11"/>
    </row>
    <row r="60" spans="1:7">
      <c r="A60" t="str">
        <f>name!A59</f>
        <v>Other professional</v>
      </c>
      <c r="B60" s="11">
        <v>207.54799999916412</v>
      </c>
      <c r="C60" s="11">
        <v>248.7439999984673</v>
      </c>
      <c r="D60" s="11">
        <v>233.53799999950687</v>
      </c>
      <c r="E60" s="11">
        <v>260.47600000410768</v>
      </c>
      <c r="F60" s="11">
        <v>292.00500000462046</v>
      </c>
      <c r="G60" s="11"/>
    </row>
    <row r="61" spans="1:7">
      <c r="A61" t="str">
        <f>name!A60</f>
        <v>Veterinary</v>
      </c>
      <c r="B61" s="11">
        <v>68.617999998544491</v>
      </c>
      <c r="C61" s="11">
        <v>105.62799999760728</v>
      </c>
      <c r="D61" s="11">
        <v>99.135000000826551</v>
      </c>
      <c r="E61" s="11">
        <v>111.91199999916277</v>
      </c>
      <c r="F61" s="11">
        <v>128.9999999990504</v>
      </c>
      <c r="G61" s="11"/>
    </row>
    <row r="62" spans="1:7">
      <c r="A62" t="str">
        <f>name!A61</f>
        <v>Rental and leasing</v>
      </c>
      <c r="B62" s="11">
        <v>146.9370000002877</v>
      </c>
      <c r="C62" s="11">
        <v>144.07400000007254</v>
      </c>
      <c r="D62" s="11">
        <v>136.22300000004097</v>
      </c>
      <c r="E62" s="11">
        <v>144.51800000110785</v>
      </c>
      <c r="F62" s="11">
        <v>155.06200000113517</v>
      </c>
      <c r="G62" s="11"/>
    </row>
    <row r="63" spans="1:7">
      <c r="A63" t="str">
        <f>name!A62</f>
        <v>Employment activities</v>
      </c>
      <c r="B63" s="11">
        <v>916.86900000617777</v>
      </c>
      <c r="C63" s="11">
        <v>930.40500000471479</v>
      </c>
      <c r="D63" s="11">
        <v>874.54700000014918</v>
      </c>
      <c r="E63" s="11">
        <v>927.96100000577917</v>
      </c>
      <c r="F63" s="11">
        <v>993.61200000600911</v>
      </c>
      <c r="G63" s="11"/>
    </row>
    <row r="64" spans="1:7">
      <c r="A64" t="str">
        <f>name!A63</f>
        <v>Travel, etc</v>
      </c>
      <c r="B64" s="11">
        <v>85.14500000084054</v>
      </c>
      <c r="C64" s="11">
        <v>90.990000000689633</v>
      </c>
      <c r="D64" s="11">
        <v>85.320999999583265</v>
      </c>
      <c r="E64" s="11">
        <v>90.184000000744234</v>
      </c>
      <c r="F64" s="11">
        <v>96.632000000759575</v>
      </c>
      <c r="G64" s="11"/>
    </row>
    <row r="65" spans="1:7">
      <c r="A65" t="str">
        <f>name!A64</f>
        <v>Security, etc</v>
      </c>
      <c r="B65" s="11">
        <v>176.41700000137899</v>
      </c>
      <c r="C65" s="11">
        <v>196.24900000093905</v>
      </c>
      <c r="D65" s="11">
        <v>185.77800000027614</v>
      </c>
      <c r="E65" s="11">
        <v>196.73200000132553</v>
      </c>
      <c r="F65" s="11">
        <v>210.54900000117351</v>
      </c>
      <c r="G65" s="11"/>
    </row>
    <row r="66" spans="1:7">
      <c r="A66" t="str">
        <f>name!A65</f>
        <v>Services to buildings</v>
      </c>
      <c r="B66" s="11">
        <v>743.02400000608441</v>
      </c>
      <c r="C66" s="11">
        <v>774.38400000513911</v>
      </c>
      <c r="D66" s="11">
        <v>727.07300000032342</v>
      </c>
      <c r="E66" s="11">
        <v>768.30900000464283</v>
      </c>
      <c r="F66" s="11">
        <v>818.17800000536431</v>
      </c>
      <c r="G66" s="11"/>
    </row>
    <row r="67" spans="1:7">
      <c r="A67" t="str">
        <f>name!A66</f>
        <v>Office administrative</v>
      </c>
      <c r="B67" s="11">
        <v>431.89400000274605</v>
      </c>
      <c r="C67" s="11">
        <v>503.24300000239384</v>
      </c>
      <c r="D67" s="11">
        <v>474.29799999975427</v>
      </c>
      <c r="E67" s="11">
        <v>502.69900000219241</v>
      </c>
      <c r="F67" s="11">
        <v>538.42900000199336</v>
      </c>
      <c r="G67" s="11"/>
    </row>
    <row r="68" spans="1:7">
      <c r="A68" t="str">
        <f>name!A67</f>
        <v>Public administration and defence</v>
      </c>
      <c r="B68" s="11">
        <v>1050.7089999919904</v>
      </c>
      <c r="C68" s="11">
        <v>1063.7109999941283</v>
      </c>
      <c r="D68" s="11">
        <v>1106.4329999966935</v>
      </c>
      <c r="E68" s="11">
        <v>1135.5730000015953</v>
      </c>
      <c r="F68" s="11">
        <v>1158.0480000035327</v>
      </c>
      <c r="G68" s="11"/>
    </row>
    <row r="69" spans="1:7">
      <c r="A69" t="str">
        <f>name!A68</f>
        <v xml:space="preserve">Education </v>
      </c>
      <c r="B69" s="11">
        <v>2527.3159999829509</v>
      </c>
      <c r="C69" s="11">
        <v>2523.7989999872166</v>
      </c>
      <c r="D69" s="11">
        <v>2531.7800000136781</v>
      </c>
      <c r="E69" s="11">
        <v>2543.3239998430904</v>
      </c>
      <c r="F69" s="11">
        <v>2633.2329998416349</v>
      </c>
      <c r="G69" s="11"/>
    </row>
    <row r="70" spans="1:7">
      <c r="A70" t="str">
        <f>name!A69</f>
        <v>Health</v>
      </c>
      <c r="B70" s="11">
        <v>1956.1569999746525</v>
      </c>
      <c r="C70" s="11">
        <v>2148.4439999788283</v>
      </c>
      <c r="D70" s="11">
        <v>2213.0239999964506</v>
      </c>
      <c r="E70" s="11">
        <v>2353.5299999758909</v>
      </c>
      <c r="F70" s="11">
        <v>2506.2629999599335</v>
      </c>
      <c r="G70" s="11"/>
    </row>
    <row r="71" spans="1:7">
      <c r="A71" t="str">
        <f>name!A70</f>
        <v>Residential care</v>
      </c>
      <c r="B71" s="11">
        <v>672.53299999000149</v>
      </c>
      <c r="C71" s="11">
        <v>672.8449999919585</v>
      </c>
      <c r="D71" s="11">
        <v>636.03399999914495</v>
      </c>
      <c r="E71" s="11">
        <v>682.28199999168294</v>
      </c>
      <c r="F71" s="11">
        <v>736.25499998788075</v>
      </c>
      <c r="G71" s="11"/>
    </row>
    <row r="72" spans="1:7">
      <c r="A72" t="str">
        <f>name!A71</f>
        <v>Social work</v>
      </c>
      <c r="B72" s="11">
        <v>842.56999998707897</v>
      </c>
      <c r="C72" s="11">
        <v>847.18199998967907</v>
      </c>
      <c r="D72" s="11">
        <v>798.98399999878279</v>
      </c>
      <c r="E72" s="11">
        <v>847.40199998877233</v>
      </c>
      <c r="F72" s="11">
        <v>897.51599998412223</v>
      </c>
      <c r="G72" s="11"/>
    </row>
    <row r="73" spans="1:7">
      <c r="A73" t="str">
        <f>name!A72</f>
        <v>Arts and entertainment</v>
      </c>
      <c r="B73" s="11">
        <v>150.81600000147472</v>
      </c>
      <c r="C73" s="11">
        <v>172.71700000016671</v>
      </c>
      <c r="D73" s="11">
        <v>183.77300000087902</v>
      </c>
      <c r="E73" s="11">
        <v>174.82400000427086</v>
      </c>
      <c r="F73" s="11">
        <v>182.60400000392488</v>
      </c>
      <c r="G73" s="11"/>
    </row>
    <row r="74" spans="1:7">
      <c r="A74" t="str">
        <f>name!A73</f>
        <v>Libraries, etc</v>
      </c>
      <c r="B74" s="11">
        <v>161.19200000138704</v>
      </c>
      <c r="C74" s="11">
        <v>153.67200000035348</v>
      </c>
      <c r="D74" s="11">
        <v>167.18700000018524</v>
      </c>
      <c r="E74" s="11">
        <v>157.00600000319977</v>
      </c>
      <c r="F74" s="11">
        <v>165.28700000313452</v>
      </c>
      <c r="G74" s="11"/>
    </row>
    <row r="75" spans="1:7">
      <c r="A75" t="str">
        <f>name!A74</f>
        <v>Gambling and betting</v>
      </c>
      <c r="B75" s="11">
        <v>96.141000000180142</v>
      </c>
      <c r="C75" s="11">
        <v>88.316000000093624</v>
      </c>
      <c r="D75" s="11">
        <v>84.679000000172564</v>
      </c>
      <c r="E75" s="11">
        <v>91.36200000103436</v>
      </c>
      <c r="F75" s="11">
        <v>101.03000000124182</v>
      </c>
      <c r="G75" s="11"/>
    </row>
    <row r="76" spans="1:7">
      <c r="A76" t="str">
        <f>name!A75</f>
        <v>Sport and recreation</v>
      </c>
      <c r="B76" s="11">
        <v>427.53800000185254</v>
      </c>
      <c r="C76" s="11">
        <v>448.00700000061209</v>
      </c>
      <c r="D76" s="11">
        <v>429.09900000098276</v>
      </c>
      <c r="E76" s="11">
        <v>462.41700000594534</v>
      </c>
      <c r="F76" s="11">
        <v>508.65400000748815</v>
      </c>
      <c r="G76" s="11"/>
    </row>
    <row r="77" spans="1:7">
      <c r="A77" t="str">
        <f>name!A76</f>
        <v>Membership organisations</v>
      </c>
      <c r="B77" s="11">
        <v>363.70899999778896</v>
      </c>
      <c r="C77" s="11">
        <v>360.79499999807575</v>
      </c>
      <c r="D77" s="11">
        <v>341.49799999864223</v>
      </c>
      <c r="E77" s="11">
        <v>339.69300000242885</v>
      </c>
      <c r="F77" s="11">
        <v>341.47800000396688</v>
      </c>
      <c r="G77" s="11"/>
    </row>
    <row r="78" spans="1:7">
      <c r="A78" t="str">
        <f>name!A77</f>
        <v>Repair of goods</v>
      </c>
      <c r="B78" s="11">
        <v>61.804000000101098</v>
      </c>
      <c r="C78" s="11">
        <v>64.886000000157608</v>
      </c>
      <c r="D78" s="11">
        <v>74.547999999771761</v>
      </c>
      <c r="E78" s="11">
        <v>75.786000000843742</v>
      </c>
      <c r="F78" s="11">
        <v>78.33300000072397</v>
      </c>
      <c r="G78" s="11"/>
    </row>
    <row r="79" spans="1:7">
      <c r="A79" t="str">
        <f>name!A78</f>
        <v>Other personal service</v>
      </c>
      <c r="B79" s="11">
        <v>409.91300000461939</v>
      </c>
      <c r="C79" s="11">
        <v>438.43800000435942</v>
      </c>
      <c r="D79" s="11">
        <v>440.26199999921471</v>
      </c>
      <c r="E79" s="11">
        <v>433.96800000477975</v>
      </c>
      <c r="F79" s="11">
        <v>436.27300000431035</v>
      </c>
      <c r="G79" s="11"/>
    </row>
    <row r="80" spans="1:7">
      <c r="B80" s="11"/>
      <c r="C80" s="11"/>
      <c r="D80" s="11"/>
      <c r="E80" s="11"/>
      <c r="F80" s="11"/>
      <c r="G80" s="11"/>
    </row>
    <row r="81" spans="1:7">
      <c r="A81" s="21" t="str">
        <f>name!A3</f>
        <v>All industries</v>
      </c>
      <c r="B81" s="26">
        <f>SUM(B5:B79)</f>
        <v>28656.171999997776</v>
      </c>
      <c r="C81" s="26">
        <f t="shared" ref="C81:F81" si="0">SUM(C5:C79)</f>
        <v>30212.759999993876</v>
      </c>
      <c r="D81" s="26">
        <f t="shared" si="0"/>
        <v>29859.680999995198</v>
      </c>
      <c r="E81" s="26">
        <f t="shared" si="0"/>
        <v>30754.748000010721</v>
      </c>
      <c r="F81" s="26">
        <f t="shared" si="0"/>
        <v>32070.091000012544</v>
      </c>
      <c r="G81" s="11"/>
    </row>
    <row r="82" spans="1:7">
      <c r="B82" s="11"/>
      <c r="C82" s="11"/>
      <c r="D82" s="11"/>
      <c r="E82" s="11"/>
      <c r="F82" s="11"/>
      <c r="G82" s="11"/>
    </row>
    <row r="83" spans="1:7">
      <c r="B83" s="11"/>
      <c r="C83" s="11"/>
      <c r="D83" s="11"/>
      <c r="E83" s="11"/>
      <c r="F83" s="11"/>
      <c r="G83" s="11"/>
    </row>
    <row r="84" spans="1:7">
      <c r="B84" s="11"/>
      <c r="C84" s="11"/>
      <c r="D84" s="11"/>
      <c r="E84" s="11"/>
      <c r="F84" s="11"/>
      <c r="G84" s="11"/>
    </row>
    <row r="85" spans="1:7" ht="15.6">
      <c r="A85" s="17" t="str">
        <f>CONCATENATE($A$1," (Continued)")</f>
        <v>Industry Table 3  Employment by Industry (SIC 2007), 2015-2035, England (Continued)</v>
      </c>
      <c r="B85" s="335"/>
      <c r="C85" s="335"/>
      <c r="D85" s="335"/>
      <c r="E85" s="335"/>
      <c r="F85" s="335"/>
      <c r="G85" s="11"/>
    </row>
    <row r="87" spans="1:7" ht="12.95">
      <c r="A87" s="28"/>
      <c r="B87" s="20">
        <f>B$3</f>
        <v>2015</v>
      </c>
      <c r="C87" s="20">
        <f>C$3</f>
        <v>2019</v>
      </c>
      <c r="D87" s="20">
        <f>D$3</f>
        <v>2020</v>
      </c>
      <c r="E87" s="20">
        <f>E$3</f>
        <v>2025</v>
      </c>
      <c r="F87" s="20">
        <f>F$3</f>
        <v>2035</v>
      </c>
      <c r="G87" s="11"/>
    </row>
    <row r="88" spans="1:7" ht="12.95">
      <c r="A88" s="23" t="s">
        <v>124</v>
      </c>
    </row>
    <row r="89" spans="1:7">
      <c r="A89" t="str">
        <f>$A$5</f>
        <v>Agriculture, etc</v>
      </c>
      <c r="B89" s="335">
        <f t="shared" ref="B89:F98" si="1">B5/B$81*100</f>
        <v>0.91660533026148039</v>
      </c>
      <c r="C89" s="335">
        <f t="shared" si="1"/>
        <v>0.89498940183526077</v>
      </c>
      <c r="D89" s="335">
        <f t="shared" si="1"/>
        <v>0.80273463068380679</v>
      </c>
      <c r="E89" s="335">
        <f t="shared" si="1"/>
        <v>0.80279636821715228</v>
      </c>
      <c r="F89" s="335">
        <f t="shared" si="1"/>
        <v>0.77688897109163713</v>
      </c>
    </row>
    <row r="90" spans="1:7">
      <c r="A90" t="str">
        <f>$A$6</f>
        <v>Coal, oil &amp; gas; Mining &amp; related</v>
      </c>
      <c r="B90" s="335">
        <f t="shared" si="1"/>
        <v>0.10606790048531306</v>
      </c>
      <c r="C90" s="335">
        <f t="shared" si="1"/>
        <v>7.9350579026815596E-2</v>
      </c>
      <c r="D90" s="335">
        <f t="shared" si="1"/>
        <v>8.2070535180871831E-2</v>
      </c>
      <c r="E90" s="335">
        <f t="shared" si="1"/>
        <v>6.4211223580988949E-2</v>
      </c>
      <c r="F90" s="335">
        <f t="shared" si="1"/>
        <v>4.5830864652246422E-2</v>
      </c>
    </row>
    <row r="91" spans="1:7">
      <c r="A91" t="str">
        <f>$A$7</f>
        <v>Food products</v>
      </c>
      <c r="B91" s="335">
        <f t="shared" si="1"/>
        <v>1.0890638149481744</v>
      </c>
      <c r="C91" s="335">
        <f t="shared" si="1"/>
        <v>1.1016140200380797</v>
      </c>
      <c r="D91" s="335">
        <f t="shared" si="1"/>
        <v>1.1128518084315133</v>
      </c>
      <c r="E91" s="335">
        <f t="shared" si="1"/>
        <v>1.0944066262670931</v>
      </c>
      <c r="F91" s="335">
        <f t="shared" si="1"/>
        <v>1.022909476633872</v>
      </c>
    </row>
    <row r="92" spans="1:7">
      <c r="A92" t="str">
        <f>$A$8</f>
        <v>Beverages and tobacco</v>
      </c>
      <c r="B92" s="335">
        <f t="shared" si="1"/>
        <v>9.3676154651840801E-2</v>
      </c>
      <c r="C92" s="335">
        <f t="shared" si="1"/>
        <v>0.11125431771219364</v>
      </c>
      <c r="D92" s="335">
        <f t="shared" si="1"/>
        <v>0.11726515095691324</v>
      </c>
      <c r="E92" s="335">
        <f t="shared" si="1"/>
        <v>0.11455141820749311</v>
      </c>
      <c r="F92" s="335">
        <f t="shared" si="1"/>
        <v>0.10615810226450031</v>
      </c>
    </row>
    <row r="93" spans="1:7">
      <c r="A93" t="str">
        <f>$A$9</f>
        <v>Textiles</v>
      </c>
      <c r="B93" s="335">
        <f t="shared" si="1"/>
        <v>0.17259109137182421</v>
      </c>
      <c r="C93" s="335">
        <f t="shared" si="1"/>
        <v>0.17835841545116854</v>
      </c>
      <c r="D93" s="335">
        <f t="shared" si="1"/>
        <v>0.19029339261865583</v>
      </c>
      <c r="E93" s="335">
        <f t="shared" si="1"/>
        <v>0.16335689045623566</v>
      </c>
      <c r="F93" s="335">
        <f t="shared" si="1"/>
        <v>0.13403142510725818</v>
      </c>
    </row>
    <row r="94" spans="1:7">
      <c r="A94" t="str">
        <f>$A$10</f>
        <v>Wearing apparel; Leather, etc</v>
      </c>
      <c r="B94" s="335">
        <f t="shared" si="1"/>
        <v>0.16897232470678303</v>
      </c>
      <c r="C94" s="335">
        <f t="shared" si="1"/>
        <v>0.14682869092462256</v>
      </c>
      <c r="D94" s="335">
        <f t="shared" si="1"/>
        <v>0.16503525272095107</v>
      </c>
      <c r="E94" s="335">
        <f t="shared" si="1"/>
        <v>0.14182200419985752</v>
      </c>
      <c r="F94" s="335">
        <f t="shared" si="1"/>
        <v>0.11733674220089167</v>
      </c>
    </row>
    <row r="95" spans="1:7">
      <c r="A95" t="str">
        <f>$A$11</f>
        <v xml:space="preserve">Wood and cork </v>
      </c>
      <c r="B95" s="335">
        <f t="shared" si="1"/>
        <v>0.23156617010774358</v>
      </c>
      <c r="C95" s="335">
        <f t="shared" si="1"/>
        <v>0.24520103426570536</v>
      </c>
      <c r="D95" s="335">
        <f t="shared" si="1"/>
        <v>0.25690830387601377</v>
      </c>
      <c r="E95" s="335">
        <f t="shared" si="1"/>
        <v>0.24824784777857703</v>
      </c>
      <c r="F95" s="335">
        <f t="shared" si="1"/>
        <v>0.22919174130182274</v>
      </c>
    </row>
    <row r="96" spans="1:7">
      <c r="A96" t="str">
        <f>$A$12</f>
        <v>Paper, etc</v>
      </c>
      <c r="B96" s="335">
        <f t="shared" si="1"/>
        <v>0.19152593026077502</v>
      </c>
      <c r="C96" s="335">
        <f t="shared" si="1"/>
        <v>0.15420636843502461</v>
      </c>
      <c r="D96" s="335">
        <f t="shared" si="1"/>
        <v>0.1386485006322741</v>
      </c>
      <c r="E96" s="335">
        <f t="shared" si="1"/>
        <v>0.13427520199571671</v>
      </c>
      <c r="F96" s="335">
        <f t="shared" si="1"/>
        <v>0.12413123492627944</v>
      </c>
    </row>
    <row r="97" spans="1:6">
      <c r="A97" t="str">
        <f>$A$13</f>
        <v>Printing and recording</v>
      </c>
      <c r="B97" s="335">
        <f t="shared" si="1"/>
        <v>0.37961804528513315</v>
      </c>
      <c r="C97" s="335">
        <f t="shared" si="1"/>
        <v>0.281688928782931</v>
      </c>
      <c r="D97" s="335">
        <f t="shared" si="1"/>
        <v>0.27108126171857277</v>
      </c>
      <c r="E97" s="335">
        <f t="shared" si="1"/>
        <v>0.24369895666399269</v>
      </c>
      <c r="F97" s="335">
        <f t="shared" si="1"/>
        <v>0.19758908698058231</v>
      </c>
    </row>
    <row r="98" spans="1:6">
      <c r="A98" t="str">
        <f>$A$14</f>
        <v>Coke and petroleum; Chemicals, etc</v>
      </c>
      <c r="B98" s="335">
        <f t="shared" si="1"/>
        <v>0.30734740145951034</v>
      </c>
      <c r="C98" s="335">
        <f t="shared" si="1"/>
        <v>0.32212879591171995</v>
      </c>
      <c r="D98" s="335">
        <f t="shared" si="1"/>
        <v>0.31829877887730834</v>
      </c>
      <c r="E98" s="335">
        <f t="shared" si="1"/>
        <v>0.29111277387349399</v>
      </c>
      <c r="F98" s="335">
        <f t="shared" si="1"/>
        <v>0.25474514556482819</v>
      </c>
    </row>
    <row r="99" spans="1:6">
      <c r="A99" t="str">
        <f>$A$15</f>
        <v>Pharmaceuticals</v>
      </c>
      <c r="B99" s="335">
        <f t="shared" ref="B99:F108" si="2">B15/B$81*100</f>
        <v>0.11941929996754641</v>
      </c>
      <c r="C99" s="335">
        <f t="shared" si="2"/>
        <v>0.12768446179631104</v>
      </c>
      <c r="D99" s="335">
        <f t="shared" si="2"/>
        <v>0.13559086582286176</v>
      </c>
      <c r="E99" s="335">
        <f t="shared" si="2"/>
        <v>0.14228372152562688</v>
      </c>
      <c r="F99" s="335">
        <f t="shared" si="2"/>
        <v>0.13226030446979342</v>
      </c>
    </row>
    <row r="100" spans="1:6">
      <c r="A100" t="str">
        <f>$A$16</f>
        <v>Rubber and plastic</v>
      </c>
      <c r="B100" s="335">
        <f t="shared" si="2"/>
        <v>0.54631860808212029</v>
      </c>
      <c r="C100" s="335">
        <f t="shared" si="2"/>
        <v>0.48805206806560802</v>
      </c>
      <c r="D100" s="335">
        <f t="shared" si="2"/>
        <v>0.52571559622433595</v>
      </c>
      <c r="E100" s="335">
        <f t="shared" si="2"/>
        <v>0.50233219274255902</v>
      </c>
      <c r="F100" s="335">
        <f t="shared" si="2"/>
        <v>0.42926912805137712</v>
      </c>
    </row>
    <row r="101" spans="1:6">
      <c r="A101" t="str">
        <f>$A$17</f>
        <v>Other non-metallic</v>
      </c>
      <c r="B101" s="335">
        <f t="shared" si="2"/>
        <v>0.25758499774455451</v>
      </c>
      <c r="C101" s="335">
        <f t="shared" si="2"/>
        <v>0.26969730670069142</v>
      </c>
      <c r="D101" s="335">
        <f t="shared" si="2"/>
        <v>0.27621192604157191</v>
      </c>
      <c r="E101" s="335">
        <f t="shared" si="2"/>
        <v>0.26361132921770247</v>
      </c>
      <c r="F101" s="335">
        <f t="shared" si="2"/>
        <v>0.22481071226270444</v>
      </c>
    </row>
    <row r="102" spans="1:6">
      <c r="A102" t="str">
        <f>$A$18</f>
        <v>Basic metals</v>
      </c>
      <c r="B102" s="335">
        <f t="shared" si="2"/>
        <v>0.18615535948042009</v>
      </c>
      <c r="C102" s="335">
        <f t="shared" si="2"/>
        <v>0.18968144585225313</v>
      </c>
      <c r="D102" s="335">
        <f t="shared" si="2"/>
        <v>0.16148531526480511</v>
      </c>
      <c r="E102" s="335">
        <f t="shared" si="2"/>
        <v>0.1525813185010538</v>
      </c>
      <c r="F102" s="335">
        <f t="shared" si="2"/>
        <v>0.12867129064304073</v>
      </c>
    </row>
    <row r="103" spans="1:6">
      <c r="A103" t="str">
        <f>$A$19</f>
        <v>Metal products</v>
      </c>
      <c r="B103" s="335">
        <f t="shared" si="2"/>
        <v>0.97607942889101484</v>
      </c>
      <c r="C103" s="335">
        <f t="shared" si="2"/>
        <v>0.89631003589055513</v>
      </c>
      <c r="D103" s="335">
        <f t="shared" si="2"/>
        <v>0.79491472129094609</v>
      </c>
      <c r="E103" s="335">
        <f t="shared" si="2"/>
        <v>0.74925991915352663</v>
      </c>
      <c r="F103" s="335">
        <f t="shared" si="2"/>
        <v>0.63055012847011538</v>
      </c>
    </row>
    <row r="104" spans="1:6">
      <c r="A104" t="str">
        <f>$A$20</f>
        <v>Computer, etc</v>
      </c>
      <c r="B104" s="335">
        <f t="shared" si="2"/>
        <v>0.3431616756059041</v>
      </c>
      <c r="C104" s="335">
        <f t="shared" si="2"/>
        <v>0.33210471337167813</v>
      </c>
      <c r="D104" s="335">
        <f t="shared" si="2"/>
        <v>0.34918658374047684</v>
      </c>
      <c r="E104" s="335">
        <f t="shared" si="2"/>
        <v>0.3519424057728634</v>
      </c>
      <c r="F104" s="335">
        <f t="shared" si="2"/>
        <v>0.28742668675500271</v>
      </c>
    </row>
    <row r="105" spans="1:6">
      <c r="A105" t="str">
        <f>$A$21</f>
        <v>Electrical equipment</v>
      </c>
      <c r="B105" s="335">
        <f t="shared" si="2"/>
        <v>0.2638349602304555</v>
      </c>
      <c r="C105" s="335">
        <f t="shared" si="2"/>
        <v>0.22768525616292545</v>
      </c>
      <c r="D105" s="335">
        <f t="shared" si="2"/>
        <v>0.20456347139090966</v>
      </c>
      <c r="E105" s="335">
        <f t="shared" si="2"/>
        <v>0.19397980435496809</v>
      </c>
      <c r="F105" s="335">
        <f t="shared" si="2"/>
        <v>0.17743947156351167</v>
      </c>
    </row>
    <row r="106" spans="1:6">
      <c r="A106" t="str">
        <f>$A$22</f>
        <v>Machinery n.e.c.</v>
      </c>
      <c r="B106" s="335">
        <f t="shared" si="2"/>
        <v>0.54861828718619077</v>
      </c>
      <c r="C106" s="335">
        <f t="shared" si="2"/>
        <v>0.56126616700912624</v>
      </c>
      <c r="D106" s="335">
        <f t="shared" si="2"/>
        <v>0.52682411442899324</v>
      </c>
      <c r="E106" s="335">
        <f t="shared" si="2"/>
        <v>0.52378253920473927</v>
      </c>
      <c r="F106" s="335">
        <f t="shared" si="2"/>
        <v>0.43995197893438043</v>
      </c>
    </row>
    <row r="107" spans="1:6">
      <c r="A107" t="str">
        <f>$A$23</f>
        <v>Motor vehicles, etc</v>
      </c>
      <c r="B107" s="335">
        <f t="shared" si="2"/>
        <v>0.47313716570326969</v>
      </c>
      <c r="C107" s="335">
        <f t="shared" si="2"/>
        <v>0.49199411109534563</v>
      </c>
      <c r="D107" s="335">
        <f t="shared" si="2"/>
        <v>0.43642797121470156</v>
      </c>
      <c r="E107" s="335">
        <f t="shared" si="2"/>
        <v>0.42137233574546196</v>
      </c>
      <c r="F107" s="335">
        <f t="shared" si="2"/>
        <v>0.37438621549384299</v>
      </c>
    </row>
    <row r="108" spans="1:6">
      <c r="A108" t="str">
        <f>$A$24</f>
        <v>Other transport equipment</v>
      </c>
      <c r="B108" s="335">
        <f t="shared" si="2"/>
        <v>0.39824928465506715</v>
      </c>
      <c r="C108" s="335">
        <f t="shared" si="2"/>
        <v>0.39651458522732258</v>
      </c>
      <c r="D108" s="335">
        <f t="shared" si="2"/>
        <v>0.40205385985064152</v>
      </c>
      <c r="E108" s="335">
        <f t="shared" si="2"/>
        <v>0.33506045960795472</v>
      </c>
      <c r="F108" s="335">
        <f t="shared" si="2"/>
        <v>0.31986501067385087</v>
      </c>
    </row>
    <row r="109" spans="1:6">
      <c r="A109" t="str">
        <f>$A$25</f>
        <v>Furniture</v>
      </c>
      <c r="B109" s="335">
        <f t="shared" ref="B109:F118" si="3">B25/B$81*100</f>
        <v>0.28763786035334027</v>
      </c>
      <c r="C109" s="335">
        <f t="shared" si="3"/>
        <v>0.2790973085543173</v>
      </c>
      <c r="D109" s="335">
        <f t="shared" si="3"/>
        <v>0.29166754996473576</v>
      </c>
      <c r="E109" s="335">
        <f t="shared" si="3"/>
        <v>0.24845594573033808</v>
      </c>
      <c r="F109" s="335">
        <f t="shared" si="3"/>
        <v>0.22428374151004585</v>
      </c>
    </row>
    <row r="110" spans="1:6">
      <c r="A110" t="str">
        <f>$A$26</f>
        <v>Other manufacturing</v>
      </c>
      <c r="B110" s="335">
        <f t="shared" si="3"/>
        <v>0.29882218741577787</v>
      </c>
      <c r="C110" s="335">
        <f t="shared" si="3"/>
        <v>0.28277456280014923</v>
      </c>
      <c r="D110" s="335">
        <f t="shared" si="3"/>
        <v>0.29771249063173694</v>
      </c>
      <c r="E110" s="335">
        <f t="shared" si="3"/>
        <v>0.25220496035459739</v>
      </c>
      <c r="F110" s="335">
        <f t="shared" si="3"/>
        <v>0.22717428522637714</v>
      </c>
    </row>
    <row r="111" spans="1:6">
      <c r="A111" t="str">
        <f>$A$27</f>
        <v>Repair and installation</v>
      </c>
      <c r="B111" s="335">
        <f t="shared" si="3"/>
        <v>0.33562054275748054</v>
      </c>
      <c r="C111" s="335">
        <f t="shared" si="3"/>
        <v>0.37777084913747405</v>
      </c>
      <c r="D111" s="335">
        <f t="shared" si="3"/>
        <v>0.42322287367911576</v>
      </c>
      <c r="E111" s="335">
        <f t="shared" si="3"/>
        <v>0.35977209112563685</v>
      </c>
      <c r="F111" s="335">
        <f t="shared" si="3"/>
        <v>0.32681541190535213</v>
      </c>
    </row>
    <row r="112" spans="1:6">
      <c r="A112" t="str">
        <f>$A$28</f>
        <v>Electricity, gas, etc</v>
      </c>
      <c r="B112" s="335">
        <f t="shared" si="3"/>
        <v>0.34472852828902673</v>
      </c>
      <c r="C112" s="335">
        <f t="shared" si="3"/>
        <v>0.39388324667953079</v>
      </c>
      <c r="D112" s="335">
        <f t="shared" si="3"/>
        <v>0.39762983402096441</v>
      </c>
      <c r="E112" s="335">
        <f t="shared" si="3"/>
        <v>0.37148410385515829</v>
      </c>
      <c r="F112" s="335">
        <f t="shared" si="3"/>
        <v>0.35389360136354808</v>
      </c>
    </row>
    <row r="113" spans="1:6">
      <c r="A113" t="str">
        <f>$A$29</f>
        <v>Water</v>
      </c>
      <c r="B113" s="335">
        <f t="shared" si="3"/>
        <v>0.11154665040345414</v>
      </c>
      <c r="C113" s="335">
        <f t="shared" si="3"/>
        <v>0.12789960268390874</v>
      </c>
      <c r="D113" s="335">
        <f t="shared" si="3"/>
        <v>0.12217813043562541</v>
      </c>
      <c r="E113" s="335">
        <f t="shared" si="3"/>
        <v>0.12475797233060117</v>
      </c>
      <c r="F113" s="335">
        <f t="shared" si="3"/>
        <v>0.12914525250418804</v>
      </c>
    </row>
    <row r="114" spans="1:6">
      <c r="A114" t="str">
        <f>$A$30</f>
        <v>Sewerage</v>
      </c>
      <c r="B114" s="335">
        <f t="shared" si="3"/>
        <v>7.6475671628741443E-2</v>
      </c>
      <c r="C114" s="335">
        <f t="shared" si="3"/>
        <v>7.0685366050779602E-2</v>
      </c>
      <c r="D114" s="335">
        <f t="shared" si="3"/>
        <v>6.5208332265982924E-2</v>
      </c>
      <c r="E114" s="335">
        <f t="shared" si="3"/>
        <v>6.6711650507350145E-2</v>
      </c>
      <c r="F114" s="335">
        <f t="shared" si="3"/>
        <v>6.9304449433134449E-2</v>
      </c>
    </row>
    <row r="115" spans="1:6">
      <c r="A115" t="str">
        <f>$A$31</f>
        <v>Waste management</v>
      </c>
      <c r="B115" s="335">
        <f t="shared" si="3"/>
        <v>0.38201543458137022</v>
      </c>
      <c r="C115" s="335">
        <f t="shared" si="3"/>
        <v>0.41565550449624133</v>
      </c>
      <c r="D115" s="335">
        <f t="shared" si="3"/>
        <v>0.38734506239354699</v>
      </c>
      <c r="E115" s="335">
        <f t="shared" si="3"/>
        <v>0.39507720889310532</v>
      </c>
      <c r="F115" s="335">
        <f t="shared" si="3"/>
        <v>0.40785977190031647</v>
      </c>
    </row>
    <row r="116" spans="1:6">
      <c r="A116" t="str">
        <f>$A$32</f>
        <v>Construction</v>
      </c>
      <c r="B116" s="335">
        <f t="shared" si="3"/>
        <v>1.9494613586047069</v>
      </c>
      <c r="C116" s="335">
        <f t="shared" si="3"/>
        <v>2.1769245842036047</v>
      </c>
      <c r="D116" s="335">
        <f t="shared" si="3"/>
        <v>2.2234597884374288</v>
      </c>
      <c r="E116" s="335">
        <f t="shared" si="3"/>
        <v>2.2778434080371714</v>
      </c>
      <c r="F116" s="335">
        <f t="shared" si="3"/>
        <v>2.3623818216775878</v>
      </c>
    </row>
    <row r="117" spans="1:6">
      <c r="A117" t="str">
        <f>$A$33</f>
        <v>Civil engineering</v>
      </c>
      <c r="B117" s="335">
        <f t="shared" si="3"/>
        <v>0.86191205160807205</v>
      </c>
      <c r="C117" s="335">
        <f t="shared" si="3"/>
        <v>0.86946376300239703</v>
      </c>
      <c r="D117" s="335">
        <f t="shared" si="3"/>
        <v>0.8750595828422012</v>
      </c>
      <c r="E117" s="335">
        <f t="shared" si="3"/>
        <v>0.88750523980654772</v>
      </c>
      <c r="F117" s="335">
        <f t="shared" si="3"/>
        <v>0.9088436948631049</v>
      </c>
    </row>
    <row r="118" spans="1:6">
      <c r="A118" t="str">
        <f>$A$34</f>
        <v>Specialised construction</v>
      </c>
      <c r="B118" s="335">
        <f t="shared" si="3"/>
        <v>3.4712312586260543</v>
      </c>
      <c r="C118" s="335">
        <f t="shared" si="3"/>
        <v>3.5625973926598249</v>
      </c>
      <c r="D118" s="335">
        <f t="shared" si="3"/>
        <v>3.5987892837348796</v>
      </c>
      <c r="E118" s="335">
        <f t="shared" si="3"/>
        <v>3.6562029380190784</v>
      </c>
      <c r="F118" s="335">
        <f t="shared" si="3"/>
        <v>3.7506348203439517</v>
      </c>
    </row>
    <row r="119" spans="1:6">
      <c r="A119" t="str">
        <f>$A$35</f>
        <v>Motor vehicle trade</v>
      </c>
      <c r="B119" s="335">
        <f t="shared" ref="B119:F128" si="4">B35/B$81*100</f>
        <v>1.7201948676298868</v>
      </c>
      <c r="C119" s="335">
        <f t="shared" si="4"/>
        <v>1.869296284099214</v>
      </c>
      <c r="D119" s="335">
        <f t="shared" si="4"/>
        <v>1.7310432753809284</v>
      </c>
      <c r="E119" s="335">
        <f t="shared" si="4"/>
        <v>1.7312156158856662</v>
      </c>
      <c r="F119" s="335">
        <f t="shared" si="4"/>
        <v>1.7257200798174808</v>
      </c>
    </row>
    <row r="120" spans="1:6">
      <c r="A120" t="str">
        <f>$A$36</f>
        <v>Wholesale trade</v>
      </c>
      <c r="B120" s="335">
        <f t="shared" si="4"/>
        <v>3.7666929135121401</v>
      </c>
      <c r="C120" s="335">
        <f t="shared" si="4"/>
        <v>3.6956438273214105</v>
      </c>
      <c r="D120" s="335">
        <f t="shared" si="4"/>
        <v>3.7048419907772661</v>
      </c>
      <c r="E120" s="335">
        <f t="shared" si="4"/>
        <v>3.6406216042235249</v>
      </c>
      <c r="F120" s="335">
        <f t="shared" si="4"/>
        <v>3.5126124213803913</v>
      </c>
    </row>
    <row r="121" spans="1:6">
      <c r="A121" t="str">
        <f>$A$37</f>
        <v>Retail trade</v>
      </c>
      <c r="B121" s="335">
        <f t="shared" si="4"/>
        <v>9.3162443332144598</v>
      </c>
      <c r="C121" s="335">
        <f t="shared" si="4"/>
        <v>8.6383501542045931</v>
      </c>
      <c r="D121" s="335">
        <f t="shared" si="4"/>
        <v>8.829595333025269</v>
      </c>
      <c r="E121" s="335">
        <f t="shared" si="4"/>
        <v>8.5565162168769344</v>
      </c>
      <c r="F121" s="335">
        <f t="shared" si="4"/>
        <v>8.2585671492651667</v>
      </c>
    </row>
    <row r="122" spans="1:6">
      <c r="A122" t="str">
        <f>$A$38</f>
        <v>Land transport, etc</v>
      </c>
      <c r="B122" s="335">
        <f t="shared" si="4"/>
        <v>2.2474844162936236</v>
      </c>
      <c r="C122" s="335">
        <f t="shared" si="4"/>
        <v>2.4827787993825181</v>
      </c>
      <c r="D122" s="335">
        <f t="shared" si="4"/>
        <v>2.3754573935427743</v>
      </c>
      <c r="E122" s="335">
        <f t="shared" si="4"/>
        <v>2.5103148301595515</v>
      </c>
      <c r="F122" s="335">
        <f t="shared" si="4"/>
        <v>2.4299307414643638</v>
      </c>
    </row>
    <row r="123" spans="1:6">
      <c r="A123" t="str">
        <f>$A$39</f>
        <v>Water transport</v>
      </c>
      <c r="B123" s="335">
        <f t="shared" si="4"/>
        <v>4.9619328080742944E-2</v>
      </c>
      <c r="C123" s="335">
        <f t="shared" si="4"/>
        <v>5.3182827388469023E-2</v>
      </c>
      <c r="D123" s="335">
        <f t="shared" si="4"/>
        <v>5.3617451573044504E-2</v>
      </c>
      <c r="E123" s="335">
        <f t="shared" si="4"/>
        <v>4.3635538812376015E-2</v>
      </c>
      <c r="F123" s="335">
        <f t="shared" si="4"/>
        <v>3.9338834430375794E-2</v>
      </c>
    </row>
    <row r="124" spans="1:6">
      <c r="A124" t="str">
        <f>$A$40</f>
        <v>Air transport</v>
      </c>
      <c r="B124" s="335">
        <f t="shared" si="4"/>
        <v>0.24720677974903812</v>
      </c>
      <c r="C124" s="335">
        <f t="shared" si="4"/>
        <v>0.24979180981939941</v>
      </c>
      <c r="D124" s="335">
        <f t="shared" si="4"/>
        <v>0.23601725684809777</v>
      </c>
      <c r="E124" s="335">
        <f t="shared" si="4"/>
        <v>0.23799577223135132</v>
      </c>
      <c r="F124" s="335">
        <f t="shared" si="4"/>
        <v>0.23134639686750452</v>
      </c>
    </row>
    <row r="125" spans="1:6">
      <c r="A125" t="str">
        <f>$A$41</f>
        <v>Warehousing, etc</v>
      </c>
      <c r="B125" s="335">
        <f t="shared" si="4"/>
        <v>1.4747573402437284</v>
      </c>
      <c r="C125" s="335">
        <f t="shared" si="4"/>
        <v>1.6077081339196293</v>
      </c>
      <c r="D125" s="335">
        <f t="shared" si="4"/>
        <v>1.6879014882987202</v>
      </c>
      <c r="E125" s="335">
        <f t="shared" si="4"/>
        <v>1.7247385672088733</v>
      </c>
      <c r="F125" s="335">
        <f t="shared" si="4"/>
        <v>1.6980026654881784</v>
      </c>
    </row>
    <row r="126" spans="1:6">
      <c r="A126" t="str">
        <f>$A$42</f>
        <v>Postal and courier</v>
      </c>
      <c r="B126" s="335">
        <f t="shared" si="4"/>
        <v>0.86520628087541729</v>
      </c>
      <c r="C126" s="335">
        <f t="shared" si="4"/>
        <v>0.88495721675826022</v>
      </c>
      <c r="D126" s="335">
        <f t="shared" si="4"/>
        <v>0.9477294817729629</v>
      </c>
      <c r="E126" s="335">
        <f t="shared" si="4"/>
        <v>0.97186619771297411</v>
      </c>
      <c r="F126" s="335">
        <f t="shared" si="4"/>
        <v>0.96764926549120722</v>
      </c>
    </row>
    <row r="127" spans="1:6">
      <c r="A127" t="str">
        <f>$A$43</f>
        <v>Accommodation</v>
      </c>
      <c r="B127" s="335">
        <f t="shared" si="4"/>
        <v>1.3541829662567186</v>
      </c>
      <c r="C127" s="335">
        <f t="shared" si="4"/>
        <v>1.4453859892494429</v>
      </c>
      <c r="D127" s="335">
        <f t="shared" si="4"/>
        <v>1.3406070882057539</v>
      </c>
      <c r="E127" s="335">
        <f t="shared" si="4"/>
        <v>1.4525464491185172</v>
      </c>
      <c r="F127" s="335">
        <f t="shared" si="4"/>
        <v>1.5189261546196597</v>
      </c>
    </row>
    <row r="128" spans="1:6">
      <c r="A128" t="str">
        <f>$A$44</f>
        <v>Food and beverage services</v>
      </c>
      <c r="B128" s="335">
        <f t="shared" si="4"/>
        <v>5.218219656227669</v>
      </c>
      <c r="C128" s="335">
        <f t="shared" si="4"/>
        <v>5.5779644098218979</v>
      </c>
      <c r="D128" s="335">
        <f t="shared" si="4"/>
        <v>5.478283575793073</v>
      </c>
      <c r="E128" s="335">
        <f t="shared" si="4"/>
        <v>5.4845320144885035</v>
      </c>
      <c r="F128" s="335">
        <f t="shared" si="4"/>
        <v>6.0936496876181492</v>
      </c>
    </row>
    <row r="129" spans="1:6">
      <c r="A129" t="str">
        <f>$A$45</f>
        <v>Publishing activities</v>
      </c>
      <c r="B129" s="335">
        <f t="shared" ref="B129:F129" si="5">B45/B$81*100</f>
        <v>0.56900830997040563</v>
      </c>
      <c r="C129" s="335">
        <f t="shared" si="5"/>
        <v>0.48337192629590325</v>
      </c>
      <c r="D129" s="335">
        <f t="shared" si="5"/>
        <v>0.49649224316869545</v>
      </c>
      <c r="E129" s="335">
        <f t="shared" si="5"/>
        <v>0.48433497163420042</v>
      </c>
      <c r="F129" s="335">
        <f t="shared" si="5"/>
        <v>0.46574236413031295</v>
      </c>
    </row>
    <row r="130" spans="1:6">
      <c r="A130" t="str">
        <f>$A$46</f>
        <v>Film and music</v>
      </c>
      <c r="B130" s="335">
        <f t="shared" ref="B130:B154" si="6">B46/B$81*100</f>
        <v>0.47978145859952254</v>
      </c>
      <c r="C130" s="335">
        <f t="shared" ref="C130:F130" si="7">C46/C$81*100</f>
        <v>0.5129190448005676</v>
      </c>
      <c r="D130" s="335">
        <f t="shared" si="7"/>
        <v>0.51903769501340058</v>
      </c>
      <c r="E130" s="335">
        <f t="shared" si="7"/>
        <v>0.51325733510368654</v>
      </c>
      <c r="F130" s="335">
        <f t="shared" si="7"/>
        <v>0.5021251732738039</v>
      </c>
    </row>
    <row r="131" spans="1:6">
      <c r="A131" t="str">
        <f>$A$47</f>
        <v>Broadcasting</v>
      </c>
      <c r="B131" s="335">
        <f t="shared" si="6"/>
        <v>0.13574737058374534</v>
      </c>
      <c r="C131" s="335">
        <f t="shared" ref="C131:F131" si="8">C47/C$81*100</f>
        <v>0.14612700064440717</v>
      </c>
      <c r="D131" s="335">
        <f t="shared" si="8"/>
        <v>0.15116035566562971</v>
      </c>
      <c r="E131" s="335">
        <f t="shared" si="8"/>
        <v>0.14933303957137739</v>
      </c>
      <c r="F131" s="335">
        <f t="shared" si="8"/>
        <v>0.14411870549689673</v>
      </c>
    </row>
    <row r="132" spans="1:6">
      <c r="A132" t="str">
        <f>$A$48</f>
        <v>Telecommunications</v>
      </c>
      <c r="B132" s="335">
        <f t="shared" si="6"/>
        <v>0.68489259485936838</v>
      </c>
      <c r="C132" s="335">
        <f t="shared" ref="C132:F132" si="9">C48/C$81*100</f>
        <v>0.6110861768289374</v>
      </c>
      <c r="D132" s="335">
        <f t="shared" si="9"/>
        <v>0.59849936105746826</v>
      </c>
      <c r="E132" s="335">
        <f t="shared" si="9"/>
        <v>0.62180642807076092</v>
      </c>
      <c r="F132" s="335">
        <f t="shared" si="9"/>
        <v>0.64038483707775251</v>
      </c>
    </row>
    <row r="133" spans="1:6">
      <c r="A133" t="str">
        <f>$A$49</f>
        <v>Computing services</v>
      </c>
      <c r="B133" s="335">
        <f t="shared" si="6"/>
        <v>2.2558909821981503</v>
      </c>
      <c r="C133" s="335">
        <f t="shared" ref="C133:F133" si="10">C49/C$81*100</f>
        <v>2.3994100505577824</v>
      </c>
      <c r="D133" s="335">
        <f t="shared" si="10"/>
        <v>2.4563289875631011</v>
      </c>
      <c r="E133" s="335">
        <f t="shared" si="10"/>
        <v>2.5629018322790178</v>
      </c>
      <c r="F133" s="335">
        <f t="shared" si="10"/>
        <v>2.6547258628137569</v>
      </c>
    </row>
    <row r="134" spans="1:6">
      <c r="A134" t="str">
        <f>$A$50</f>
        <v>Information services</v>
      </c>
      <c r="B134" s="335">
        <f t="shared" si="6"/>
        <v>0.32513414561896542</v>
      </c>
      <c r="C134" s="335">
        <f t="shared" ref="C134:F134" si="11">C50/C$81*100</f>
        <v>0.28303273186340711</v>
      </c>
      <c r="D134" s="335">
        <f t="shared" si="11"/>
        <v>0.29785314853117528</v>
      </c>
      <c r="E134" s="335">
        <f t="shared" si="11"/>
        <v>0.31312238357744071</v>
      </c>
      <c r="F134" s="335">
        <f t="shared" si="11"/>
        <v>0.32793171681673394</v>
      </c>
    </row>
    <row r="135" spans="1:6">
      <c r="A135" t="str">
        <f>$A$51</f>
        <v>Financial services</v>
      </c>
      <c r="B135" s="335">
        <f t="shared" si="6"/>
        <v>1.5827305894030874</v>
      </c>
      <c r="C135" s="335">
        <f t="shared" ref="C135:F135" si="12">C51/C$81*100</f>
        <v>1.4654900776887936</v>
      </c>
      <c r="D135" s="335">
        <f t="shared" si="12"/>
        <v>1.4640645357154005</v>
      </c>
      <c r="E135" s="335">
        <f t="shared" si="12"/>
        <v>1.4213642719665907</v>
      </c>
      <c r="F135" s="335">
        <f t="shared" si="12"/>
        <v>1.333469867631627</v>
      </c>
    </row>
    <row r="136" spans="1:6">
      <c r="A136" t="str">
        <f>$A$52</f>
        <v>Insurance and pensions</v>
      </c>
      <c r="B136" s="335">
        <f t="shared" si="6"/>
        <v>0.36941430976602174</v>
      </c>
      <c r="C136" s="335">
        <f t="shared" ref="C136:F136" si="13">C52/C$81*100</f>
        <v>0.39473057078834434</v>
      </c>
      <c r="D136" s="335">
        <f t="shared" si="13"/>
        <v>0.39640075190147778</v>
      </c>
      <c r="E136" s="335">
        <f t="shared" si="13"/>
        <v>0.38105010647913162</v>
      </c>
      <c r="F136" s="335">
        <f t="shared" si="13"/>
        <v>0.35030458754122229</v>
      </c>
    </row>
    <row r="137" spans="1:6">
      <c r="A137" t="str">
        <f>$A$53</f>
        <v>Auxiliary financial services</v>
      </c>
      <c r="B137" s="335">
        <f t="shared" si="6"/>
        <v>1.4477160452409565</v>
      </c>
      <c r="C137" s="335">
        <f t="shared" ref="C137:F137" si="14">C53/C$81*100</f>
        <v>1.4440587354326784</v>
      </c>
      <c r="D137" s="335">
        <f t="shared" si="14"/>
        <v>1.5058332337813498</v>
      </c>
      <c r="E137" s="335">
        <f t="shared" si="14"/>
        <v>1.4713207860031432</v>
      </c>
      <c r="F137" s="335">
        <f t="shared" si="14"/>
        <v>1.3775857387118953</v>
      </c>
    </row>
    <row r="138" spans="1:6">
      <c r="A138" t="str">
        <f>$A$54</f>
        <v>Real estate</v>
      </c>
      <c r="B138" s="335">
        <f t="shared" si="6"/>
        <v>1.7438093266555568</v>
      </c>
      <c r="C138" s="335">
        <f t="shared" ref="C138:F138" si="15">C54/C$81*100</f>
        <v>1.6954425878304251</v>
      </c>
      <c r="D138" s="335">
        <f t="shared" si="15"/>
        <v>1.8958173062810342</v>
      </c>
      <c r="E138" s="335">
        <f t="shared" si="15"/>
        <v>1.7819980186604929</v>
      </c>
      <c r="F138" s="335">
        <f t="shared" si="15"/>
        <v>1.8642416699269404</v>
      </c>
    </row>
    <row r="139" spans="1:6">
      <c r="A139" t="str">
        <f>$A$55</f>
        <v>Legal and accounting</v>
      </c>
      <c r="B139" s="335">
        <f t="shared" si="6"/>
        <v>2.3390667811140462</v>
      </c>
      <c r="C139" s="335">
        <f t="shared" ref="C139:F139" si="16">C55/C$81*100</f>
        <v>2.5377191623330528</v>
      </c>
      <c r="D139" s="335">
        <f t="shared" si="16"/>
        <v>2.4459035580339457</v>
      </c>
      <c r="E139" s="335">
        <f t="shared" si="16"/>
        <v>2.4985735536211657</v>
      </c>
      <c r="F139" s="335">
        <f t="shared" si="16"/>
        <v>2.5264193981086156</v>
      </c>
    </row>
    <row r="140" spans="1:6">
      <c r="A140" t="str">
        <f>$A$56</f>
        <v>Head offices, etc</v>
      </c>
      <c r="B140" s="335">
        <f t="shared" si="6"/>
        <v>2.687253552178972</v>
      </c>
      <c r="C140" s="335">
        <f t="shared" ref="C140:F140" si="17">C56/C$81*100</f>
        <v>2.6455411554232251</v>
      </c>
      <c r="D140" s="335">
        <f t="shared" si="17"/>
        <v>2.6962545246069558</v>
      </c>
      <c r="E140" s="335">
        <f t="shared" si="17"/>
        <v>2.7106546280544794</v>
      </c>
      <c r="F140" s="335">
        <f t="shared" si="17"/>
        <v>2.6944014596386601</v>
      </c>
    </row>
    <row r="141" spans="1:6">
      <c r="A141" t="str">
        <f>$A$57</f>
        <v>Architectural and related</v>
      </c>
      <c r="B141" s="335">
        <f t="shared" si="6"/>
        <v>1.7122873215350716</v>
      </c>
      <c r="C141" s="335">
        <f t="shared" ref="C141:F141" si="18">C57/C$81*100</f>
        <v>1.8500825478808891</v>
      </c>
      <c r="D141" s="335">
        <f t="shared" si="18"/>
        <v>1.902498556485694</v>
      </c>
      <c r="E141" s="335">
        <f t="shared" si="18"/>
        <v>1.8185062027028762</v>
      </c>
      <c r="F141" s="335">
        <f t="shared" si="18"/>
        <v>1.8102692630520687</v>
      </c>
    </row>
    <row r="142" spans="1:6">
      <c r="A142" t="str">
        <f>$A$58</f>
        <v>Scientific research and development</v>
      </c>
      <c r="B142" s="335">
        <f t="shared" si="6"/>
        <v>0.50479875678851749</v>
      </c>
      <c r="C142" s="335">
        <f t="shared" ref="C142:F142" si="19">C58/C$81*100</f>
        <v>0.54866222085802963</v>
      </c>
      <c r="D142" s="335">
        <f t="shared" si="19"/>
        <v>0.50216544510389605</v>
      </c>
      <c r="E142" s="335">
        <f t="shared" si="19"/>
        <v>0.54238129345165431</v>
      </c>
      <c r="F142" s="335">
        <f t="shared" si="19"/>
        <v>0.58791227003286772</v>
      </c>
    </row>
    <row r="143" spans="1:6">
      <c r="A143" t="str">
        <f>$A$59</f>
        <v>Advertising, etc</v>
      </c>
      <c r="B143" s="335">
        <f t="shared" si="6"/>
        <v>0.89363645638625266</v>
      </c>
      <c r="C143" s="335">
        <f t="shared" ref="C143:F143" si="20">C59/C$81*100</f>
        <v>0.78327170373168231</v>
      </c>
      <c r="D143" s="335">
        <f t="shared" si="20"/>
        <v>0.74024568447278194</v>
      </c>
      <c r="E143" s="335">
        <f t="shared" si="20"/>
        <v>0.80702335783935031</v>
      </c>
      <c r="F143" s="335">
        <f t="shared" si="20"/>
        <v>0.86185598913939154</v>
      </c>
    </row>
    <row r="144" spans="1:6">
      <c r="A144" t="str">
        <f>$A$60</f>
        <v>Other professional</v>
      </c>
      <c r="B144" s="335">
        <f t="shared" si="6"/>
        <v>0.72426980128113494</v>
      </c>
      <c r="C144" s="335">
        <f t="shared" ref="C144:F144" si="21">C60/C$81*100</f>
        <v>0.82330776797127336</v>
      </c>
      <c r="D144" s="335">
        <f t="shared" si="21"/>
        <v>0.78211820146218047</v>
      </c>
      <c r="E144" s="335">
        <f t="shared" si="21"/>
        <v>0.84694564886051704</v>
      </c>
      <c r="F144" s="335">
        <f t="shared" si="21"/>
        <v>0.91052127044013142</v>
      </c>
    </row>
    <row r="145" spans="1:6">
      <c r="A145" t="str">
        <f>$A$61</f>
        <v>Veterinary</v>
      </c>
      <c r="B145" s="335">
        <f t="shared" si="6"/>
        <v>0.23945277826553321</v>
      </c>
      <c r="C145" s="335">
        <f t="shared" ref="C145:F145" si="22">C61/C$81*100</f>
        <v>0.34961387174699926</v>
      </c>
      <c r="D145" s="335">
        <f t="shared" si="22"/>
        <v>0.33200287705967957</v>
      </c>
      <c r="E145" s="335">
        <f t="shared" si="22"/>
        <v>0.36388527715825786</v>
      </c>
      <c r="F145" s="335">
        <f t="shared" si="22"/>
        <v>0.40224394748053549</v>
      </c>
    </row>
    <row r="146" spans="1:6">
      <c r="A146" t="str">
        <f>$A$62</f>
        <v>Rental and leasing</v>
      </c>
      <c r="B146" s="335">
        <f t="shared" si="6"/>
        <v>0.51275864759710088</v>
      </c>
      <c r="C146" s="335">
        <f t="shared" ref="C146:F146" si="23">C62/C$81*100</f>
        <v>0.47686474191732814</v>
      </c>
      <c r="D146" s="335">
        <f t="shared" si="23"/>
        <v>0.45621050003870728</v>
      </c>
      <c r="E146" s="335">
        <f t="shared" si="23"/>
        <v>0.46990467943700098</v>
      </c>
      <c r="F146" s="335">
        <f t="shared" si="23"/>
        <v>0.48350969755924461</v>
      </c>
    </row>
    <row r="147" spans="1:6">
      <c r="A147" t="str">
        <f>$A$63</f>
        <v>Employment activities</v>
      </c>
      <c r="B147" s="335">
        <f t="shared" si="6"/>
        <v>3.1995515660858294</v>
      </c>
      <c r="C147" s="335">
        <f t="shared" ref="C147:F147" si="24">C63/C$81*100</f>
        <v>3.0795101142858297</v>
      </c>
      <c r="D147" s="335">
        <f t="shared" si="24"/>
        <v>2.9288558039193044</v>
      </c>
      <c r="E147" s="335">
        <f t="shared" si="24"/>
        <v>3.0172934598763601</v>
      </c>
      <c r="F147" s="335">
        <f t="shared" si="24"/>
        <v>3.0982512647239462</v>
      </c>
    </row>
    <row r="148" spans="1:6">
      <c r="A148" t="str">
        <f>$A$64</f>
        <v>Travel, etc</v>
      </c>
      <c r="B148" s="335">
        <f t="shared" si="6"/>
        <v>0.29712621769874614</v>
      </c>
      <c r="C148" s="335">
        <f t="shared" ref="C148:F148" si="25">C64/C$81*100</f>
        <v>0.30116414389386498</v>
      </c>
      <c r="D148" s="335">
        <f t="shared" si="25"/>
        <v>0.28573982421177568</v>
      </c>
      <c r="E148" s="335">
        <f t="shared" si="25"/>
        <v>0.2932360232661077</v>
      </c>
      <c r="F148" s="335">
        <f t="shared" si="25"/>
        <v>0.30131501653899823</v>
      </c>
    </row>
    <row r="149" spans="1:6">
      <c r="A149" t="str">
        <f>$A$65</f>
        <v>Security, etc</v>
      </c>
      <c r="B149" s="335">
        <f t="shared" si="6"/>
        <v>0.61563351867581162</v>
      </c>
      <c r="C149" s="335">
        <f t="shared" ref="C149:F149" si="26">C65/C$81*100</f>
        <v>0.64955667738061285</v>
      </c>
      <c r="D149" s="335">
        <f t="shared" si="26"/>
        <v>0.62217007609795294</v>
      </c>
      <c r="E149" s="335">
        <f t="shared" si="26"/>
        <v>0.6396800910261301</v>
      </c>
      <c r="F149" s="335">
        <f t="shared" si="26"/>
        <v>0.65652760386957165</v>
      </c>
    </row>
    <row r="150" spans="1:6">
      <c r="A150" t="str">
        <f>$A$66</f>
        <v>Services to buildings</v>
      </c>
      <c r="B150" s="335">
        <f t="shared" si="6"/>
        <v>2.5928934262613375</v>
      </c>
      <c r="C150" s="335">
        <f t="shared" ref="C150:F150" si="27">C66/C$81*100</f>
        <v>2.5631024772490036</v>
      </c>
      <c r="D150" s="335">
        <f t="shared" si="27"/>
        <v>2.4349657318858844</v>
      </c>
      <c r="E150" s="335">
        <f t="shared" si="27"/>
        <v>2.498180118414155</v>
      </c>
      <c r="F150" s="335">
        <f t="shared" si="27"/>
        <v>2.5512182051651937</v>
      </c>
    </row>
    <row r="151" spans="1:6">
      <c r="A151" t="str">
        <f>$A$67</f>
        <v>Office administrative</v>
      </c>
      <c r="B151" s="335">
        <f t="shared" si="6"/>
        <v>1.5071587370524562</v>
      </c>
      <c r="C151" s="335">
        <f t="shared" ref="C151:F151" si="28">C67/C$81*100</f>
        <v>1.6656637791532314</v>
      </c>
      <c r="D151" s="335">
        <f t="shared" si="28"/>
        <v>1.5884228635926503</v>
      </c>
      <c r="E151" s="335">
        <f t="shared" si="28"/>
        <v>1.6345411121626396</v>
      </c>
      <c r="F151" s="335">
        <f t="shared" si="28"/>
        <v>1.6789132279100263</v>
      </c>
    </row>
    <row r="152" spans="1:6">
      <c r="A152" t="str">
        <f>$A$68</f>
        <v>Public administration and defence</v>
      </c>
      <c r="B152" s="335">
        <f t="shared" si="6"/>
        <v>3.6666062724360806</v>
      </c>
      <c r="C152" s="335">
        <f t="shared" ref="C152:F152" si="29">C68/C$81*100</f>
        <v>3.5207342857598709</v>
      </c>
      <c r="D152" s="335">
        <f t="shared" si="29"/>
        <v>3.7054414613366817</v>
      </c>
      <c r="E152" s="335">
        <f t="shared" si="29"/>
        <v>3.6923502023206289</v>
      </c>
      <c r="F152" s="335">
        <f t="shared" si="29"/>
        <v>3.6109906891223966</v>
      </c>
    </row>
    <row r="153" spans="1:6">
      <c r="A153" t="str">
        <f>$A$69</f>
        <v xml:space="preserve">Education </v>
      </c>
      <c r="B153" s="335">
        <f t="shared" si="6"/>
        <v>8.81944734273352</v>
      </c>
      <c r="C153" s="335">
        <f t="shared" ref="C153:F153" si="30">C69/C$81*100</f>
        <v>8.3534208724649055</v>
      </c>
      <c r="D153" s="335">
        <f t="shared" si="30"/>
        <v>8.4789251432863111</v>
      </c>
      <c r="E153" s="335">
        <f t="shared" si="30"/>
        <v>8.2696954624443801</v>
      </c>
      <c r="F153" s="335">
        <f t="shared" si="30"/>
        <v>8.2108685000008403</v>
      </c>
    </row>
    <row r="154" spans="1:6">
      <c r="A154" t="str">
        <f>$A$70</f>
        <v>Health</v>
      </c>
      <c r="B154" s="335">
        <f t="shared" si="6"/>
        <v>6.8263025500223975</v>
      </c>
      <c r="C154" s="335">
        <f t="shared" ref="C154:F154" si="31">C70/C$81*100</f>
        <v>7.111048444363453</v>
      </c>
      <c r="D154" s="335">
        <f t="shared" si="31"/>
        <v>7.4114120643043933</v>
      </c>
      <c r="E154" s="335">
        <f t="shared" si="31"/>
        <v>7.6525744902057742</v>
      </c>
      <c r="F154" s="335">
        <f t="shared" si="31"/>
        <v>7.8149544382613483</v>
      </c>
    </row>
    <row r="155" spans="1:6">
      <c r="A155" t="str">
        <f>$A$71</f>
        <v>Residential care</v>
      </c>
      <c r="B155" s="335">
        <f t="shared" ref="B155:F155" si="32">B71/B$81*100</f>
        <v>2.3469045341787229</v>
      </c>
      <c r="C155" s="335">
        <f t="shared" si="32"/>
        <v>2.227022622203648</v>
      </c>
      <c r="D155" s="335">
        <f t="shared" si="32"/>
        <v>2.1300763393930673</v>
      </c>
      <c r="E155" s="335">
        <f t="shared" si="32"/>
        <v>2.2184607072424884</v>
      </c>
      <c r="F155" s="335">
        <f t="shared" si="32"/>
        <v>2.2957683530975723</v>
      </c>
    </row>
    <row r="156" spans="1:6">
      <c r="A156" t="str">
        <f>$A$72</f>
        <v>Social work</v>
      </c>
      <c r="B156" s="335">
        <f t="shared" ref="B156:F156" si="33">B72/B$81*100</f>
        <v>2.9402740882039109</v>
      </c>
      <c r="C156" s="335">
        <f t="shared" si="33"/>
        <v>2.8040536514699443</v>
      </c>
      <c r="D156" s="335">
        <f t="shared" si="33"/>
        <v>2.6757954982804781</v>
      </c>
      <c r="E156" s="335">
        <f t="shared" si="33"/>
        <v>2.7553534172625214</v>
      </c>
      <c r="F156" s="335">
        <f t="shared" si="33"/>
        <v>2.798607587311714</v>
      </c>
    </row>
    <row r="157" spans="1:6">
      <c r="A157" t="str">
        <f>$A$73</f>
        <v>Arts and entertainment</v>
      </c>
      <c r="B157" s="335">
        <f t="shared" ref="B157:F157" si="34">B73/B$81*100</f>
        <v>0.52629499851371087</v>
      </c>
      <c r="C157" s="335">
        <f t="shared" si="34"/>
        <v>0.57166905638611543</v>
      </c>
      <c r="D157" s="335">
        <f t="shared" si="34"/>
        <v>0.61545533591235813</v>
      </c>
      <c r="E157" s="335">
        <f t="shared" si="34"/>
        <v>0.56844556165509763</v>
      </c>
      <c r="F157" s="335">
        <f t="shared" si="34"/>
        <v>0.56939033944073769</v>
      </c>
    </row>
    <row r="158" spans="1:6">
      <c r="A158" t="str">
        <f>$A$74</f>
        <v>Libraries, etc</v>
      </c>
      <c r="B158" s="335">
        <f t="shared" ref="B158:F158" si="35">B74/B$81*100</f>
        <v>0.5625036030681263</v>
      </c>
      <c r="C158" s="335">
        <f t="shared" si="35"/>
        <v>0.50863277635139803</v>
      </c>
      <c r="D158" s="335">
        <f t="shared" si="35"/>
        <v>0.55990886171962828</v>
      </c>
      <c r="E158" s="335">
        <f t="shared" si="35"/>
        <v>0.51050979186415391</v>
      </c>
      <c r="F158" s="335">
        <f t="shared" si="35"/>
        <v>0.51539298720128313</v>
      </c>
    </row>
    <row r="159" spans="1:6">
      <c r="A159" t="str">
        <f>$A$75</f>
        <v>Gambling and betting</v>
      </c>
      <c r="B159" s="335">
        <f t="shared" ref="B159:F159" si="36">B75/B$81*100</f>
        <v>0.33549840502139505</v>
      </c>
      <c r="C159" s="335">
        <f t="shared" si="36"/>
        <v>0.29231357876642694</v>
      </c>
      <c r="D159" s="335">
        <f t="shared" si="36"/>
        <v>0.28358976775467287</v>
      </c>
      <c r="E159" s="335">
        <f t="shared" si="36"/>
        <v>0.29706632615231476</v>
      </c>
      <c r="F159" s="335">
        <f t="shared" si="36"/>
        <v>0.31502872879656718</v>
      </c>
    </row>
    <row r="160" spans="1:6">
      <c r="A160" t="str">
        <f>$A$76</f>
        <v>Sport and recreation</v>
      </c>
      <c r="B160" s="335">
        <f t="shared" ref="B160:F160" si="37">B76/B$81*100</f>
        <v>1.4919578232636435</v>
      </c>
      <c r="C160" s="335">
        <f t="shared" si="37"/>
        <v>1.4828403628159192</v>
      </c>
      <c r="D160" s="335">
        <f t="shared" si="37"/>
        <v>1.4370515210830677</v>
      </c>
      <c r="E160" s="335">
        <f t="shared" si="37"/>
        <v>1.5035629620694149</v>
      </c>
      <c r="F160" s="335">
        <f t="shared" si="37"/>
        <v>1.5860697121417249</v>
      </c>
    </row>
    <row r="161" spans="1:6">
      <c r="A161" t="str">
        <f>$A$77</f>
        <v>Membership organisations</v>
      </c>
      <c r="B161" s="335">
        <f t="shared" ref="B161:F161" si="38">B77/B$81*100</f>
        <v>1.2692169770540782</v>
      </c>
      <c r="C161" s="335">
        <f t="shared" si="38"/>
        <v>1.1941808692689742</v>
      </c>
      <c r="D161" s="335">
        <f t="shared" si="38"/>
        <v>1.1436759823344971</v>
      </c>
      <c r="E161" s="335">
        <f t="shared" si="38"/>
        <v>1.1045221375324239</v>
      </c>
      <c r="F161" s="335">
        <f t="shared" si="38"/>
        <v>1.0647865015532176</v>
      </c>
    </row>
    <row r="162" spans="1:6">
      <c r="A162" t="str">
        <f>$A$78</f>
        <v>Repair of goods</v>
      </c>
      <c r="B162" s="335">
        <f t="shared" ref="B162:F162" si="39">B78/B$81*100</f>
        <v>0.21567430569618962</v>
      </c>
      <c r="C162" s="335">
        <f t="shared" si="39"/>
        <v>0.21476356347507067</v>
      </c>
      <c r="D162" s="335">
        <f t="shared" si="39"/>
        <v>0.24966107306968133</v>
      </c>
      <c r="E162" s="335">
        <f t="shared" si="39"/>
        <v>0.24642048766199393</v>
      </c>
      <c r="F162" s="335">
        <f t="shared" si="39"/>
        <v>0.24425562122880576</v>
      </c>
    </row>
    <row r="163" spans="1:6">
      <c r="A163" t="str">
        <f>$A$79</f>
        <v>Other personal service</v>
      </c>
      <c r="B163" s="335">
        <f>B79/B$81*100</f>
        <v>1.43045274855501</v>
      </c>
      <c r="C163" s="335">
        <f t="shared" ref="C163:F163" si="40">C79/C$81*100</f>
        <v>1.4511683143296021</v>
      </c>
      <c r="D163" s="335">
        <f t="shared" si="40"/>
        <v>1.4744363812837971</v>
      </c>
      <c r="E163" s="335">
        <f t="shared" si="40"/>
        <v>1.411060171927367</v>
      </c>
      <c r="F163" s="335">
        <f t="shared" si="40"/>
        <v>1.360373439551948</v>
      </c>
    </row>
    <row r="164" spans="1:6">
      <c r="B164" s="335"/>
      <c r="C164" s="335"/>
      <c r="D164" s="335"/>
      <c r="E164" s="335"/>
      <c r="F164" s="335"/>
    </row>
    <row r="165" spans="1:6">
      <c r="A165" s="21" t="str">
        <f>$A$81</f>
        <v>All industries</v>
      </c>
      <c r="B165" s="336">
        <f>B81/B$81*100</f>
        <v>100</v>
      </c>
      <c r="C165" s="336">
        <f>C81/C$81*100</f>
        <v>100</v>
      </c>
      <c r="D165" s="336">
        <f>D81/D$81*100</f>
        <v>100</v>
      </c>
      <c r="E165" s="336">
        <f>E81/E$81*100</f>
        <v>100</v>
      </c>
      <c r="F165" s="336">
        <f>F81/F$81*100</f>
        <v>100</v>
      </c>
    </row>
    <row r="166" spans="1:6">
      <c r="B166" s="335"/>
      <c r="C166" s="335"/>
      <c r="D166" s="335"/>
      <c r="E166" s="335"/>
      <c r="F166" s="335"/>
    </row>
    <row r="167" spans="1:6">
      <c r="B167" s="335"/>
      <c r="C167" s="335"/>
      <c r="D167" s="335"/>
      <c r="E167" s="335"/>
      <c r="F167" s="335"/>
    </row>
    <row r="168" spans="1:6">
      <c r="B168" s="335"/>
      <c r="C168" s="335"/>
      <c r="D168" s="335"/>
      <c r="E168" s="335"/>
      <c r="F168" s="335"/>
    </row>
    <row r="169" spans="1:6" ht="15.6">
      <c r="A169" s="17" t="str">
        <f>CONCATENATE($A$1," (Continued)")</f>
        <v>Industry Table 3  Employment by Industry (SIC 2007), 2015-2035, England (Continued)</v>
      </c>
      <c r="B169" s="335"/>
      <c r="C169" s="335"/>
      <c r="D169" s="335"/>
      <c r="E169" s="335"/>
      <c r="F169" s="335"/>
    </row>
    <row r="171" spans="1:6" ht="12.95">
      <c r="A171" s="19"/>
      <c r="B171" s="22" t="str">
        <f>CONCATENATE(B$3,"-",C$3)</f>
        <v>2015-2019</v>
      </c>
      <c r="C171" s="22" t="str">
        <f>CONCATENATE(C$3,"-",D$3)</f>
        <v>2019-2020</v>
      </c>
      <c r="D171" s="22" t="str">
        <f>CONCATENATE(D$3,"-",E$3)</f>
        <v>2020-2025</v>
      </c>
      <c r="E171" s="22" t="str">
        <f>CONCATENATE(E$3,"-",F$3)</f>
        <v>2025-2035</v>
      </c>
      <c r="F171" s="22" t="str">
        <f>CONCATENATE(D$3,"-",F$3)</f>
        <v>2020-2035</v>
      </c>
    </row>
    <row r="172" spans="1:6" ht="12.95">
      <c r="A172" s="23" t="s">
        <v>125</v>
      </c>
    </row>
    <row r="173" spans="1:6">
      <c r="A173" t="str">
        <f>$A$5</f>
        <v>Agriculture, etc</v>
      </c>
      <c r="B173" s="335">
        <f t="shared" ref="B173:E192" si="41">IF(AND(C$3-B$3 &lt;&gt; 0,B5&lt;&gt;0,C5&lt;&gt;0),(EXP(LN(C5/B5)/(C$3-B$3))-1)*100,0)</f>
        <v>0.72839985799513229</v>
      </c>
      <c r="C173" s="335">
        <f t="shared" si="41"/>
        <v>-11.356097056956759</v>
      </c>
      <c r="D173" s="335">
        <f t="shared" si="41"/>
        <v>0.59400095111976636</v>
      </c>
      <c r="E173" s="335">
        <f t="shared" si="41"/>
        <v>9.0799349664405504E-2</v>
      </c>
      <c r="F173" s="335">
        <f>IF(AND(F$3-D$3 &lt;&gt; 0,D5&lt;&gt;0,F5&lt;&gt;0),(EXP(LN(F5/D5)/(F$3-D$3))-1)*100,0)</f>
        <v>0.2582529080175755</v>
      </c>
    </row>
    <row r="174" spans="1:6">
      <c r="A174" t="str">
        <f>$A$6</f>
        <v>Coal, oil &amp; gas; Mining &amp; related</v>
      </c>
      <c r="B174" s="335">
        <f t="shared" si="41"/>
        <v>-5.7601495369162485</v>
      </c>
      <c r="C174" s="335">
        <f t="shared" si="41"/>
        <v>2.2190706599666044</v>
      </c>
      <c r="D174" s="335">
        <f t="shared" si="41"/>
        <v>-4.2254460829143632</v>
      </c>
      <c r="E174" s="335">
        <f t="shared" si="41"/>
        <v>-2.9102210176361276</v>
      </c>
      <c r="F174" s="335">
        <f t="shared" ref="F174:F237" si="42">IF(AND(F$3-D$3 &lt;&gt; 0,D6&lt;&gt;0,F6&lt;&gt;0),(EXP(LN(F6/D6)/(F$3-D$3))-1)*100,0)</f>
        <v>-3.3506240374576501</v>
      </c>
    </row>
    <row r="175" spans="1:6">
      <c r="A175" t="str">
        <f>$A$7</f>
        <v>Food products</v>
      </c>
      <c r="B175" s="335">
        <f t="shared" si="41"/>
        <v>1.6218478994676433</v>
      </c>
      <c r="C175" s="335">
        <f t="shared" si="41"/>
        <v>-0.16044323195802956</v>
      </c>
      <c r="D175" s="335">
        <f t="shared" si="41"/>
        <v>0.25676277599491204</v>
      </c>
      <c r="E175" s="335">
        <f t="shared" si="41"/>
        <v>-0.25648915551759188</v>
      </c>
      <c r="F175" s="335">
        <f t="shared" si="42"/>
        <v>-8.5697792258743188E-2</v>
      </c>
    </row>
    <row r="176" spans="1:6">
      <c r="A176" t="str">
        <f>$A$8</f>
        <v>Beverages and tobacco</v>
      </c>
      <c r="B176" s="335">
        <f t="shared" si="41"/>
        <v>5.7827885564273318</v>
      </c>
      <c r="C176" s="335">
        <f t="shared" si="41"/>
        <v>4.1710052654648777</v>
      </c>
      <c r="D176" s="335">
        <f t="shared" si="41"/>
        <v>0.12250399998365857</v>
      </c>
      <c r="E176" s="335">
        <f t="shared" si="41"/>
        <v>-0.34156347445498669</v>
      </c>
      <c r="F176" s="335">
        <f t="shared" si="42"/>
        <v>-0.18711380455107562</v>
      </c>
    </row>
    <row r="177" spans="1:6">
      <c r="A177" t="str">
        <f>$A$9</f>
        <v>Textiles</v>
      </c>
      <c r="B177" s="335">
        <f t="shared" si="41"/>
        <v>2.1672876885974635</v>
      </c>
      <c r="C177" s="335">
        <f t="shared" si="41"/>
        <v>5.4447269284661814</v>
      </c>
      <c r="D177" s="335">
        <f t="shared" si="41"/>
        <v>-2.4318317463262074</v>
      </c>
      <c r="E177" s="335">
        <f t="shared" si="41"/>
        <v>-1.5477332581645409</v>
      </c>
      <c r="F177" s="335">
        <f t="shared" si="42"/>
        <v>-1.8433193125425684</v>
      </c>
    </row>
    <row r="178" spans="1:6">
      <c r="A178" t="str">
        <f>$A$10</f>
        <v>Wearing apparel; Leather, etc</v>
      </c>
      <c r="B178" s="335">
        <f t="shared" si="41"/>
        <v>-2.165530749310296</v>
      </c>
      <c r="C178" s="335">
        <f t="shared" si="41"/>
        <v>11.086314555131604</v>
      </c>
      <c r="D178" s="335">
        <f t="shared" si="41"/>
        <v>-2.411468913927961</v>
      </c>
      <c r="E178" s="335">
        <f t="shared" si="41"/>
        <v>-1.4656076462726153</v>
      </c>
      <c r="F178" s="335">
        <f t="shared" si="42"/>
        <v>-1.7819089954799638</v>
      </c>
    </row>
    <row r="179" spans="1:6">
      <c r="A179" t="str">
        <f>$A$11</f>
        <v xml:space="preserve">Wood and cork </v>
      </c>
      <c r="B179" s="335">
        <f t="shared" si="41"/>
        <v>2.7909435507667668</v>
      </c>
      <c r="C179" s="335">
        <f t="shared" si="41"/>
        <v>3.5501201366979984</v>
      </c>
      <c r="D179" s="335">
        <f t="shared" si="41"/>
        <v>-9.5081043010913913E-2</v>
      </c>
      <c r="E179" s="335">
        <f t="shared" si="41"/>
        <v>-0.37917151680503247</v>
      </c>
      <c r="F179" s="335">
        <f t="shared" si="42"/>
        <v>-0.28456456606769098</v>
      </c>
    </row>
    <row r="180" spans="1:6">
      <c r="A180" t="str">
        <f>$A$12</f>
        <v>Paper, etc</v>
      </c>
      <c r="B180" s="335">
        <f t="shared" si="41"/>
        <v>-4.0131502148953002</v>
      </c>
      <c r="C180" s="335">
        <f t="shared" si="41"/>
        <v>-11.139729555503596</v>
      </c>
      <c r="D180" s="335">
        <f t="shared" si="41"/>
        <v>-5.0292106274663073E-2</v>
      </c>
      <c r="E180" s="335">
        <f t="shared" si="41"/>
        <v>-0.36605463647637615</v>
      </c>
      <c r="F180" s="335">
        <f t="shared" si="42"/>
        <v>-0.26091145582107789</v>
      </c>
    </row>
    <row r="181" spans="1:6">
      <c r="A181" t="str">
        <f>$A$13</f>
        <v>Printing and recording</v>
      </c>
      <c r="B181" s="335">
        <f t="shared" si="41"/>
        <v>-5.9521679554330298</v>
      </c>
      <c r="C181" s="335">
        <f t="shared" si="41"/>
        <v>-4.8903720064688123</v>
      </c>
      <c r="D181" s="335">
        <f t="shared" si="41"/>
        <v>-1.5272115198776359</v>
      </c>
      <c r="E181" s="335">
        <f t="shared" si="41"/>
        <v>-1.6646358446796516</v>
      </c>
      <c r="F181" s="335">
        <f t="shared" si="42"/>
        <v>-1.6188490589054805</v>
      </c>
    </row>
    <row r="182" spans="1:6">
      <c r="A182" t="str">
        <f>$A$14</f>
        <v>Coke and petroleum; Chemicals, etc</v>
      </c>
      <c r="B182" s="335">
        <f t="shared" si="41"/>
        <v>2.5281349350543714</v>
      </c>
      <c r="C182" s="335">
        <f t="shared" si="41"/>
        <v>-2.3437178907990019</v>
      </c>
      <c r="D182" s="335">
        <f t="shared" si="41"/>
        <v>-1.187779276255263</v>
      </c>
      <c r="E182" s="335">
        <f t="shared" si="41"/>
        <v>-0.91149697465201518</v>
      </c>
      <c r="F182" s="335">
        <f t="shared" si="42"/>
        <v>-1.0036768014343056</v>
      </c>
    </row>
    <row r="183" spans="1:6">
      <c r="A183" t="str">
        <f>$A$15</f>
        <v>Pharmaceuticals</v>
      </c>
      <c r="B183" s="335">
        <f t="shared" si="41"/>
        <v>3.0407328171288661</v>
      </c>
      <c r="C183" s="335">
        <f t="shared" si="41"/>
        <v>4.9511366877788454</v>
      </c>
      <c r="D183" s="335">
        <f t="shared" si="41"/>
        <v>1.5664699187094788</v>
      </c>
      <c r="E183" s="335">
        <f t="shared" si="41"/>
        <v>-0.31123123217200455</v>
      </c>
      <c r="F183" s="335">
        <f t="shared" si="42"/>
        <v>0.31078002040665353</v>
      </c>
    </row>
    <row r="184" spans="1:6">
      <c r="A184" t="str">
        <f>$A$16</f>
        <v>Rubber and plastic</v>
      </c>
      <c r="B184" s="335">
        <f t="shared" si="41"/>
        <v>-1.4859672917853839</v>
      </c>
      <c r="C184" s="335">
        <f t="shared" si="41"/>
        <v>6.4582852958630976</v>
      </c>
      <c r="D184" s="335">
        <f t="shared" si="41"/>
        <v>-0.31875998974663089</v>
      </c>
      <c r="E184" s="335">
        <f t="shared" si="41"/>
        <v>-1.1463598103927608</v>
      </c>
      <c r="F184" s="335">
        <f t="shared" si="42"/>
        <v>-0.87125949182067508</v>
      </c>
    </row>
    <row r="185" spans="1:6">
      <c r="A185" t="str">
        <f>$A$17</f>
        <v>Other non-metallic</v>
      </c>
      <c r="B185" s="335">
        <f t="shared" si="41"/>
        <v>2.5019358245449874</v>
      </c>
      <c r="C185" s="335">
        <f t="shared" si="41"/>
        <v>1.2186591068439112</v>
      </c>
      <c r="D185" s="335">
        <f t="shared" si="41"/>
        <v>-0.34255909394222961</v>
      </c>
      <c r="E185" s="335">
        <f t="shared" si="41"/>
        <v>-1.1665182844965982</v>
      </c>
      <c r="F185" s="335">
        <f t="shared" si="42"/>
        <v>-0.89262495193253022</v>
      </c>
    </row>
    <row r="186" spans="1:6">
      <c r="A186" t="str">
        <f>$A$18</f>
        <v>Basic metals</v>
      </c>
      <c r="B186" s="335">
        <f t="shared" si="41"/>
        <v>1.8076430459290194</v>
      </c>
      <c r="C186" s="335">
        <f t="shared" si="41"/>
        <v>-15.859914846050261</v>
      </c>
      <c r="D186" s="335">
        <f t="shared" si="41"/>
        <v>-0.54214986227567596</v>
      </c>
      <c r="E186" s="335">
        <f t="shared" si="41"/>
        <v>-1.2773439173980883</v>
      </c>
      <c r="F186" s="335">
        <f t="shared" si="42"/>
        <v>-1.032885065496536</v>
      </c>
    </row>
    <row r="187" spans="1:6">
      <c r="A187" t="str">
        <f>$A$19</f>
        <v>Metal products</v>
      </c>
      <c r="B187" s="335">
        <f t="shared" si="41"/>
        <v>-0.80578812341797201</v>
      </c>
      <c r="C187" s="335">
        <f t="shared" si="41"/>
        <v>-12.348966026610086</v>
      </c>
      <c r="D187" s="335">
        <f t="shared" si="41"/>
        <v>-0.59052182967811451</v>
      </c>
      <c r="E187" s="335">
        <f t="shared" si="41"/>
        <v>-1.2976452746391032</v>
      </c>
      <c r="F187" s="335">
        <f t="shared" si="42"/>
        <v>-1.062498115951549</v>
      </c>
    </row>
    <row r="188" spans="1:6">
      <c r="A188" t="str">
        <f>$A$20</f>
        <v>Computer, etc</v>
      </c>
      <c r="B188" s="335">
        <f t="shared" si="41"/>
        <v>0.50487350060250957</v>
      </c>
      <c r="C188" s="335">
        <f t="shared" si="41"/>
        <v>3.9147680839247467</v>
      </c>
      <c r="D188" s="335">
        <f t="shared" si="41"/>
        <v>0.75073235009166517</v>
      </c>
      <c r="E188" s="335">
        <f t="shared" si="41"/>
        <v>-1.5933719012571457</v>
      </c>
      <c r="F188" s="335">
        <f t="shared" si="42"/>
        <v>-0.81812721152216827</v>
      </c>
    </row>
    <row r="189" spans="1:6">
      <c r="A189" t="str">
        <f>$A$21</f>
        <v>Electrical equipment</v>
      </c>
      <c r="B189" s="335">
        <f t="shared" si="41"/>
        <v>-2.3339332604390362</v>
      </c>
      <c r="C189" s="335">
        <f t="shared" si="41"/>
        <v>-11.20511702289253</v>
      </c>
      <c r="D189" s="335">
        <f t="shared" si="41"/>
        <v>-0.47066823964454496</v>
      </c>
      <c r="E189" s="335">
        <f t="shared" si="41"/>
        <v>-0.47133615330726686</v>
      </c>
      <c r="F189" s="335">
        <f t="shared" si="42"/>
        <v>-0.47111351591770934</v>
      </c>
    </row>
    <row r="190" spans="1:6">
      <c r="A190" t="str">
        <f>$A$22</f>
        <v>Machinery n.e.c.</v>
      </c>
      <c r="B190" s="335">
        <f t="shared" si="41"/>
        <v>1.9102113751396921</v>
      </c>
      <c r="C190" s="335">
        <f t="shared" si="41"/>
        <v>-7.233420217787911</v>
      </c>
      <c r="D190" s="335">
        <f t="shared" si="41"/>
        <v>0.47603210015771946</v>
      </c>
      <c r="E190" s="335">
        <f t="shared" si="41"/>
        <v>-1.3165718842862661</v>
      </c>
      <c r="F190" s="335">
        <f t="shared" si="42"/>
        <v>-0.72261925775957137</v>
      </c>
    </row>
    <row r="191" spans="1:6">
      <c r="A191" t="str">
        <f>$A$23</f>
        <v>Motor vehicles, etc</v>
      </c>
      <c r="B191" s="335">
        <f t="shared" si="41"/>
        <v>2.3260633756317928</v>
      </c>
      <c r="C191" s="335">
        <f t="shared" si="41"/>
        <v>-12.330720844939702</v>
      </c>
      <c r="D191" s="335">
        <f t="shared" si="41"/>
        <v>-0.11136227657323472</v>
      </c>
      <c r="E191" s="335">
        <f t="shared" si="41"/>
        <v>-0.76058740363655897</v>
      </c>
      <c r="F191" s="335">
        <f t="shared" si="42"/>
        <v>-0.5446492354196697</v>
      </c>
    </row>
    <row r="192" spans="1:6">
      <c r="A192" t="str">
        <f>$A$24</f>
        <v>Other transport equipment</v>
      </c>
      <c r="B192" s="335">
        <f t="shared" si="41"/>
        <v>1.2206442102624004</v>
      </c>
      <c r="C192" s="335">
        <f t="shared" si="41"/>
        <v>0.21202357290426299</v>
      </c>
      <c r="D192" s="335">
        <f t="shared" si="41"/>
        <v>-3.0086083678869557</v>
      </c>
      <c r="E192" s="335">
        <f t="shared" si="41"/>
        <v>-4.5314374201277374E-2</v>
      </c>
      <c r="F192" s="335">
        <f t="shared" si="42"/>
        <v>-1.0430042697326392</v>
      </c>
    </row>
    <row r="193" spans="1:6">
      <c r="A193" t="str">
        <f>$A$25</f>
        <v>Furniture</v>
      </c>
      <c r="B193" s="335">
        <f t="shared" ref="B193:E212" si="43">IF(AND(C$3-B$3 &lt;&gt; 0,B25&lt;&gt;0,C25&lt;&gt;0),(EXP(LN(C25/B25)/(C$3-B$3))-1)*100,0)</f>
        <v>0.57046453161133659</v>
      </c>
      <c r="C193" s="335">
        <f t="shared" si="43"/>
        <v>3.2826156564814024</v>
      </c>
      <c r="D193" s="335">
        <f t="shared" si="43"/>
        <v>-2.5823479701854613</v>
      </c>
      <c r="E193" s="335">
        <f t="shared" si="43"/>
        <v>-0.60291645223267132</v>
      </c>
      <c r="F193" s="335">
        <f t="shared" si="42"/>
        <v>-1.2671559745971339</v>
      </c>
    </row>
    <row r="194" spans="1:6">
      <c r="A194" t="str">
        <f>$A$26</f>
        <v>Other manufacturing</v>
      </c>
      <c r="B194" s="335">
        <f t="shared" si="43"/>
        <v>-5.7563903006629946E-2</v>
      </c>
      <c r="C194" s="335">
        <f t="shared" si="43"/>
        <v>4.0522508602460761</v>
      </c>
      <c r="D194" s="335">
        <f t="shared" si="43"/>
        <v>-2.6901696468868863</v>
      </c>
      <c r="E194" s="335">
        <f t="shared" si="43"/>
        <v>-0.62449318533374099</v>
      </c>
      <c r="F194" s="335">
        <f t="shared" si="42"/>
        <v>-1.3178788029036603</v>
      </c>
    </row>
    <row r="195" spans="1:6">
      <c r="A195" t="str">
        <f>$A$27</f>
        <v>Repair and installation</v>
      </c>
      <c r="B195" s="335">
        <f t="shared" si="43"/>
        <v>4.372967923796689</v>
      </c>
      <c r="C195" s="335">
        <f t="shared" si="43"/>
        <v>10.72239015181089</v>
      </c>
      <c r="D195" s="335">
        <f t="shared" si="43"/>
        <v>-2.6228477686146889</v>
      </c>
      <c r="E195" s="335">
        <f t="shared" si="43"/>
        <v>-0.5404917232055273</v>
      </c>
      <c r="F195" s="335">
        <f t="shared" si="42"/>
        <v>-1.2395117388829258</v>
      </c>
    </row>
    <row r="196" spans="1:6">
      <c r="A196" t="str">
        <f>$A$28</f>
        <v>Electricity, gas, etc</v>
      </c>
      <c r="B196" s="335">
        <f t="shared" si="43"/>
        <v>4.7648576757263417</v>
      </c>
      <c r="C196" s="335">
        <f t="shared" si="43"/>
        <v>-0.22856566641290543</v>
      </c>
      <c r="D196" s="335">
        <f t="shared" si="43"/>
        <v>-0.76664920019353655</v>
      </c>
      <c r="E196" s="335">
        <f t="shared" si="43"/>
        <v>-6.6281073533880352E-2</v>
      </c>
      <c r="F196" s="335">
        <f t="shared" si="42"/>
        <v>-0.30028462788562749</v>
      </c>
    </row>
    <row r="197" spans="1:6">
      <c r="A197" t="str">
        <f>$A$29</f>
        <v>Water</v>
      </c>
      <c r="B197" s="335">
        <f t="shared" si="43"/>
        <v>4.8567087320764424</v>
      </c>
      <c r="C197" s="335">
        <f t="shared" si="43"/>
        <v>-5.5897727861096698</v>
      </c>
      <c r="D197" s="335">
        <f t="shared" si="43"/>
        <v>1.0137207591811803</v>
      </c>
      <c r="E197" s="335">
        <f t="shared" si="43"/>
        <v>0.76734494332921788</v>
      </c>
      <c r="F197" s="335">
        <f t="shared" si="42"/>
        <v>0.84940337404419974</v>
      </c>
    </row>
    <row r="198" spans="1:6">
      <c r="A198" t="str">
        <f>$A$30</f>
        <v>Sewerage</v>
      </c>
      <c r="B198" s="335">
        <f t="shared" si="43"/>
        <v>-0.64388321157237138</v>
      </c>
      <c r="C198" s="335">
        <f t="shared" si="43"/>
        <v>-8.8265592807468156</v>
      </c>
      <c r="D198" s="335">
        <f t="shared" si="43"/>
        <v>1.0520481496459233</v>
      </c>
      <c r="E198" s="335">
        <f t="shared" si="43"/>
        <v>0.80329891028576572</v>
      </c>
      <c r="F198" s="335">
        <f t="shared" si="42"/>
        <v>0.88614721331607971</v>
      </c>
    </row>
    <row r="199" spans="1:6">
      <c r="A199" t="str">
        <f>$A$31</f>
        <v>Waste management</v>
      </c>
      <c r="B199" s="335">
        <f t="shared" si="43"/>
        <v>3.4918649050573958</v>
      </c>
      <c r="C199" s="335">
        <f t="shared" si="43"/>
        <v>-7.90008042637883</v>
      </c>
      <c r="D199" s="335">
        <f t="shared" si="43"/>
        <v>0.99088833659473075</v>
      </c>
      <c r="E199" s="335">
        <f t="shared" si="43"/>
        <v>0.73994083304389502</v>
      </c>
      <c r="F199" s="335">
        <f t="shared" si="42"/>
        <v>0.82352063897292993</v>
      </c>
    </row>
    <row r="200" spans="1:6">
      <c r="A200" t="str">
        <f>$A$32</f>
        <v>Construction</v>
      </c>
      <c r="B200" s="335">
        <f t="shared" si="43"/>
        <v>4.1658218160159244</v>
      </c>
      <c r="C200" s="335">
        <f t="shared" si="43"/>
        <v>0.94403451742719469</v>
      </c>
      <c r="D200" s="335">
        <f t="shared" si="43"/>
        <v>1.0797871861765174</v>
      </c>
      <c r="E200" s="335">
        <f t="shared" si="43"/>
        <v>0.78628206160695768</v>
      </c>
      <c r="F200" s="335">
        <f t="shared" si="42"/>
        <v>0.88402228626158763</v>
      </c>
    </row>
    <row r="201" spans="1:6">
      <c r="A201" t="str">
        <f>$A$33</f>
        <v>Civil engineering</v>
      </c>
      <c r="B201" s="335">
        <f t="shared" si="43"/>
        <v>1.5523995560026149</v>
      </c>
      <c r="C201" s="335">
        <f t="shared" si="43"/>
        <v>-0.53256893369905134</v>
      </c>
      <c r="D201" s="335">
        <f t="shared" si="43"/>
        <v>0.87697764521714738</v>
      </c>
      <c r="E201" s="335">
        <f t="shared" si="43"/>
        <v>0.65854054136216256</v>
      </c>
      <c r="F201" s="335">
        <f t="shared" si="42"/>
        <v>0.73130030316166383</v>
      </c>
    </row>
    <row r="202" spans="1:6">
      <c r="A202" t="str">
        <f>$A$34</f>
        <v>Specialised construction</v>
      </c>
      <c r="B202" s="335">
        <f t="shared" si="43"/>
        <v>1.991471063007233</v>
      </c>
      <c r="C202" s="335">
        <f t="shared" si="43"/>
        <v>-0.1646290898378866</v>
      </c>
      <c r="D202" s="335">
        <f t="shared" si="43"/>
        <v>0.91138729940707375</v>
      </c>
      <c r="E202" s="335">
        <f t="shared" si="43"/>
        <v>0.67606923186953605</v>
      </c>
      <c r="F202" s="335">
        <f t="shared" si="42"/>
        <v>0.75444755279983067</v>
      </c>
    </row>
    <row r="203" spans="1:6">
      <c r="A203" t="str">
        <f>$A$35</f>
        <v>Motor vehicle trade</v>
      </c>
      <c r="B203" s="335">
        <f t="shared" si="43"/>
        <v>3.4589770871105596</v>
      </c>
      <c r="C203" s="335">
        <f t="shared" si="43"/>
        <v>-8.4782015919463998</v>
      </c>
      <c r="D203" s="335">
        <f t="shared" si="43"/>
        <v>0.59445659735166689</v>
      </c>
      <c r="E203" s="335">
        <f t="shared" si="43"/>
        <v>0.3877501479095713</v>
      </c>
      <c r="F203" s="335">
        <f t="shared" si="42"/>
        <v>0.45660506005911206</v>
      </c>
    </row>
    <row r="204" spans="1:6">
      <c r="A204" t="str">
        <f>$A$36</f>
        <v>Wholesale trade</v>
      </c>
      <c r="B204" s="335">
        <f t="shared" si="43"/>
        <v>0.84991345495157855</v>
      </c>
      <c r="C204" s="335">
        <f t="shared" si="43"/>
        <v>-0.92265860406579581</v>
      </c>
      <c r="D204" s="335">
        <f t="shared" si="43"/>
        <v>0.24127273848479902</v>
      </c>
      <c r="E204" s="335">
        <f t="shared" si="43"/>
        <v>6.0869169578214866E-2</v>
      </c>
      <c r="F204" s="335">
        <f t="shared" si="42"/>
        <v>0.12096758909156957</v>
      </c>
    </row>
    <row r="205" spans="1:6">
      <c r="A205" t="str">
        <f>$A$37</f>
        <v>Retail trade</v>
      </c>
      <c r="B205" s="335">
        <f t="shared" si="43"/>
        <v>-0.56471109274072173</v>
      </c>
      <c r="C205" s="335">
        <f t="shared" si="43"/>
        <v>1.019393964726989</v>
      </c>
      <c r="D205" s="335">
        <f t="shared" si="43"/>
        <v>-3.7608559025614774E-2</v>
      </c>
      <c r="E205" s="335">
        <f t="shared" si="43"/>
        <v>6.4395154551410982E-2</v>
      </c>
      <c r="F205" s="335">
        <f t="shared" si="42"/>
        <v>3.0382356743063887E-2</v>
      </c>
    </row>
    <row r="206" spans="1:6">
      <c r="A206" t="str">
        <f>$A$38</f>
        <v>Land transport, etc</v>
      </c>
      <c r="B206" s="335">
        <f t="shared" si="43"/>
        <v>3.8851308618250702</v>
      </c>
      <c r="C206" s="335">
        <f t="shared" si="43"/>
        <v>-5.4407584941715932</v>
      </c>
      <c r="D206" s="335">
        <f t="shared" si="43"/>
        <v>1.7095168104250824</v>
      </c>
      <c r="E206" s="335">
        <f t="shared" si="43"/>
        <v>9.3383998506424426E-2</v>
      </c>
      <c r="F206" s="335">
        <f t="shared" si="42"/>
        <v>0.62922127986271281</v>
      </c>
    </row>
    <row r="207" spans="1:6">
      <c r="A207" t="str">
        <f>$A$39</f>
        <v>Water transport</v>
      </c>
      <c r="B207" s="335">
        <f t="shared" si="43"/>
        <v>3.103448699704825</v>
      </c>
      <c r="C207" s="335">
        <f t="shared" si="43"/>
        <v>-0.36096589526286582</v>
      </c>
      <c r="D207" s="335">
        <f t="shared" si="43"/>
        <v>-3.4677927162170663</v>
      </c>
      <c r="E207" s="335">
        <f t="shared" si="43"/>
        <v>-0.61589834121612563</v>
      </c>
      <c r="F207" s="335">
        <f t="shared" si="42"/>
        <v>-1.5757705988723725</v>
      </c>
    </row>
    <row r="208" spans="1:6">
      <c r="A208" t="str">
        <f>$A$40</f>
        <v>Air transport</v>
      </c>
      <c r="B208" s="335">
        <f t="shared" si="43"/>
        <v>1.5950411867749592</v>
      </c>
      <c r="C208" s="335">
        <f t="shared" si="43"/>
        <v>-6.6186116161206172</v>
      </c>
      <c r="D208" s="335">
        <f t="shared" si="43"/>
        <v>0.7605428495927713</v>
      </c>
      <c r="E208" s="335">
        <f t="shared" si="43"/>
        <v>0.13551867848429211</v>
      </c>
      <c r="F208" s="335">
        <f t="shared" si="42"/>
        <v>0.34342809185505807</v>
      </c>
    </row>
    <row r="209" spans="1:6">
      <c r="A209" t="str">
        <f>$A$41</f>
        <v>Warehousing, etc</v>
      </c>
      <c r="B209" s="335">
        <f t="shared" si="43"/>
        <v>3.5415631184879448</v>
      </c>
      <c r="C209" s="335">
        <f t="shared" si="43"/>
        <v>3.7611197918598016</v>
      </c>
      <c r="D209" s="335">
        <f t="shared" si="43"/>
        <v>1.0277399238125984</v>
      </c>
      <c r="E209" s="335">
        <f t="shared" si="43"/>
        <v>0.26291137056042579</v>
      </c>
      <c r="F209" s="335">
        <f t="shared" si="42"/>
        <v>0.51720870075229186</v>
      </c>
    </row>
    <row r="210" spans="1:6">
      <c r="A210" t="str">
        <f>$A$42</f>
        <v>Postal and courier</v>
      </c>
      <c r="B210" s="335">
        <f t="shared" si="43"/>
        <v>1.904581397001337</v>
      </c>
      <c r="C210" s="335">
        <f t="shared" si="43"/>
        <v>5.8417174695779339</v>
      </c>
      <c r="D210" s="335">
        <f t="shared" si="43"/>
        <v>1.0996888821679374</v>
      </c>
      <c r="E210" s="335">
        <f t="shared" si="43"/>
        <v>0.37601533729634262</v>
      </c>
      <c r="F210" s="335">
        <f t="shared" si="42"/>
        <v>0.61666245024667443</v>
      </c>
    </row>
    <row r="211" spans="1:6">
      <c r="A211" t="str">
        <f>$A$43</f>
        <v>Accommodation</v>
      </c>
      <c r="B211" s="335">
        <f t="shared" si="43"/>
        <v>2.9958390423683534</v>
      </c>
      <c r="C211" s="335">
        <f t="shared" si="43"/>
        <v>-8.3331234221573514</v>
      </c>
      <c r="D211" s="335">
        <f t="shared" si="43"/>
        <v>2.2188769951141829</v>
      </c>
      <c r="E211" s="335">
        <f t="shared" si="43"/>
        <v>0.86940639803907427</v>
      </c>
      <c r="F211" s="335">
        <f t="shared" si="42"/>
        <v>1.3172387359290827</v>
      </c>
    </row>
    <row r="212" spans="1:6">
      <c r="A212" t="str">
        <f>$A$44</f>
        <v>Food and beverage services</v>
      </c>
      <c r="B212" s="335">
        <f t="shared" si="43"/>
        <v>3.0341996741201749</v>
      </c>
      <c r="C212" s="335">
        <f t="shared" si="43"/>
        <v>-2.9348046035057029</v>
      </c>
      <c r="D212" s="335">
        <f t="shared" si="43"/>
        <v>0.61539005770552269</v>
      </c>
      <c r="E212" s="335">
        <f t="shared" si="43"/>
        <v>1.4828353904813518</v>
      </c>
      <c r="F212" s="335">
        <f t="shared" si="42"/>
        <v>1.1928591596811255</v>
      </c>
    </row>
    <row r="213" spans="1:6">
      <c r="A213" t="str">
        <f>$A$45</f>
        <v>Publishing activities</v>
      </c>
      <c r="B213" s="335">
        <f t="shared" ref="B213:C238" si="44">IF(AND(C$3-B$3 &lt;&gt; 0,B45&lt;&gt;0,C45&lt;&gt;0),(EXP(LN(C45/B45)/(C$3-B$3))-1)*100,0)</f>
        <v>-2.7177156495761134</v>
      </c>
      <c r="C213" s="335">
        <f t="shared" si="44"/>
        <v>1.5139687762103504</v>
      </c>
      <c r="D213" s="335">
        <f t="shared" ref="D213:E213" si="45">IF(AND(E$3-D$3 &lt;&gt; 0,D45&lt;&gt;0,E45&lt;&gt;0),(EXP(LN(E45/D45)/(E$3-D$3))-1)*100,0)</f>
        <v>9.4928571042696142E-2</v>
      </c>
      <c r="E213" s="335">
        <f t="shared" si="45"/>
        <v>2.7356936189404379E-2</v>
      </c>
      <c r="F213" s="335">
        <f t="shared" si="42"/>
        <v>4.9875744513006026E-2</v>
      </c>
    </row>
    <row r="214" spans="1:6">
      <c r="A214" t="str">
        <f>$A$46</f>
        <v>Film and music</v>
      </c>
      <c r="B214" s="335">
        <f t="shared" si="44"/>
        <v>3.0372828289985332</v>
      </c>
      <c r="C214" s="335">
        <f t="shared" si="44"/>
        <v>1.0324779387138605E-2</v>
      </c>
      <c r="D214" s="335">
        <f t="shared" ref="D214:E214" si="46">IF(AND(E$3-D$3 &lt;&gt; 0,D46&lt;&gt;0,E46&lt;&gt;0),(EXP(LN(E46/D46)/(E$3-D$3))-1)*100,0)</f>
        <v>0.36739558187608434</v>
      </c>
      <c r="E214" s="335">
        <f t="shared" si="46"/>
        <v>0.19971469353636806</v>
      </c>
      <c r="F214" s="335">
        <f t="shared" si="42"/>
        <v>0.25557717322794993</v>
      </c>
    </row>
    <row r="215" spans="1:6">
      <c r="A215" t="str">
        <f>$A$47</f>
        <v>Broadcasting</v>
      </c>
      <c r="B215" s="335">
        <f t="shared" si="44"/>
        <v>3.2150001231659786</v>
      </c>
      <c r="C215" s="335">
        <f t="shared" si="44"/>
        <v>2.2356112263778094</v>
      </c>
      <c r="D215" s="335">
        <f t="shared" ref="D215:E215" si="47">IF(AND(E$3-D$3 &lt;&gt; 0,D47&lt;&gt;0,E47&lt;&gt;0),(EXP(LN(E47/D47)/(E$3-D$3))-1)*100,0)</f>
        <v>0.34806484723601816</v>
      </c>
      <c r="E215" s="335">
        <f t="shared" si="47"/>
        <v>6.3397983407709191E-2</v>
      </c>
      <c r="F215" s="335">
        <f t="shared" si="42"/>
        <v>0.1581970978727032</v>
      </c>
    </row>
    <row r="216" spans="1:6">
      <c r="A216" t="str">
        <f>$A$48</f>
        <v>Telecommunications</v>
      </c>
      <c r="B216" s="335">
        <f t="shared" si="44"/>
        <v>-1.5165954389911751</v>
      </c>
      <c r="C216" s="335">
        <f t="shared" si="44"/>
        <v>-3.2043157517059995</v>
      </c>
      <c r="D216" s="335">
        <f t="shared" ref="D216:E216" si="48">IF(AND(E$3-D$3 &lt;&gt; 0,D48&lt;&gt;0,E48&lt;&gt;0),(EXP(LN(E48/D48)/(E$3-D$3))-1)*100,0)</f>
        <v>1.3639917942889657</v>
      </c>
      <c r="E216" s="335">
        <f t="shared" si="48"/>
        <v>0.7157486289011139</v>
      </c>
      <c r="F216" s="335">
        <f t="shared" si="42"/>
        <v>0.93136774257362998</v>
      </c>
    </row>
    <row r="217" spans="1:6">
      <c r="A217" t="str">
        <f>$A$49</f>
        <v>Computing services</v>
      </c>
      <c r="B217" s="335">
        <f t="shared" si="44"/>
        <v>2.9057513100380739</v>
      </c>
      <c r="C217" s="335">
        <f t="shared" si="44"/>
        <v>1.1758409119399182</v>
      </c>
      <c r="D217" s="335">
        <f t="shared" ref="D217:E217" si="49">IF(AND(E$3-D$3 &lt;&gt; 0,D49&lt;&gt;0,E49&lt;&gt;0),(EXP(LN(E49/D49)/(E$3-D$3))-1)*100,0)</f>
        <v>1.450569530043877</v>
      </c>
      <c r="E217" s="335">
        <f t="shared" si="49"/>
        <v>0.77378550403770507</v>
      </c>
      <c r="F217" s="335">
        <f t="shared" si="42"/>
        <v>0.99887703344514467</v>
      </c>
    </row>
    <row r="218" spans="1:6">
      <c r="A218" t="str">
        <f>$A$50</f>
        <v>Information services</v>
      </c>
      <c r="B218" s="335">
        <f t="shared" si="44"/>
        <v>-2.1216641378838608</v>
      </c>
      <c r="C218" s="335">
        <f t="shared" si="44"/>
        <v>4.0064552350088878</v>
      </c>
      <c r="D218" s="335">
        <f t="shared" ref="D218:E218" si="50">IF(AND(E$3-D$3 &lt;&gt; 0,D50&lt;&gt;0,E50&lt;&gt;0),(EXP(LN(E50/D50)/(E$3-D$3))-1)*100,0)</f>
        <v>1.6032934229365026</v>
      </c>
      <c r="E218" s="335">
        <f t="shared" si="50"/>
        <v>0.88479893571351553</v>
      </c>
      <c r="F218" s="335">
        <f t="shared" si="42"/>
        <v>1.1237307740300295</v>
      </c>
    </row>
    <row r="219" spans="1:6">
      <c r="A219" t="str">
        <f>$A$51</f>
        <v>Financial services</v>
      </c>
      <c r="B219" s="335">
        <f t="shared" si="44"/>
        <v>-0.59985270165870963</v>
      </c>
      <c r="C219" s="335">
        <f t="shared" si="44"/>
        <v>-1.2647792840925209</v>
      </c>
      <c r="D219" s="335">
        <f t="shared" ref="D219:E219" si="51">IF(AND(E$3-D$3 &lt;&gt; 0,D51&lt;&gt;0,E51&lt;&gt;0),(EXP(LN(E51/D51)/(E$3-D$3))-1)*100,0)</f>
        <v>-1.2810133722451766E-3</v>
      </c>
      <c r="E219" s="335">
        <f t="shared" si="51"/>
        <v>-0.21929155347717444</v>
      </c>
      <c r="F219" s="335">
        <f t="shared" si="42"/>
        <v>-0.14667423490490883</v>
      </c>
    </row>
    <row r="220" spans="1:6">
      <c r="A220" t="str">
        <f>$A$52</f>
        <v>Insurance and pensions</v>
      </c>
      <c r="B220" s="335">
        <f t="shared" si="44"/>
        <v>3.0243346471333421</v>
      </c>
      <c r="C220" s="335">
        <f t="shared" si="44"/>
        <v>-0.75046746956883847</v>
      </c>
      <c r="D220" s="335">
        <f t="shared" ref="D220:E220" si="52">IF(AND(E$3-D$3 &lt;&gt; 0,D52&lt;&gt;0,E52&lt;&gt;0),(EXP(LN(E52/D52)/(E$3-D$3))-1)*100,0)</f>
        <v>-0.19899254197297545</v>
      </c>
      <c r="E220" s="335">
        <f t="shared" si="52"/>
        <v>-0.42159270212330791</v>
      </c>
      <c r="F220" s="335">
        <f t="shared" si="42"/>
        <v>-0.34744786975375863</v>
      </c>
    </row>
    <row r="221" spans="1:6">
      <c r="A221" t="str">
        <f>$A$53</f>
        <v>Auxiliary financial services</v>
      </c>
      <c r="B221" s="335">
        <f t="shared" si="44"/>
        <v>1.2671118338100529</v>
      </c>
      <c r="C221" s="335">
        <f t="shared" si="44"/>
        <v>3.0592037415360318</v>
      </c>
      <c r="D221" s="335">
        <f t="shared" ref="D221:E221" si="53">IF(AND(E$3-D$3 &lt;&gt; 0,D53&lt;&gt;0,E53&lt;&gt;0),(EXP(LN(E53/D53)/(E$3-D$3))-1)*100,0)</f>
        <v>0.12706831411690711</v>
      </c>
      <c r="E221" s="335">
        <f t="shared" si="53"/>
        <v>-0.23919872774771367</v>
      </c>
      <c r="F221" s="335">
        <f t="shared" si="42"/>
        <v>-0.11725882444757474</v>
      </c>
    </row>
    <row r="222" spans="1:6">
      <c r="A222" t="str">
        <f>$A$54</f>
        <v>Real estate</v>
      </c>
      <c r="B222" s="335">
        <f t="shared" si="44"/>
        <v>0.62110430846624709</v>
      </c>
      <c r="C222" s="335">
        <f t="shared" si="44"/>
        <v>10.511674215102996</v>
      </c>
      <c r="D222" s="335">
        <f t="shared" ref="D222:E222" si="54">IF(AND(E$3-D$3 &lt;&gt; 0,D54&lt;&gt;0,E54&lt;&gt;0),(EXP(LN(E54/D54)/(E$3-D$3))-1)*100,0)</f>
        <v>-0.64549854097271098</v>
      </c>
      <c r="E222" s="335">
        <f t="shared" si="54"/>
        <v>0.87378142030405392</v>
      </c>
      <c r="F222" s="335">
        <f t="shared" si="42"/>
        <v>0.36479081293476767</v>
      </c>
    </row>
    <row r="223" spans="1:6">
      <c r="A223" t="str">
        <f>$A$55</f>
        <v>Legal and accounting</v>
      </c>
      <c r="B223" s="335">
        <f t="shared" si="44"/>
        <v>3.4173227997040145</v>
      </c>
      <c r="C223" s="335">
        <f t="shared" si="44"/>
        <v>-4.7443965480743033</v>
      </c>
      <c r="D223" s="335">
        <f t="shared" ref="D223:E223" si="55">IF(AND(E$3-D$3 &lt;&gt; 0,D55&lt;&gt;0,E55&lt;&gt;0),(EXP(LN(E55/D55)/(E$3-D$3))-1)*100,0)</f>
        <v>1.0220003601951966</v>
      </c>
      <c r="E223" s="335">
        <f t="shared" si="55"/>
        <v>0.53103013905837493</v>
      </c>
      <c r="F223" s="335">
        <f t="shared" si="42"/>
        <v>0.69442117943203652</v>
      </c>
    </row>
    <row r="224" spans="1:6">
      <c r="A224" t="str">
        <f>$A$56</f>
        <v>Head offices, etc</v>
      </c>
      <c r="B224" s="335">
        <f t="shared" si="44"/>
        <v>0.93563637597251503</v>
      </c>
      <c r="C224" s="335">
        <f t="shared" si="44"/>
        <v>0.72589332377936966</v>
      </c>
      <c r="D224" s="335">
        <f t="shared" ref="D224:E224" si="56">IF(AND(E$3-D$3 &lt;&gt; 0,D56&lt;&gt;0,E56&lt;&gt;0),(EXP(LN(E56/D56)/(E$3-D$3))-1)*100,0)</f>
        <v>0.69967333672285026</v>
      </c>
      <c r="E224" s="335">
        <f t="shared" si="56"/>
        <v>0.35929776560639226</v>
      </c>
      <c r="F224" s="335">
        <f t="shared" si="42"/>
        <v>0.47262826294538485</v>
      </c>
    </row>
    <row r="225" spans="1:6">
      <c r="A225" t="str">
        <f>$A$57</f>
        <v>Architectural and related</v>
      </c>
      <c r="B225" s="335">
        <f t="shared" si="44"/>
        <v>3.3110255533535415</v>
      </c>
      <c r="C225" s="335">
        <f t="shared" si="44"/>
        <v>1.6314197239576167</v>
      </c>
      <c r="D225" s="335">
        <f t="shared" ref="D225:E225" si="57">IF(AND(E$3-D$3 &lt;&gt; 0,D57&lt;&gt;0,E57&lt;&gt;0),(EXP(LN(E57/D57)/(E$3-D$3))-1)*100,0)</f>
        <v>-0.31186021677286346</v>
      </c>
      <c r="E225" s="335">
        <f t="shared" si="57"/>
        <v>0.37409463784714436</v>
      </c>
      <c r="F225" s="335">
        <f t="shared" si="42"/>
        <v>0.14492016594234158</v>
      </c>
    </row>
    <row r="226" spans="1:6">
      <c r="A226" t="str">
        <f>$A$58</f>
        <v>Scientific research and development</v>
      </c>
      <c r="B226" s="335">
        <f t="shared" si="44"/>
        <v>3.4641160046608332</v>
      </c>
      <c r="C226" s="335">
        <f t="shared" si="44"/>
        <v>-9.5441767300828868</v>
      </c>
      <c r="D226" s="335">
        <f t="shared" ref="D226:E226" si="58">IF(AND(E$3-D$3 &lt;&gt; 0,D58&lt;&gt;0,E58&lt;&gt;0),(EXP(LN(E58/D58)/(E$3-D$3))-1)*100,0)</f>
        <v>2.1543764824311529</v>
      </c>
      <c r="E226" s="335">
        <f t="shared" si="58"/>
        <v>1.2324118817333529</v>
      </c>
      <c r="F226" s="335">
        <f t="shared" si="42"/>
        <v>1.5388051400836655</v>
      </c>
    </row>
    <row r="227" spans="1:6">
      <c r="A227" t="str">
        <f>$A$59</f>
        <v>Advertising, etc</v>
      </c>
      <c r="B227" s="335">
        <f t="shared" si="44"/>
        <v>-1.9537593437030765</v>
      </c>
      <c r="C227" s="335">
        <f t="shared" si="44"/>
        <v>-6.5975626232867457</v>
      </c>
      <c r="D227" s="335">
        <f t="shared" ref="D227:E227" si="59">IF(AND(E$3-D$3 &lt;&gt; 0,D59&lt;&gt;0,E59&lt;&gt;0),(EXP(LN(E59/D59)/(E$3-D$3))-1)*100,0)</f>
        <v>2.3451922037644568</v>
      </c>
      <c r="E227" s="335">
        <f t="shared" si="59"/>
        <v>1.081961738646986</v>
      </c>
      <c r="F227" s="335">
        <f t="shared" si="42"/>
        <v>1.5012965596369998</v>
      </c>
    </row>
    <row r="228" spans="1:6">
      <c r="A228" t="str">
        <f>$A$60</f>
        <v>Other professional</v>
      </c>
      <c r="B228" s="335">
        <f t="shared" si="44"/>
        <v>4.6305516972075633</v>
      </c>
      <c r="C228" s="335">
        <f t="shared" si="44"/>
        <v>-6.1131122756947427</v>
      </c>
      <c r="D228" s="335">
        <f t="shared" ref="D228:E228" si="60">IF(AND(E$3-D$3 &lt;&gt; 0,D60&lt;&gt;0,E60&lt;&gt;0),(EXP(LN(E60/D60)/(E$3-D$3))-1)*100,0)</f>
        <v>2.2073272417473255</v>
      </c>
      <c r="E228" s="335">
        <f t="shared" si="60"/>
        <v>1.1491546193643787</v>
      </c>
      <c r="F228" s="335">
        <f t="shared" si="42"/>
        <v>1.5006559171352185</v>
      </c>
    </row>
    <row r="229" spans="1:6">
      <c r="A229" t="str">
        <f>$A$61</f>
        <v>Veterinary</v>
      </c>
      <c r="B229" s="335">
        <f t="shared" si="44"/>
        <v>11.387190589692864</v>
      </c>
      <c r="C229" s="335">
        <f t="shared" si="44"/>
        <v>-6.1470443413941478</v>
      </c>
      <c r="D229" s="335">
        <f t="shared" ref="D229:E229" si="61">IF(AND(E$3-D$3 &lt;&gt; 0,D61&lt;&gt;0,E61&lt;&gt;0),(EXP(LN(E61/D61)/(E$3-D$3))-1)*100,0)</f>
        <v>2.4542383844141202</v>
      </c>
      <c r="E229" s="335">
        <f t="shared" si="61"/>
        <v>1.4311396960913658</v>
      </c>
      <c r="F229" s="335">
        <f t="shared" si="42"/>
        <v>1.7710323500693903</v>
      </c>
    </row>
    <row r="230" spans="1:6">
      <c r="A230" t="str">
        <f>$A$62</f>
        <v>Rental and leasing</v>
      </c>
      <c r="B230" s="335">
        <f t="shared" si="44"/>
        <v>-0.49071372235099942</v>
      </c>
      <c r="C230" s="335">
        <f t="shared" si="44"/>
        <v>-5.4492830073626264</v>
      </c>
      <c r="D230" s="335">
        <f t="shared" ref="D230:E230" si="62">IF(AND(E$3-D$3 &lt;&gt; 0,D62&lt;&gt;0,E62&lt;&gt;0),(EXP(LN(E62/D62)/(E$3-D$3))-1)*100,0)</f>
        <v>1.1892321679251694</v>
      </c>
      <c r="E230" s="335">
        <f t="shared" si="62"/>
        <v>0.70669508388769842</v>
      </c>
      <c r="F230" s="335">
        <f t="shared" si="42"/>
        <v>0.86728456234910212</v>
      </c>
    </row>
    <row r="231" spans="1:6">
      <c r="A231" t="str">
        <f>$A$63</f>
        <v>Employment activities</v>
      </c>
      <c r="B231" s="335">
        <f t="shared" si="44"/>
        <v>0.36705626539281777</v>
      </c>
      <c r="C231" s="335">
        <f t="shared" si="44"/>
        <v>-6.0036220790174788</v>
      </c>
      <c r="D231" s="335">
        <f t="shared" ref="D231:E231" si="63">IF(AND(E$3-D$3 &lt;&gt; 0,D63&lt;&gt;0,E63&lt;&gt;0),(EXP(LN(E63/D63)/(E$3-D$3))-1)*100,0)</f>
        <v>1.1927303305923065</v>
      </c>
      <c r="E231" s="335">
        <f t="shared" si="63"/>
        <v>0.68591250158709371</v>
      </c>
      <c r="F231" s="335">
        <f t="shared" si="42"/>
        <v>0.85456910746168901</v>
      </c>
    </row>
    <row r="232" spans="1:6">
      <c r="A232" t="str">
        <f>$A$64</f>
        <v>Travel, etc</v>
      </c>
      <c r="B232" s="335">
        <f t="shared" si="44"/>
        <v>1.6737001358059445</v>
      </c>
      <c r="C232" s="335">
        <f t="shared" si="44"/>
        <v>-6.2303549852328892</v>
      </c>
      <c r="D232" s="335">
        <f t="shared" ref="D232:E232" si="64">IF(AND(E$3-D$3 &lt;&gt; 0,D64&lt;&gt;0,E64&lt;&gt;0),(EXP(LN(E64/D64)/(E$3-D$3))-1)*100,0)</f>
        <v>1.1147963285571771</v>
      </c>
      <c r="E232" s="335">
        <f t="shared" si="64"/>
        <v>0.69296921230797004</v>
      </c>
      <c r="F232" s="335">
        <f t="shared" si="42"/>
        <v>0.83338235837404628</v>
      </c>
    </row>
    <row r="233" spans="1:6">
      <c r="A233" t="str">
        <f>$A$65</f>
        <v>Security, etc</v>
      </c>
      <c r="B233" s="335">
        <f t="shared" si="44"/>
        <v>2.6991277343000331</v>
      </c>
      <c r="C233" s="335">
        <f t="shared" si="44"/>
        <v>-5.335568589196793</v>
      </c>
      <c r="D233" s="335">
        <f t="shared" ref="D233:E233" si="65">IF(AND(E$3-D$3 &lt;&gt; 0,D65&lt;&gt;0,E65&lt;&gt;0),(EXP(LN(E65/D65)/(E$3-D$3))-1)*100,0)</f>
        <v>1.1523891072826586</v>
      </c>
      <c r="E233" s="335">
        <f t="shared" si="65"/>
        <v>0.6810688838082779</v>
      </c>
      <c r="F233" s="335">
        <f t="shared" si="42"/>
        <v>0.83793110496499512</v>
      </c>
    </row>
    <row r="234" spans="1:6">
      <c r="A234" t="str">
        <f>$A$66</f>
        <v>Services to buildings</v>
      </c>
      <c r="B234" s="335">
        <f t="shared" si="44"/>
        <v>1.0388471577883029</v>
      </c>
      <c r="C234" s="335">
        <f t="shared" si="44"/>
        <v>-6.1095012299455682</v>
      </c>
      <c r="D234" s="335">
        <f t="shared" ref="D234:E234" si="66">IF(AND(E$3-D$3 &lt;&gt; 0,D66&lt;&gt;0,E66&lt;&gt;0),(EXP(LN(E66/D66)/(E$3-D$3))-1)*100,0)</f>
        <v>1.1094110412512403</v>
      </c>
      <c r="E234" s="335">
        <f t="shared" si="66"/>
        <v>0.63086080570622372</v>
      </c>
      <c r="F234" s="335">
        <f t="shared" si="42"/>
        <v>0.79012535610081258</v>
      </c>
    </row>
    <row r="235" spans="1:6">
      <c r="A235" t="str">
        <f>$A$67</f>
        <v>Office administrative</v>
      </c>
      <c r="B235" s="335">
        <f t="shared" si="44"/>
        <v>3.896314695995251</v>
      </c>
      <c r="C235" s="335">
        <f t="shared" si="44"/>
        <v>-5.751694509909111</v>
      </c>
      <c r="D235" s="335">
        <f t="shared" ref="D235:E235" si="67">IF(AND(E$3-D$3 &lt;&gt; 0,D67&lt;&gt;0,E67&lt;&gt;0),(EXP(LN(E67/D67)/(E$3-D$3))-1)*100,0)</f>
        <v>1.1699057937914592</v>
      </c>
      <c r="E235" s="335">
        <f t="shared" si="67"/>
        <v>0.68900336871797752</v>
      </c>
      <c r="F235" s="335">
        <f t="shared" si="42"/>
        <v>0.84904964696825846</v>
      </c>
    </row>
    <row r="236" spans="1:6">
      <c r="A236" t="str">
        <f>$A$68</f>
        <v>Public administration and defence</v>
      </c>
      <c r="B236" s="335">
        <f t="shared" si="44"/>
        <v>0.30793723289141983</v>
      </c>
      <c r="C236" s="335">
        <f t="shared" si="44"/>
        <v>4.0163164621594527</v>
      </c>
      <c r="D236" s="335">
        <f t="shared" ref="D236:E236" si="68">IF(AND(E$3-D$3 &lt;&gt; 0,D68&lt;&gt;0,E68&lt;&gt;0),(EXP(LN(E68/D68)/(E$3-D$3))-1)*100,0)</f>
        <v>0.52127477330379257</v>
      </c>
      <c r="E236" s="335">
        <f t="shared" si="68"/>
        <v>0.19617677247598664</v>
      </c>
      <c r="F236" s="335">
        <f t="shared" si="42"/>
        <v>0.30442578158296207</v>
      </c>
    </row>
    <row r="237" spans="1:6">
      <c r="A237" t="str">
        <f>$A$69</f>
        <v xml:space="preserve">Education </v>
      </c>
      <c r="B237" s="335">
        <f t="shared" si="44"/>
        <v>-3.4808041680745028E-2</v>
      </c>
      <c r="C237" s="335">
        <f t="shared" si="44"/>
        <v>0.31622962155473111</v>
      </c>
      <c r="D237" s="335">
        <f t="shared" ref="D237:E237" si="69">IF(AND(E$3-D$3 &lt;&gt; 0,D69&lt;&gt;0,E69&lt;&gt;0),(EXP(LN(E69/D69)/(E$3-D$3))-1)*100,0)</f>
        <v>9.1026887514988886E-2</v>
      </c>
      <c r="E237" s="335">
        <f t="shared" si="69"/>
        <v>0.34800896913445012</v>
      </c>
      <c r="F237" s="335">
        <f t="shared" si="42"/>
        <v>0.26227504797926571</v>
      </c>
    </row>
    <row r="238" spans="1:6">
      <c r="A238" t="str">
        <f>$A$70</f>
        <v>Health</v>
      </c>
      <c r="B238" s="335">
        <f t="shared" si="44"/>
        <v>2.3717394137875214</v>
      </c>
      <c r="C238" s="335">
        <f t="shared" si="44"/>
        <v>3.005896361192506</v>
      </c>
      <c r="D238" s="335">
        <f t="shared" ref="D238:E238" si="70">IF(AND(E$3-D$3 &lt;&gt; 0,D70&lt;&gt;0,E70&lt;&gt;0),(EXP(LN(E70/D70)/(E$3-D$3))-1)*100,0)</f>
        <v>1.23873803670147</v>
      </c>
      <c r="E238" s="335">
        <f t="shared" si="70"/>
        <v>0.63074557812063947</v>
      </c>
      <c r="F238" s="335">
        <f t="shared" ref="F238:F249" si="71">IF(AND(F$3-D$3 &lt;&gt; 0,D70&lt;&gt;0,F70&lt;&gt;0),(EXP(LN(F70/D70)/(F$3-D$3))-1)*100,0)</f>
        <v>0.83300294229915472</v>
      </c>
    </row>
    <row r="239" spans="1:6">
      <c r="A239" t="str">
        <f>$A$71</f>
        <v>Residential care</v>
      </c>
      <c r="B239" s="335">
        <f t="shared" ref="B239:C239" si="72">IF(AND(C$3-B$3 &lt;&gt; 0,B71&lt;&gt;0,C71&lt;&gt;0),(EXP(LN(C71/B71)/(C$3-B$3))-1)*100,0)</f>
        <v>1.1595926826912795E-2</v>
      </c>
      <c r="C239" s="335">
        <f t="shared" si="72"/>
        <v>-5.4709479885045598</v>
      </c>
      <c r="D239" s="335">
        <f t="shared" ref="D239:D247" si="73">IF(AND(E$3-D$3 &lt;&gt; 0,D71&lt;&gt;0,E71&lt;&gt;0),(EXP(LN(E71/D71)/(E$3-D$3))-1)*100,0)</f>
        <v>1.4137206570602245</v>
      </c>
      <c r="E239" s="335">
        <f t="shared" ref="E239:E247" si="74">IF(AND(F$3-E$3 &lt;&gt; 0,E71&lt;&gt;0,F71&lt;&gt;0),(EXP(LN(F71/E71)/(F$3-E$3))-1)*100,0)</f>
        <v>0.76424016100613557</v>
      </c>
      <c r="F239" s="335">
        <f t="shared" si="71"/>
        <v>0.98027017860002896</v>
      </c>
    </row>
    <row r="240" spans="1:6">
      <c r="A240" t="str">
        <f>$A$72</f>
        <v>Social work</v>
      </c>
      <c r="B240" s="335">
        <f t="shared" ref="B240:C240" si="75">IF(AND(C$3-B$3 &lt;&gt; 0,B72&lt;&gt;0,C72&lt;&gt;0),(EXP(LN(C72/B72)/(C$3-B$3))-1)*100,0)</f>
        <v>0.13656323220525568</v>
      </c>
      <c r="C240" s="335">
        <f t="shared" si="75"/>
        <v>-5.6892143590731914</v>
      </c>
      <c r="D240" s="335">
        <f t="shared" si="73"/>
        <v>1.1836357343981252</v>
      </c>
      <c r="E240" s="335">
        <f t="shared" si="74"/>
        <v>0.57621123875066793</v>
      </c>
      <c r="F240" s="335">
        <f t="shared" si="71"/>
        <v>0.77827982091944747</v>
      </c>
    </row>
    <row r="241" spans="1:6">
      <c r="A241" t="str">
        <f>$A$73</f>
        <v>Arts and entertainment</v>
      </c>
      <c r="B241" s="335">
        <f t="shared" ref="B241:C241" si="76">IF(AND(C$3-B$3 &lt;&gt; 0,B73&lt;&gt;0,C73&lt;&gt;0),(EXP(LN(C73/B73)/(C$3-B$3))-1)*100,0)</f>
        <v>3.4479567104180653</v>
      </c>
      <c r="C241" s="335">
        <f t="shared" si="76"/>
        <v>6.4012228099733282</v>
      </c>
      <c r="D241" s="335">
        <f t="shared" si="73"/>
        <v>-0.9934631601624444</v>
      </c>
      <c r="E241" s="335">
        <f t="shared" si="74"/>
        <v>0.43635044976282344</v>
      </c>
      <c r="F241" s="335">
        <f t="shared" si="71"/>
        <v>-4.2533795716426237E-2</v>
      </c>
    </row>
    <row r="242" spans="1:6">
      <c r="A242" t="str">
        <f>$A$74</f>
        <v>Libraries, etc</v>
      </c>
      <c r="B242" s="335">
        <f t="shared" ref="B242:C242" si="77">IF(AND(C$3-B$3 &lt;&gt; 0,B74&lt;&gt;0,C74&lt;&gt;0),(EXP(LN(C74/B74)/(C$3-B$3))-1)*100,0)</f>
        <v>-1.1872889386845387</v>
      </c>
      <c r="C242" s="335">
        <f t="shared" si="77"/>
        <v>8.794705606617125</v>
      </c>
      <c r="D242" s="335">
        <f t="shared" si="73"/>
        <v>-1.2487165220992025</v>
      </c>
      <c r="E242" s="335">
        <f t="shared" si="74"/>
        <v>0.51531656861818487</v>
      </c>
      <c r="F242" s="335">
        <f t="shared" si="71"/>
        <v>-7.6168241040719398E-2</v>
      </c>
    </row>
    <row r="243" spans="1:6">
      <c r="A243" t="str">
        <f>$A$75</f>
        <v>Gambling and betting</v>
      </c>
      <c r="B243" s="335">
        <f t="shared" ref="B243:C243" si="78">IF(AND(C$3-B$3 &lt;&gt; 0,B75&lt;&gt;0,C75&lt;&gt;0),(EXP(LN(C75/B75)/(C$3-B$3))-1)*100,0)</f>
        <v>-2.1000006475043742</v>
      </c>
      <c r="C243" s="335">
        <f t="shared" si="78"/>
        <v>-4.1181665835377519</v>
      </c>
      <c r="D243" s="335">
        <f t="shared" si="73"/>
        <v>1.5308391171936497</v>
      </c>
      <c r="E243" s="335">
        <f t="shared" si="74"/>
        <v>1.0109546179395634</v>
      </c>
      <c r="F243" s="335">
        <f t="shared" si="71"/>
        <v>1.1839529928463044</v>
      </c>
    </row>
    <row r="244" spans="1:6">
      <c r="A244" t="str">
        <f>$A$76</f>
        <v>Sport and recreation</v>
      </c>
      <c r="B244" s="335">
        <f t="shared" ref="B244:C244" si="79">IF(AND(C$3-B$3 &lt;&gt; 0,B76&lt;&gt;0,C76&lt;&gt;0),(EXP(LN(C76/B76)/(C$3-B$3))-1)*100,0)</f>
        <v>1.1760032785145702</v>
      </c>
      <c r="C244" s="335">
        <f t="shared" si="79"/>
        <v>-4.2204697693570603</v>
      </c>
      <c r="D244" s="335">
        <f t="shared" si="73"/>
        <v>1.5068282847780612</v>
      </c>
      <c r="E244" s="335">
        <f t="shared" si="74"/>
        <v>0.95756499257018124</v>
      </c>
      <c r="F244" s="335">
        <f t="shared" si="71"/>
        <v>1.1403217247144326</v>
      </c>
    </row>
    <row r="245" spans="1:6">
      <c r="A245" t="str">
        <f>$A$77</f>
        <v>Membership organisations</v>
      </c>
      <c r="B245" s="335">
        <f t="shared" ref="B245:C245" si="80">IF(AND(C$3-B$3 &lt;&gt; 0,B77&lt;&gt;0,C77&lt;&gt;0),(EXP(LN(C77/B77)/(C$3-B$3))-1)*100,0)</f>
        <v>-0.20090210492733629</v>
      </c>
      <c r="C245" s="335">
        <f t="shared" si="80"/>
        <v>-5.348466580616817</v>
      </c>
      <c r="D245" s="335">
        <f t="shared" si="73"/>
        <v>-0.10593492790427206</v>
      </c>
      <c r="E245" s="335">
        <f t="shared" si="74"/>
        <v>5.2423603713047662E-2</v>
      </c>
      <c r="F245" s="335">
        <f t="shared" si="71"/>
        <v>-3.9044721212855293E-4</v>
      </c>
    </row>
    <row r="246" spans="1:6">
      <c r="A246" t="str">
        <f>$A$78</f>
        <v>Repair of goods</v>
      </c>
      <c r="B246" s="335">
        <f t="shared" ref="B246:C246" si="81">IF(AND(C$3-B$3 &lt;&gt; 0,B78&lt;&gt;0,C78&lt;&gt;0),(EXP(LN(C78/B78)/(C$3-B$3))-1)*100,0)</f>
        <v>1.2240255355319363</v>
      </c>
      <c r="C246" s="335">
        <f t="shared" si="81"/>
        <v>14.890731436042737</v>
      </c>
      <c r="D246" s="335">
        <f t="shared" si="73"/>
        <v>0.32995045843313697</v>
      </c>
      <c r="E246" s="335">
        <f t="shared" si="74"/>
        <v>0.33110084317076183</v>
      </c>
      <c r="F246" s="335">
        <f t="shared" si="71"/>
        <v>0.33071738012597773</v>
      </c>
    </row>
    <row r="247" spans="1:6">
      <c r="A247" t="str">
        <f>$A$79</f>
        <v>Other personal service</v>
      </c>
      <c r="B247" s="335">
        <f>IF(AND(C$3-B$3 &lt;&gt; 0,B79&lt;&gt;0,C79&lt;&gt;0),(EXP(LN(C79/B79)/(C$3-B$3))-1)*100,0)</f>
        <v>1.6960592110827344</v>
      </c>
      <c r="C247" s="335">
        <f t="shared" ref="C247" si="82">IF(AND(D$3-C$3 &lt;&gt; 0,C79&lt;&gt;0,D79&lt;&gt;0),(EXP(LN(D79/C79)/(D$3-C$3))-1)*100,0)</f>
        <v>0.41602233265298771</v>
      </c>
      <c r="D247" s="335">
        <f t="shared" si="73"/>
        <v>-0.28756983491944332</v>
      </c>
      <c r="E247" s="335">
        <f t="shared" si="74"/>
        <v>5.2987988934249941E-2</v>
      </c>
      <c r="F247" s="335">
        <f t="shared" si="71"/>
        <v>-6.0660327802553038E-2</v>
      </c>
    </row>
    <row r="248" spans="1:6">
      <c r="B248" s="335"/>
      <c r="C248" s="335"/>
      <c r="D248" s="335"/>
      <c r="E248" s="335"/>
      <c r="F248" s="335"/>
    </row>
    <row r="249" spans="1:6">
      <c r="A249" s="21" t="str">
        <f>$A$81</f>
        <v>All industries</v>
      </c>
      <c r="B249" s="336">
        <f>IF(AND(C$3-B$3 &lt;&gt; 0,B81&lt;&gt;0,C81&lt;&gt;0),(EXP(LN(C81/B81)/(C$3-B$3))-1)*100,0)</f>
        <v>1.3311698180238585</v>
      </c>
      <c r="C249" s="336">
        <f t="shared" ref="C249" si="83">IF(AND(D$3-C$3 &lt;&gt; 0,C81&lt;&gt;0,D81&lt;&gt;0),(EXP(LN(D81/C81)/(D$3-C$3))-1)*100,0)</f>
        <v>-1.1686419909956891</v>
      </c>
      <c r="D249" s="336">
        <f>IF(AND(E$3-D$3 &lt;&gt; 0,D81&lt;&gt;0,E81&lt;&gt;0),(EXP(LN(E81/D81)/(E$3-D$3))-1)*100,0)</f>
        <v>0.59245370532166053</v>
      </c>
      <c r="E249" s="336">
        <f>IF(AND(F$3-E$3 &lt;&gt; 0,E81&lt;&gt;0,F81&lt;&gt;0),(EXP(LN(F81/E81)/(F$3-E$3))-1)*100,0)</f>
        <v>0.41967279423580361</v>
      </c>
      <c r="F249" s="336">
        <f t="shared" si="71"/>
        <v>0.47723343115719796</v>
      </c>
    </row>
    <row r="253" spans="1:6" ht="15.6">
      <c r="A253" s="17" t="str">
        <f>CONCATENATE($A$1," (Continued)")</f>
        <v>Industry Table 3  Employment by Industry (SIC 2007), 2015-2035, England (Continued)</v>
      </c>
    </row>
    <row r="255" spans="1:6" ht="12.95">
      <c r="A255" s="19"/>
      <c r="B255" s="22" t="str">
        <f>CONCATENATE(B$3,"-",C$3)</f>
        <v>2015-2019</v>
      </c>
      <c r="C255" s="22" t="str">
        <f>CONCATENATE(C$3,"-",D$3)</f>
        <v>2019-2020</v>
      </c>
      <c r="D255" s="22" t="str">
        <f>CONCATENATE(D$3,"-",E$3)</f>
        <v>2020-2025</v>
      </c>
      <c r="E255" s="22" t="str">
        <f>CONCATENATE(E$3,"-",F$3)</f>
        <v>2025-2035</v>
      </c>
      <c r="F255" s="22" t="str">
        <f>CONCATENATE(D$3,"-",F$3)</f>
        <v>2020-2035</v>
      </c>
    </row>
    <row r="256" spans="1:6" ht="12.95">
      <c r="A256" s="23" t="s">
        <v>126</v>
      </c>
    </row>
    <row r="257" spans="1:6">
      <c r="A257" t="str">
        <f>$A$5</f>
        <v>Agriculture, etc</v>
      </c>
      <c r="B257" s="225">
        <f t="shared" ref="B257:E276" si="84">C5-B5</f>
        <v>7.7370000009906335</v>
      </c>
      <c r="C257" s="225">
        <f t="shared" si="84"/>
        <v>-30.707000003193798</v>
      </c>
      <c r="D257" s="225">
        <f t="shared" si="84"/>
        <v>7.2039999997490156</v>
      </c>
      <c r="E257" s="225">
        <f t="shared" si="84"/>
        <v>2.250999999725849</v>
      </c>
      <c r="F257" s="225">
        <f>F5-D5</f>
        <v>9.4549999994748646</v>
      </c>
    </row>
    <row r="258" spans="1:6">
      <c r="A258" t="str">
        <f>$A$6</f>
        <v>Coal, oil &amp; gas; Mining &amp; related</v>
      </c>
      <c r="B258" s="225">
        <f t="shared" si="84"/>
        <v>-6.4209999998805181</v>
      </c>
      <c r="C258" s="225">
        <f t="shared" si="84"/>
        <v>0.53200000001989167</v>
      </c>
      <c r="D258" s="225">
        <f t="shared" si="84"/>
        <v>-4.757999999940548</v>
      </c>
      <c r="E258" s="225">
        <f t="shared" si="84"/>
        <v>-5.0499999999886018</v>
      </c>
      <c r="F258" s="225">
        <f t="shared" ref="F258:F321" si="85">F6-D6</f>
        <v>-9.8079999999291498</v>
      </c>
    </row>
    <row r="259" spans="1:6">
      <c r="A259" t="str">
        <f>$A$7</f>
        <v>Food products</v>
      </c>
      <c r="B259" s="225">
        <f t="shared" si="84"/>
        <v>20.743999999103096</v>
      </c>
      <c r="C259" s="225">
        <f t="shared" si="84"/>
        <v>-0.5340000000618943</v>
      </c>
      <c r="D259" s="225">
        <f t="shared" si="84"/>
        <v>4.2880000035360126</v>
      </c>
      <c r="E259" s="225">
        <f t="shared" si="84"/>
        <v>-8.5339999996288043</v>
      </c>
      <c r="F259" s="225">
        <f t="shared" si="85"/>
        <v>-4.2459999960927917</v>
      </c>
    </row>
    <row r="260" spans="1:6">
      <c r="A260" t="str">
        <f>$A$8</f>
        <v>Beverages and tobacco</v>
      </c>
      <c r="B260" s="225">
        <f t="shared" si="84"/>
        <v>6.7690000000003181</v>
      </c>
      <c r="C260" s="225">
        <f t="shared" si="84"/>
        <v>1.4019999998813688</v>
      </c>
      <c r="D260" s="225">
        <f t="shared" si="84"/>
        <v>0.2150000002557988</v>
      </c>
      <c r="E260" s="225">
        <f t="shared" si="84"/>
        <v>-1.1850000000412777</v>
      </c>
      <c r="F260" s="225">
        <f t="shared" si="85"/>
        <v>-0.96999999978547891</v>
      </c>
    </row>
    <row r="261" spans="1:6">
      <c r="A261" t="str">
        <f>$A$9</f>
        <v>Textiles</v>
      </c>
      <c r="B261" s="225">
        <f t="shared" si="84"/>
        <v>4.4289999998702783</v>
      </c>
      <c r="C261" s="225">
        <f t="shared" si="84"/>
        <v>2.9339999999454918</v>
      </c>
      <c r="D261" s="225">
        <f t="shared" si="84"/>
        <v>-6.5809999995301993</v>
      </c>
      <c r="E261" s="225">
        <f t="shared" si="84"/>
        <v>-7.2559999999574814</v>
      </c>
      <c r="F261" s="225">
        <f t="shared" si="85"/>
        <v>-13.836999999487681</v>
      </c>
    </row>
    <row r="262" spans="1:6">
      <c r="A262" t="str">
        <f>$A$10</f>
        <v>Wearing apparel; Leather, etc</v>
      </c>
      <c r="B262" s="225">
        <f t="shared" si="84"/>
        <v>-4.060000000181482</v>
      </c>
      <c r="C262" s="225">
        <f t="shared" si="84"/>
        <v>4.9179999998228823</v>
      </c>
      <c r="D262" s="225">
        <f t="shared" si="84"/>
        <v>-5.6619999997810808</v>
      </c>
      <c r="E262" s="225">
        <f t="shared" si="84"/>
        <v>-5.986999999954719</v>
      </c>
      <c r="F262" s="225">
        <f t="shared" si="85"/>
        <v>-11.6489999997358</v>
      </c>
    </row>
    <row r="263" spans="1:6">
      <c r="A263" t="str">
        <f>$A$11</f>
        <v xml:space="preserve">Wood and cork </v>
      </c>
      <c r="B263" s="225">
        <f t="shared" si="84"/>
        <v>7.7240000003178579</v>
      </c>
      <c r="C263" s="225">
        <f t="shared" si="84"/>
        <v>2.629999999675718</v>
      </c>
      <c r="D263" s="225">
        <f t="shared" si="84"/>
        <v>-0.36400000012443456</v>
      </c>
      <c r="E263" s="225">
        <f t="shared" si="84"/>
        <v>-2.8459999997436967</v>
      </c>
      <c r="F263" s="225">
        <f t="shared" si="85"/>
        <v>-3.2099999998681312</v>
      </c>
    </row>
    <row r="264" spans="1:6">
      <c r="A264" t="str">
        <f>$A$12</f>
        <v>Paper, etc</v>
      </c>
      <c r="B264" s="225">
        <f t="shared" si="84"/>
        <v>-8.2940000001431784</v>
      </c>
      <c r="C264" s="225">
        <f t="shared" si="84"/>
        <v>-5.1899999999069308</v>
      </c>
      <c r="D264" s="225">
        <f t="shared" si="84"/>
        <v>-0.10399999978532293</v>
      </c>
      <c r="E264" s="225">
        <f t="shared" si="84"/>
        <v>-1.4869999999908785</v>
      </c>
      <c r="F264" s="225">
        <f t="shared" si="85"/>
        <v>-1.5909999997762014</v>
      </c>
    </row>
    <row r="265" spans="1:6">
      <c r="A265" t="str">
        <f>$A$13</f>
        <v>Printing and recording</v>
      </c>
      <c r="B265" s="225">
        <f t="shared" si="84"/>
        <v>-23.678000000196604</v>
      </c>
      <c r="C265" s="225">
        <f t="shared" si="84"/>
        <v>-4.1619999998126644</v>
      </c>
      <c r="D265" s="225">
        <f t="shared" si="84"/>
        <v>-5.9949999992616512</v>
      </c>
      <c r="E265" s="225">
        <f t="shared" si="84"/>
        <v>-11.581999999899601</v>
      </c>
      <c r="F265" s="225">
        <f t="shared" si="85"/>
        <v>-17.576999999161252</v>
      </c>
    </row>
    <row r="266" spans="1:6">
      <c r="A266" t="str">
        <f>$A$14</f>
        <v>Coke and petroleum; Chemicals, etc</v>
      </c>
      <c r="B266" s="225">
        <f t="shared" si="84"/>
        <v>9.2499999999170797</v>
      </c>
      <c r="C266" s="225">
        <f t="shared" si="84"/>
        <v>-2.2810000000336714</v>
      </c>
      <c r="D266" s="225">
        <f t="shared" si="84"/>
        <v>-5.5119999990102428</v>
      </c>
      <c r="E266" s="225">
        <f t="shared" si="84"/>
        <v>-7.8339999998792962</v>
      </c>
      <c r="F266" s="225">
        <f t="shared" si="85"/>
        <v>-13.345999998889539</v>
      </c>
    </row>
    <row r="267" spans="1:6">
      <c r="A267" t="str">
        <f>$A$15</f>
        <v>Pharmaceuticals</v>
      </c>
      <c r="B267" s="225">
        <f t="shared" si="84"/>
        <v>4.3559999999099404</v>
      </c>
      <c r="C267" s="225">
        <f t="shared" si="84"/>
        <v>1.9100000000347066</v>
      </c>
      <c r="D267" s="225">
        <f t="shared" si="84"/>
        <v>3.2720000004055194</v>
      </c>
      <c r="E267" s="225">
        <f t="shared" si="84"/>
        <v>-1.3429999998871409</v>
      </c>
      <c r="F267" s="225">
        <f t="shared" si="85"/>
        <v>1.9290000005183785</v>
      </c>
    </row>
    <row r="268" spans="1:6">
      <c r="A268" t="str">
        <f>$A$16</f>
        <v>Rubber and plastic</v>
      </c>
      <c r="B268" s="225">
        <f t="shared" si="84"/>
        <v>-9.1000000003372463</v>
      </c>
      <c r="C268" s="225">
        <f t="shared" si="84"/>
        <v>9.5230000001405983</v>
      </c>
      <c r="D268" s="225">
        <f t="shared" si="84"/>
        <v>-2.4859999989073174</v>
      </c>
      <c r="E268" s="225">
        <f t="shared" si="84"/>
        <v>-16.823999999865151</v>
      </c>
      <c r="F268" s="225">
        <f t="shared" si="85"/>
        <v>-19.309999998772469</v>
      </c>
    </row>
    <row r="269" spans="1:6">
      <c r="A269" t="str">
        <f>$A$17</f>
        <v>Other non-metallic</v>
      </c>
      <c r="B269" s="225">
        <f t="shared" si="84"/>
        <v>7.6690000000573662</v>
      </c>
      <c r="C269" s="225">
        <f t="shared" si="84"/>
        <v>0.99300000002874356</v>
      </c>
      <c r="D269" s="225">
        <f t="shared" si="84"/>
        <v>-1.4029999995730122</v>
      </c>
      <c r="E269" s="225">
        <f t="shared" si="84"/>
        <v>-8.9759999999573381</v>
      </c>
      <c r="F269" s="225">
        <f t="shared" si="85"/>
        <v>-10.37899999953035</v>
      </c>
    </row>
    <row r="270" spans="1:6">
      <c r="A270" t="str">
        <f>$A$18</f>
        <v>Basic metals</v>
      </c>
      <c r="B270" s="225">
        <f t="shared" si="84"/>
        <v>3.9629999999362298</v>
      </c>
      <c r="C270" s="225">
        <f t="shared" si="84"/>
        <v>-9.0889999999522146</v>
      </c>
      <c r="D270" s="225">
        <f t="shared" si="84"/>
        <v>-1.2929999998145334</v>
      </c>
      <c r="E270" s="225">
        <f t="shared" si="84"/>
        <v>-5.6609999999790404</v>
      </c>
      <c r="F270" s="225">
        <f t="shared" si="85"/>
        <v>-6.9539999997935737</v>
      </c>
    </row>
    <row r="271" spans="1:6">
      <c r="A271" t="str">
        <f>$A$19</f>
        <v>Metal products</v>
      </c>
      <c r="B271" s="225">
        <f t="shared" si="84"/>
        <v>-8.9070000001328253</v>
      </c>
      <c r="C271" s="225">
        <f t="shared" si="84"/>
        <v>-33.440999999994972</v>
      </c>
      <c r="D271" s="225">
        <f t="shared" si="84"/>
        <v>-6.9259999987262404</v>
      </c>
      <c r="E271" s="225">
        <f t="shared" si="84"/>
        <v>-28.214999999689155</v>
      </c>
      <c r="F271" s="225">
        <f t="shared" si="85"/>
        <v>-35.140999998415396</v>
      </c>
    </row>
    <row r="272" spans="1:6">
      <c r="A272" t="str">
        <f>$A$20</f>
        <v>Computer, etc</v>
      </c>
      <c r="B272" s="225">
        <f t="shared" si="84"/>
        <v>2.0009999999503947</v>
      </c>
      <c r="C272" s="225">
        <f t="shared" si="84"/>
        <v>3.9280000000348139</v>
      </c>
      <c r="D272" s="225">
        <f t="shared" si="84"/>
        <v>3.9730000009318331</v>
      </c>
      <c r="E272" s="225">
        <f t="shared" si="84"/>
        <v>-16.060999999968942</v>
      </c>
      <c r="F272" s="225">
        <f t="shared" si="85"/>
        <v>-12.087999999037109</v>
      </c>
    </row>
    <row r="273" spans="1:6">
      <c r="A273" t="str">
        <f>$A$21</f>
        <v>Electrical equipment</v>
      </c>
      <c r="B273" s="225">
        <f t="shared" si="84"/>
        <v>-6.8149999998891246</v>
      </c>
      <c r="C273" s="225">
        <f t="shared" si="84"/>
        <v>-7.70800000003387</v>
      </c>
      <c r="D273" s="225">
        <f t="shared" si="84"/>
        <v>-1.4239999995578003</v>
      </c>
      <c r="E273" s="225">
        <f t="shared" si="84"/>
        <v>-2.7529999999246826</v>
      </c>
      <c r="F273" s="225">
        <f t="shared" si="85"/>
        <v>-4.1769999994824829</v>
      </c>
    </row>
    <row r="274" spans="1:6">
      <c r="A274" t="str">
        <f>$A$22</f>
        <v>Machinery n.e.c.</v>
      </c>
      <c r="B274" s="225">
        <f t="shared" si="84"/>
        <v>12.361000000115553</v>
      </c>
      <c r="C274" s="225">
        <f t="shared" si="84"/>
        <v>-12.266000000085057</v>
      </c>
      <c r="D274" s="225">
        <f t="shared" si="84"/>
        <v>3.7800000009278563</v>
      </c>
      <c r="E274" s="225">
        <f t="shared" si="84"/>
        <v>-19.994999999863097</v>
      </c>
      <c r="F274" s="225">
        <f t="shared" si="85"/>
        <v>-16.214999998935241</v>
      </c>
    </row>
    <row r="275" spans="1:6">
      <c r="A275" t="str">
        <f>$A$23</f>
        <v>Motor vehicles, etc</v>
      </c>
      <c r="B275" s="225">
        <f t="shared" si="84"/>
        <v>13.06199999949655</v>
      </c>
      <c r="C275" s="225">
        <f t="shared" si="84"/>
        <v>-18.328999999879244</v>
      </c>
      <c r="D275" s="225">
        <f t="shared" si="84"/>
        <v>-0.72399999918482649</v>
      </c>
      <c r="E275" s="225">
        <f t="shared" si="84"/>
        <v>-9.5259999998974223</v>
      </c>
      <c r="F275" s="225">
        <f t="shared" si="85"/>
        <v>-10.249999999082249</v>
      </c>
    </row>
    <row r="276" spans="1:6">
      <c r="A276" t="str">
        <f>$A$24</f>
        <v>Other transport equipment</v>
      </c>
      <c r="B276" s="225">
        <f t="shared" si="84"/>
        <v>5.6750000001853493</v>
      </c>
      <c r="C276" s="225">
        <f t="shared" si="84"/>
        <v>0.25399999986720445</v>
      </c>
      <c r="D276" s="225">
        <f t="shared" si="84"/>
        <v>-17.004999999465156</v>
      </c>
      <c r="E276" s="225">
        <f t="shared" si="84"/>
        <v>-0.4659999998003741</v>
      </c>
      <c r="F276" s="225">
        <f t="shared" si="85"/>
        <v>-17.47099999926553</v>
      </c>
    </row>
    <row r="277" spans="1:6">
      <c r="A277" t="str">
        <f>$A$25</f>
        <v>Furniture</v>
      </c>
      <c r="B277" s="225">
        <f t="shared" ref="B277:E296" si="86">C25-B25</f>
        <v>1.896999999991678</v>
      </c>
      <c r="C277" s="225">
        <f t="shared" si="86"/>
        <v>2.7680000000134442</v>
      </c>
      <c r="D277" s="225">
        <f t="shared" si="86"/>
        <v>-10.678999999562848</v>
      </c>
      <c r="E277" s="225">
        <f t="shared" si="86"/>
        <v>-4.4839999999042561</v>
      </c>
      <c r="F277" s="225">
        <f t="shared" si="85"/>
        <v>-15.162999999467104</v>
      </c>
    </row>
    <row r="278" spans="1:6">
      <c r="A278" t="str">
        <f>$A$26</f>
        <v>Other manufacturing</v>
      </c>
      <c r="B278" s="225">
        <f t="shared" si="86"/>
        <v>-0.19700000017996899</v>
      </c>
      <c r="C278" s="225">
        <f t="shared" si="86"/>
        <v>3.4619999999361966</v>
      </c>
      <c r="D278" s="225">
        <f t="shared" si="86"/>
        <v>-11.330999999193878</v>
      </c>
      <c r="E278" s="225">
        <f t="shared" si="86"/>
        <v>-4.7099999998561657</v>
      </c>
      <c r="F278" s="225">
        <f t="shared" si="85"/>
        <v>-16.040999999050044</v>
      </c>
    </row>
    <row r="279" spans="1:6">
      <c r="A279" t="str">
        <f>$A$27</f>
        <v>Repair and installation</v>
      </c>
      <c r="B279" s="225">
        <f t="shared" si="86"/>
        <v>17.958999999934264</v>
      </c>
      <c r="C279" s="225">
        <f t="shared" si="86"/>
        <v>12.237999999752631</v>
      </c>
      <c r="D279" s="225">
        <f t="shared" si="86"/>
        <v>-15.725999999538047</v>
      </c>
      <c r="E279" s="225">
        <f t="shared" si="86"/>
        <v>-5.8369999999463005</v>
      </c>
      <c r="F279" s="225">
        <f t="shared" si="85"/>
        <v>-21.562999999484347</v>
      </c>
    </row>
    <row r="280" spans="1:6">
      <c r="A280" t="str">
        <f>$A$28</f>
        <v>Electricity, gas, etc</v>
      </c>
      <c r="B280" s="225">
        <f t="shared" si="86"/>
        <v>20.216999999905994</v>
      </c>
      <c r="C280" s="225">
        <f t="shared" si="86"/>
        <v>-0.27200000000013347</v>
      </c>
      <c r="D280" s="225">
        <f t="shared" si="86"/>
        <v>-4.4819999987182939</v>
      </c>
      <c r="E280" s="225">
        <f t="shared" si="86"/>
        <v>-0.75500000024054259</v>
      </c>
      <c r="F280" s="225">
        <f t="shared" si="85"/>
        <v>-5.2369999989588365</v>
      </c>
    </row>
    <row r="281" spans="1:6">
      <c r="A281" t="str">
        <f>$A$29</f>
        <v>Water</v>
      </c>
      <c r="B281" s="225">
        <f t="shared" si="86"/>
        <v>6.6769999999850391</v>
      </c>
      <c r="C281" s="225">
        <f t="shared" si="86"/>
        <v>-2.1599999999992789</v>
      </c>
      <c r="D281" s="225">
        <f t="shared" si="86"/>
        <v>1.8870000003636989</v>
      </c>
      <c r="E281" s="225">
        <f t="shared" si="86"/>
        <v>3.0480000000895942</v>
      </c>
      <c r="F281" s="225">
        <f t="shared" si="85"/>
        <v>4.935000000453293</v>
      </c>
    </row>
    <row r="282" spans="1:6">
      <c r="A282" t="str">
        <f>$A$30</f>
        <v>Sewerage</v>
      </c>
      <c r="B282" s="225">
        <f t="shared" si="86"/>
        <v>-0.55900000004645634</v>
      </c>
      <c r="C282" s="225">
        <f t="shared" si="86"/>
        <v>-1.8849999999997493</v>
      </c>
      <c r="D282" s="225">
        <f t="shared" si="86"/>
        <v>1.046000000143966</v>
      </c>
      <c r="E282" s="225">
        <f t="shared" si="86"/>
        <v>1.7090000000804864</v>
      </c>
      <c r="F282" s="225">
        <f t="shared" si="85"/>
        <v>2.7550000002244524</v>
      </c>
    </row>
    <row r="283" spans="1:6">
      <c r="A283" t="str">
        <f>$A$31</f>
        <v>Waste management</v>
      </c>
      <c r="B283" s="225">
        <f t="shared" si="86"/>
        <v>16.110000000036706</v>
      </c>
      <c r="C283" s="225">
        <f t="shared" si="86"/>
        <v>-9.9210000002676395</v>
      </c>
      <c r="D283" s="225">
        <f t="shared" si="86"/>
        <v>5.8450000006049976</v>
      </c>
      <c r="E283" s="225">
        <f t="shared" si="86"/>
        <v>9.2960000003245966</v>
      </c>
      <c r="F283" s="225">
        <f t="shared" si="85"/>
        <v>15.141000000929594</v>
      </c>
    </row>
    <row r="284" spans="1:6">
      <c r="A284" t="str">
        <f>$A$32</f>
        <v>Construction</v>
      </c>
      <c r="B284" s="225">
        <f t="shared" si="86"/>
        <v>99.068000011041363</v>
      </c>
      <c r="C284" s="225">
        <f t="shared" si="86"/>
        <v>6.2089999842846737</v>
      </c>
      <c r="D284" s="225">
        <f t="shared" si="86"/>
        <v>36.626999986103669</v>
      </c>
      <c r="E284" s="225">
        <f t="shared" si="86"/>
        <v>57.073000003068501</v>
      </c>
      <c r="F284" s="225">
        <f t="shared" si="85"/>
        <v>93.69999998917217</v>
      </c>
    </row>
    <row r="285" spans="1:6">
      <c r="A285" t="str">
        <f>$A$33</f>
        <v>Civil engineering</v>
      </c>
      <c r="B285" s="225">
        <f t="shared" si="86"/>
        <v>15.69800000531103</v>
      </c>
      <c r="C285" s="225">
        <f t="shared" si="86"/>
        <v>-1.3990000062597687</v>
      </c>
      <c r="D285" s="225">
        <f t="shared" si="86"/>
        <v>11.659999992824623</v>
      </c>
      <c r="E285" s="225">
        <f t="shared" si="86"/>
        <v>18.517000001079452</v>
      </c>
      <c r="F285" s="225">
        <f t="shared" si="85"/>
        <v>30.176999993904076</v>
      </c>
    </row>
    <row r="286" spans="1:6">
      <c r="A286" t="str">
        <f>$A$34</f>
        <v>Specialised construction</v>
      </c>
      <c r="B286" s="225">
        <f t="shared" si="86"/>
        <v>81.637000020782466</v>
      </c>
      <c r="C286" s="225">
        <f t="shared" si="86"/>
        <v>-1.7720000251051715</v>
      </c>
      <c r="D286" s="225">
        <f t="shared" si="86"/>
        <v>49.868999971508629</v>
      </c>
      <c r="E286" s="225">
        <f t="shared" si="86"/>
        <v>78.376000005706601</v>
      </c>
      <c r="F286" s="225">
        <f t="shared" si="85"/>
        <v>128.24499997721523</v>
      </c>
    </row>
    <row r="287" spans="1:6">
      <c r="A287" t="str">
        <f>$A$35</f>
        <v>Motor vehicle trade</v>
      </c>
      <c r="B287" s="225">
        <f t="shared" si="86"/>
        <v>71.824000000544743</v>
      </c>
      <c r="C287" s="225">
        <f t="shared" si="86"/>
        <v>-47.882000003085636</v>
      </c>
      <c r="D287" s="225">
        <f t="shared" si="86"/>
        <v>15.547000001856645</v>
      </c>
      <c r="E287" s="225">
        <f t="shared" si="86"/>
        <v>21.009000000485003</v>
      </c>
      <c r="F287" s="225">
        <f t="shared" si="85"/>
        <v>36.556000002341648</v>
      </c>
    </row>
    <row r="288" spans="1:6">
      <c r="A288" t="str">
        <f>$A$36</f>
        <v>Wholesale trade</v>
      </c>
      <c r="B288" s="225">
        <f t="shared" si="86"/>
        <v>37.165999995439506</v>
      </c>
      <c r="C288" s="225">
        <f t="shared" si="86"/>
        <v>-10.302000003242483</v>
      </c>
      <c r="D288" s="225">
        <f t="shared" si="86"/>
        <v>13.410000012929459</v>
      </c>
      <c r="E288" s="225">
        <f t="shared" si="86"/>
        <v>6.8340000015427904</v>
      </c>
      <c r="F288" s="225">
        <f t="shared" si="85"/>
        <v>20.244000014472249</v>
      </c>
    </row>
    <row r="289" spans="1:6">
      <c r="A289" t="str">
        <f>$A$37</f>
        <v>Retail trade</v>
      </c>
      <c r="B289" s="225">
        <f t="shared" si="86"/>
        <v>-59.795000017046732</v>
      </c>
      <c r="C289" s="225">
        <f t="shared" si="86"/>
        <v>26.604999982874233</v>
      </c>
      <c r="D289" s="225">
        <f t="shared" si="86"/>
        <v>-4.953999951257174</v>
      </c>
      <c r="E289" s="225">
        <f t="shared" si="86"/>
        <v>16.994999985928644</v>
      </c>
      <c r="F289" s="225">
        <f t="shared" si="85"/>
        <v>12.04100003467147</v>
      </c>
    </row>
    <row r="290" spans="1:6">
      <c r="A290" t="str">
        <f>$A$38</f>
        <v>Land transport, etc</v>
      </c>
      <c r="B290" s="225">
        <f t="shared" si="86"/>
        <v>106.07299998192264</v>
      </c>
      <c r="C290" s="225">
        <f t="shared" si="86"/>
        <v>-40.811999985496527</v>
      </c>
      <c r="D290" s="225">
        <f t="shared" si="86"/>
        <v>62.737000019794209</v>
      </c>
      <c r="E290" s="225">
        <f t="shared" si="86"/>
        <v>7.2400000024338169</v>
      </c>
      <c r="F290" s="225">
        <f t="shared" si="85"/>
        <v>69.977000022228026</v>
      </c>
    </row>
    <row r="291" spans="1:6">
      <c r="A291" t="str">
        <f>$A$39</f>
        <v>Water transport</v>
      </c>
      <c r="B291" s="225">
        <f t="shared" si="86"/>
        <v>1.8490000000282638</v>
      </c>
      <c r="C291" s="225">
        <f t="shared" si="86"/>
        <v>-5.8000000051158906E-2</v>
      </c>
      <c r="D291" s="225">
        <f t="shared" si="86"/>
        <v>-2.589999999844883</v>
      </c>
      <c r="E291" s="225">
        <f t="shared" si="86"/>
        <v>-0.80400000002732952</v>
      </c>
      <c r="F291" s="225">
        <f t="shared" si="85"/>
        <v>-3.3939999998722126</v>
      </c>
    </row>
    <row r="292" spans="1:6">
      <c r="A292" t="str">
        <f>$A$40</f>
        <v>Air transport</v>
      </c>
      <c r="B292" s="225">
        <f t="shared" si="86"/>
        <v>4.6289999998362532</v>
      </c>
      <c r="C292" s="225">
        <f t="shared" si="86"/>
        <v>-4.9950000005949704</v>
      </c>
      <c r="D292" s="225">
        <f t="shared" si="86"/>
        <v>2.7210000006502781</v>
      </c>
      <c r="E292" s="225">
        <f t="shared" si="86"/>
        <v>0.99800000022727886</v>
      </c>
      <c r="F292" s="225">
        <f t="shared" si="85"/>
        <v>3.719000000877557</v>
      </c>
    </row>
    <row r="293" spans="1:6">
      <c r="A293" t="str">
        <f>$A$41</f>
        <v>Warehousing, etc</v>
      </c>
      <c r="B293" s="225">
        <f t="shared" si="86"/>
        <v>63.12399999868245</v>
      </c>
      <c r="C293" s="225">
        <f t="shared" si="86"/>
        <v>18.268999998651452</v>
      </c>
      <c r="D293" s="225">
        <f t="shared" si="86"/>
        <v>26.43700000391533</v>
      </c>
      <c r="E293" s="225">
        <f t="shared" si="86"/>
        <v>14.112000000612852</v>
      </c>
      <c r="F293" s="225">
        <f t="shared" si="85"/>
        <v>40.549000004528182</v>
      </c>
    </row>
    <row r="294" spans="1:6">
      <c r="A294" t="str">
        <f>$A$42</f>
        <v>Postal and courier</v>
      </c>
      <c r="B294" s="225">
        <f t="shared" si="86"/>
        <v>19.434999999355313</v>
      </c>
      <c r="C294" s="225">
        <f t="shared" si="86"/>
        <v>15.618999998515619</v>
      </c>
      <c r="D294" s="225">
        <f t="shared" si="86"/>
        <v>15.906000003596773</v>
      </c>
      <c r="E294" s="225">
        <f t="shared" si="86"/>
        <v>11.431000000072004</v>
      </c>
      <c r="F294" s="225">
        <f t="shared" si="85"/>
        <v>27.337000003668777</v>
      </c>
    </row>
    <row r="295" spans="1:6">
      <c r="A295" t="str">
        <f>$A$43</f>
        <v>Accommodation</v>
      </c>
      <c r="B295" s="225">
        <f t="shared" si="86"/>
        <v>48.634000000274341</v>
      </c>
      <c r="C295" s="225">
        <f t="shared" si="86"/>
        <v>-36.390000003909108</v>
      </c>
      <c r="D295" s="225">
        <f t="shared" si="86"/>
        <v>46.426000007941525</v>
      </c>
      <c r="E295" s="225">
        <f t="shared" si="86"/>
        <v>40.394000000012227</v>
      </c>
      <c r="F295" s="225">
        <f t="shared" si="85"/>
        <v>86.820000007953752</v>
      </c>
    </row>
    <row r="296" spans="1:6">
      <c r="A296" t="str">
        <f>$A$44</f>
        <v>Food and beverage services</v>
      </c>
      <c r="B296" s="225">
        <f t="shared" si="86"/>
        <v>189.91499999827124</v>
      </c>
      <c r="C296" s="225">
        <f t="shared" si="86"/>
        <v>-49.459000017623111</v>
      </c>
      <c r="D296" s="225">
        <f t="shared" si="86"/>
        <v>50.956000028908875</v>
      </c>
      <c r="E296" s="225">
        <f t="shared" si="86"/>
        <v>267.48500000526997</v>
      </c>
      <c r="F296" s="225">
        <f t="shared" si="85"/>
        <v>318.44100003417884</v>
      </c>
    </row>
    <row r="297" spans="1:6">
      <c r="A297" t="str">
        <f>$A$45</f>
        <v>Publishing activities</v>
      </c>
      <c r="B297" s="225">
        <f t="shared" ref="B297:E297" si="87">C45-B45</f>
        <v>-17.01600000027139</v>
      </c>
      <c r="C297" s="225">
        <f t="shared" si="87"/>
        <v>2.2110000007643862</v>
      </c>
      <c r="D297" s="225">
        <f t="shared" si="87"/>
        <v>0.70500000212882696</v>
      </c>
      <c r="E297" s="225">
        <f t="shared" si="87"/>
        <v>0.40800000017941329</v>
      </c>
      <c r="F297" s="225">
        <f t="shared" si="85"/>
        <v>1.1130000023082403</v>
      </c>
    </row>
    <row r="298" spans="1:6">
      <c r="A298" t="str">
        <f>$A$46</f>
        <v>Film and music</v>
      </c>
      <c r="B298" s="225">
        <f t="shared" ref="B298:C322" si="88">C46-B46</f>
        <v>17.479999999479276</v>
      </c>
      <c r="C298" s="225">
        <f t="shared" si="88"/>
        <v>1.6000000872850251E-2</v>
      </c>
      <c r="D298" s="225">
        <f t="shared" ref="D298:E298" si="89">E46-D46</f>
        <v>2.8680000019799365</v>
      </c>
      <c r="E298" s="225">
        <f t="shared" si="89"/>
        <v>3.1810000001702008</v>
      </c>
      <c r="F298" s="225">
        <f t="shared" si="85"/>
        <v>6.0490000021501373</v>
      </c>
    </row>
    <row r="299" spans="1:6">
      <c r="A299" t="str">
        <f>$A$47</f>
        <v>Broadcasting</v>
      </c>
      <c r="B299" s="225">
        <f t="shared" si="88"/>
        <v>5.2489999999317973</v>
      </c>
      <c r="C299" s="225">
        <f t="shared" si="88"/>
        <v>0.98700000033095137</v>
      </c>
      <c r="D299" s="225">
        <f t="shared" ref="D299:E299" si="90">E47-D47</f>
        <v>0.79100000071820631</v>
      </c>
      <c r="E299" s="225">
        <f t="shared" si="90"/>
        <v>0.29199999996146175</v>
      </c>
      <c r="F299" s="225">
        <f t="shared" si="85"/>
        <v>1.0830000006796681</v>
      </c>
    </row>
    <row r="300" spans="1:6">
      <c r="A300" t="str">
        <f>$A$48</f>
        <v>Telecommunications</v>
      </c>
      <c r="B300" s="225">
        <f t="shared" si="88"/>
        <v>-11.637999999683444</v>
      </c>
      <c r="C300" s="225">
        <f t="shared" si="88"/>
        <v>-5.9159999996955435</v>
      </c>
      <c r="D300" s="225">
        <f t="shared" ref="D300:E300" si="91">E48-D48</f>
        <v>12.525000002260924</v>
      </c>
      <c r="E300" s="225">
        <f t="shared" si="91"/>
        <v>14.137000000086857</v>
      </c>
      <c r="F300" s="225">
        <f t="shared" si="85"/>
        <v>26.662000002347781</v>
      </c>
    </row>
    <row r="301" spans="1:6">
      <c r="A301" t="str">
        <f>$A$49</f>
        <v>Computing services</v>
      </c>
      <c r="B301" s="225">
        <f t="shared" si="88"/>
        <v>78.47599999961335</v>
      </c>
      <c r="C301" s="225">
        <f t="shared" si="88"/>
        <v>8.5240000059991416</v>
      </c>
      <c r="D301" s="225">
        <f t="shared" ref="D301:E301" si="92">E49-D49</f>
        <v>54.762000008315681</v>
      </c>
      <c r="E301" s="225">
        <f t="shared" si="92"/>
        <v>63.159000000170636</v>
      </c>
      <c r="F301" s="225">
        <f t="shared" si="85"/>
        <v>117.92100000848632</v>
      </c>
    </row>
    <row r="302" spans="1:6">
      <c r="A302" t="str">
        <f>$A$50</f>
        <v>Information services</v>
      </c>
      <c r="B302" s="225">
        <f t="shared" si="88"/>
        <v>-7.6589999999765865</v>
      </c>
      <c r="C302" s="225">
        <f t="shared" si="88"/>
        <v>3.426000000533449</v>
      </c>
      <c r="D302" s="225">
        <f t="shared" ref="D302:E302" si="93">E50-D50</f>
        <v>7.3620000010180036</v>
      </c>
      <c r="E302" s="225">
        <f t="shared" si="93"/>
        <v>8.8680000001611745</v>
      </c>
      <c r="F302" s="225">
        <f t="shared" si="85"/>
        <v>16.230000001179178</v>
      </c>
    </row>
    <row r="303" spans="1:6">
      <c r="A303" t="str">
        <f>$A$51</f>
        <v>Financial services</v>
      </c>
      <c r="B303" s="225">
        <f t="shared" si="88"/>
        <v>-10.785000000088303</v>
      </c>
      <c r="C303" s="225">
        <f t="shared" si="88"/>
        <v>-5.5999999971596139</v>
      </c>
      <c r="D303" s="225">
        <f t="shared" ref="D303:E303" si="94">E51-D51</f>
        <v>-2.7999993167384218E-2</v>
      </c>
      <c r="E303" s="225">
        <f t="shared" si="94"/>
        <v>-9.4919999983023899</v>
      </c>
      <c r="F303" s="225">
        <f t="shared" si="85"/>
        <v>-9.5199999914697742</v>
      </c>
    </row>
    <row r="304" spans="1:6">
      <c r="A304" t="str">
        <f>$A$52</f>
        <v>Insurance and pensions</v>
      </c>
      <c r="B304" s="225">
        <f t="shared" si="88"/>
        <v>13.398999999732652</v>
      </c>
      <c r="C304" s="225">
        <f t="shared" si="88"/>
        <v>-0.89499999952475662</v>
      </c>
      <c r="D304" s="225">
        <f t="shared" ref="D304:E304" si="95">E52-D52</f>
        <v>-1.1729999979342125</v>
      </c>
      <c r="E304" s="225">
        <f t="shared" si="95"/>
        <v>-4.847999999740864</v>
      </c>
      <c r="F304" s="225">
        <f t="shared" si="85"/>
        <v>-6.0209999976750765</v>
      </c>
    </row>
    <row r="305" spans="1:6">
      <c r="A305" t="str">
        <f>$A$53</f>
        <v>Auxiliary financial services</v>
      </c>
      <c r="B305" s="225">
        <f t="shared" si="88"/>
        <v>21.429999999407528</v>
      </c>
      <c r="C305" s="225">
        <f t="shared" si="88"/>
        <v>13.347000003801327</v>
      </c>
      <c r="D305" s="225">
        <f t="shared" ref="D305:E305" si="96">E53-D53</f>
        <v>2.8640000080207528</v>
      </c>
      <c r="E305" s="225">
        <f t="shared" si="96"/>
        <v>-10.707999998943876</v>
      </c>
      <c r="F305" s="225">
        <f t="shared" si="85"/>
        <v>-7.8439999909231233</v>
      </c>
    </row>
    <row r="306" spans="1:6">
      <c r="A306" t="str">
        <f>$A$54</f>
        <v>Real estate</v>
      </c>
      <c r="B306" s="225">
        <f t="shared" si="88"/>
        <v>12.531000000472261</v>
      </c>
      <c r="C306" s="225">
        <f t="shared" si="88"/>
        <v>53.844999999327115</v>
      </c>
      <c r="D306" s="225">
        <f t="shared" ref="D306:E306" si="97">E54-D54</f>
        <v>-18.035999994000235</v>
      </c>
      <c r="E306" s="225">
        <f t="shared" si="97"/>
        <v>49.8150000015047</v>
      </c>
      <c r="F306" s="225">
        <f t="shared" si="85"/>
        <v>31.779000007504465</v>
      </c>
    </row>
    <row r="307" spans="1:6">
      <c r="A307" t="str">
        <f>$A$55</f>
        <v>Legal and accounting</v>
      </c>
      <c r="B307" s="225">
        <f t="shared" si="88"/>
        <v>96.42799999868771</v>
      </c>
      <c r="C307" s="225">
        <f t="shared" si="88"/>
        <v>-36.375999993071673</v>
      </c>
      <c r="D307" s="225">
        <f t="shared" ref="D307:E307" si="98">E55-D55</f>
        <v>38.091000014633664</v>
      </c>
      <c r="E307" s="225">
        <f t="shared" si="98"/>
        <v>41.795000004299936</v>
      </c>
      <c r="F307" s="225">
        <f t="shared" si="85"/>
        <v>79.886000018933601</v>
      </c>
    </row>
    <row r="308" spans="1:6">
      <c r="A308" t="str">
        <f>$A$56</f>
        <v>Head offices, etc</v>
      </c>
      <c r="B308" s="225">
        <f t="shared" si="88"/>
        <v>29.227000000627754</v>
      </c>
      <c r="C308" s="225">
        <f t="shared" si="88"/>
        <v>5.8020000064900614</v>
      </c>
      <c r="D308" s="225">
        <f t="shared" ref="D308:E308" si="99">E56-D56</f>
        <v>28.562000013209058</v>
      </c>
      <c r="E308" s="225">
        <f t="shared" si="99"/>
        <v>30.442000003001453</v>
      </c>
      <c r="F308" s="225">
        <f t="shared" si="85"/>
        <v>59.004000016210512</v>
      </c>
    </row>
    <row r="309" spans="1:6">
      <c r="A309" t="str">
        <f>$A$57</f>
        <v>Architectural and related</v>
      </c>
      <c r="B309" s="225">
        <f t="shared" si="88"/>
        <v>68.2849999997797</v>
      </c>
      <c r="C309" s="225">
        <f t="shared" si="88"/>
        <v>9.1190000031169802</v>
      </c>
      <c r="D309" s="225">
        <f t="shared" ref="D309:E309" si="100">E57-D57</f>
        <v>-8.802999990307967</v>
      </c>
      <c r="E309" s="225">
        <f t="shared" si="100"/>
        <v>21.278000000221141</v>
      </c>
      <c r="F309" s="225">
        <f t="shared" si="85"/>
        <v>12.475000009913174</v>
      </c>
    </row>
    <row r="310" spans="1:6">
      <c r="A310" t="str">
        <f>$A$58</f>
        <v>Scientific research and development</v>
      </c>
      <c r="B310" s="225">
        <f t="shared" si="88"/>
        <v>21.109999999304819</v>
      </c>
      <c r="C310" s="225">
        <f t="shared" si="88"/>
        <v>-15.820999998243451</v>
      </c>
      <c r="D310" s="225">
        <f t="shared" ref="D310:E310" si="101">E58-D58</f>
        <v>16.863000000025551</v>
      </c>
      <c r="E310" s="225">
        <f t="shared" si="101"/>
        <v>21.735999999525234</v>
      </c>
      <c r="F310" s="225">
        <f t="shared" si="85"/>
        <v>38.598999999550784</v>
      </c>
    </row>
    <row r="311" spans="1:6">
      <c r="A311" t="str">
        <f>$A$59</f>
        <v>Advertising, etc</v>
      </c>
      <c r="B311" s="225">
        <f t="shared" si="88"/>
        <v>-19.43400000041342</v>
      </c>
      <c r="C311" s="225">
        <f t="shared" si="88"/>
        <v>-15.612999996512571</v>
      </c>
      <c r="D311" s="225">
        <f t="shared" ref="D311:E311" si="102">E59-D59</f>
        <v>27.163000004913243</v>
      </c>
      <c r="E311" s="225">
        <f t="shared" si="102"/>
        <v>28.200000001344137</v>
      </c>
      <c r="F311" s="225">
        <f t="shared" si="85"/>
        <v>55.36300000625738</v>
      </c>
    </row>
    <row r="312" spans="1:6">
      <c r="A312" t="str">
        <f>$A$60</f>
        <v>Other professional</v>
      </c>
      <c r="B312" s="225">
        <f t="shared" si="88"/>
        <v>41.195999999303183</v>
      </c>
      <c r="C312" s="225">
        <f t="shared" si="88"/>
        <v>-15.205999998960436</v>
      </c>
      <c r="D312" s="225">
        <f t="shared" ref="D312:E312" si="103">E60-D60</f>
        <v>26.938000004600809</v>
      </c>
      <c r="E312" s="225">
        <f t="shared" si="103"/>
        <v>31.529000000512781</v>
      </c>
      <c r="F312" s="225">
        <f t="shared" si="85"/>
        <v>58.46700000511359</v>
      </c>
    </row>
    <row r="313" spans="1:6">
      <c r="A313" t="str">
        <f>$A$61</f>
        <v>Veterinary</v>
      </c>
      <c r="B313" s="225">
        <f t="shared" si="88"/>
        <v>37.009999999062785</v>
      </c>
      <c r="C313" s="225">
        <f t="shared" si="88"/>
        <v>-6.4929999967807248</v>
      </c>
      <c r="D313" s="225">
        <f t="shared" ref="D313:E313" si="104">E61-D61</f>
        <v>12.776999998336223</v>
      </c>
      <c r="E313" s="225">
        <f t="shared" si="104"/>
        <v>17.087999999887629</v>
      </c>
      <c r="F313" s="225">
        <f t="shared" si="85"/>
        <v>29.864999998223851</v>
      </c>
    </row>
    <row r="314" spans="1:6">
      <c r="A314" t="str">
        <f>$A$62</f>
        <v>Rental and leasing</v>
      </c>
      <c r="B314" s="225">
        <f t="shared" si="88"/>
        <v>-2.8630000002151519</v>
      </c>
      <c r="C314" s="225">
        <f t="shared" si="88"/>
        <v>-7.8510000000315756</v>
      </c>
      <c r="D314" s="225">
        <f t="shared" ref="D314:E314" si="105">E62-D62</f>
        <v>8.2950000010668816</v>
      </c>
      <c r="E314" s="225">
        <f t="shared" si="105"/>
        <v>10.544000000027324</v>
      </c>
      <c r="F314" s="225">
        <f t="shared" si="85"/>
        <v>18.839000001094206</v>
      </c>
    </row>
    <row r="315" spans="1:6">
      <c r="A315" t="str">
        <f>$A$63</f>
        <v>Employment activities</v>
      </c>
      <c r="B315" s="225">
        <f t="shared" si="88"/>
        <v>13.535999998537022</v>
      </c>
      <c r="C315" s="225">
        <f t="shared" si="88"/>
        <v>-55.858000004565611</v>
      </c>
      <c r="D315" s="225">
        <f t="shared" ref="D315:E315" si="106">E63-D63</f>
        <v>53.414000005629987</v>
      </c>
      <c r="E315" s="225">
        <f t="shared" si="106"/>
        <v>65.651000000229942</v>
      </c>
      <c r="F315" s="225">
        <f t="shared" si="85"/>
        <v>119.06500000585993</v>
      </c>
    </row>
    <row r="316" spans="1:6">
      <c r="A316" t="str">
        <f>$A$64</f>
        <v>Travel, etc</v>
      </c>
      <c r="B316" s="225">
        <f t="shared" si="88"/>
        <v>5.8449999998490938</v>
      </c>
      <c r="C316" s="225">
        <f t="shared" si="88"/>
        <v>-5.6690000011063688</v>
      </c>
      <c r="D316" s="225">
        <f t="shared" ref="D316:E316" si="107">E64-D64</f>
        <v>4.8630000011609695</v>
      </c>
      <c r="E316" s="225">
        <f t="shared" si="107"/>
        <v>6.448000000015341</v>
      </c>
      <c r="F316" s="225">
        <f t="shared" si="85"/>
        <v>11.311000001176311</v>
      </c>
    </row>
    <row r="317" spans="1:6">
      <c r="A317" t="str">
        <f>$A$65</f>
        <v>Security, etc</v>
      </c>
      <c r="B317" s="225">
        <f t="shared" si="88"/>
        <v>19.831999999560054</v>
      </c>
      <c r="C317" s="225">
        <f t="shared" si="88"/>
        <v>-10.471000000662912</v>
      </c>
      <c r="D317" s="225">
        <f t="shared" ref="D317:E317" si="108">E65-D65</f>
        <v>10.954000001049394</v>
      </c>
      <c r="E317" s="225">
        <f t="shared" si="108"/>
        <v>13.81699999984798</v>
      </c>
      <c r="F317" s="225">
        <f t="shared" si="85"/>
        <v>24.771000000897374</v>
      </c>
    </row>
    <row r="318" spans="1:6">
      <c r="A318" t="str">
        <f>$A$66</f>
        <v>Services to buildings</v>
      </c>
      <c r="B318" s="225">
        <f t="shared" si="88"/>
        <v>31.359999999054708</v>
      </c>
      <c r="C318" s="225">
        <f t="shared" si="88"/>
        <v>-47.311000004815696</v>
      </c>
      <c r="D318" s="225">
        <f t="shared" ref="D318:E318" si="109">E66-D66</f>
        <v>41.236000004319408</v>
      </c>
      <c r="E318" s="225">
        <f t="shared" si="109"/>
        <v>49.869000000721485</v>
      </c>
      <c r="F318" s="225">
        <f t="shared" si="85"/>
        <v>91.105000005040893</v>
      </c>
    </row>
    <row r="319" spans="1:6">
      <c r="A319" t="str">
        <f>$A$67</f>
        <v>Office administrative</v>
      </c>
      <c r="B319" s="225">
        <f t="shared" si="88"/>
        <v>71.348999999647788</v>
      </c>
      <c r="C319" s="225">
        <f t="shared" si="88"/>
        <v>-28.945000002639574</v>
      </c>
      <c r="D319" s="225">
        <f t="shared" ref="D319:E319" si="110">E67-D67</f>
        <v>28.401000002438138</v>
      </c>
      <c r="E319" s="225">
        <f t="shared" si="110"/>
        <v>35.729999999800953</v>
      </c>
      <c r="F319" s="225">
        <f t="shared" si="85"/>
        <v>64.131000002239091</v>
      </c>
    </row>
    <row r="320" spans="1:6">
      <c r="A320" t="str">
        <f>$A$68</f>
        <v>Public administration and defence</v>
      </c>
      <c r="B320" s="225">
        <f t="shared" si="88"/>
        <v>13.002000002137947</v>
      </c>
      <c r="C320" s="225">
        <f t="shared" si="88"/>
        <v>42.72200000256521</v>
      </c>
      <c r="D320" s="225">
        <f t="shared" ref="D320:E320" si="111">E68-D68</f>
        <v>29.140000004901822</v>
      </c>
      <c r="E320" s="225">
        <f t="shared" si="111"/>
        <v>22.47500000193736</v>
      </c>
      <c r="F320" s="225">
        <f t="shared" si="85"/>
        <v>51.615000006839182</v>
      </c>
    </row>
    <row r="321" spans="1:6">
      <c r="A321" t="str">
        <f>$A$69</f>
        <v xml:space="preserve">Education </v>
      </c>
      <c r="B321" s="225">
        <f t="shared" si="88"/>
        <v>-3.5169999957342952</v>
      </c>
      <c r="C321" s="225">
        <f t="shared" si="88"/>
        <v>7.9810000264615155</v>
      </c>
      <c r="D321" s="225">
        <f t="shared" ref="D321:E321" si="112">E69-D69</f>
        <v>11.543999829412314</v>
      </c>
      <c r="E321" s="225">
        <f t="shared" si="112"/>
        <v>89.908999998544459</v>
      </c>
      <c r="F321" s="225">
        <f t="shared" si="85"/>
        <v>101.45299982795677</v>
      </c>
    </row>
    <row r="322" spans="1:6">
      <c r="A322" t="str">
        <f>$A$70</f>
        <v>Health</v>
      </c>
      <c r="B322" s="225">
        <f t="shared" si="88"/>
        <v>192.28700000417575</v>
      </c>
      <c r="C322" s="225">
        <f t="shared" si="88"/>
        <v>64.580000017622297</v>
      </c>
      <c r="D322" s="225">
        <f t="shared" ref="D322:E322" si="113">E70-D70</f>
        <v>140.50599997944028</v>
      </c>
      <c r="E322" s="225">
        <f t="shared" si="113"/>
        <v>152.73299998404264</v>
      </c>
      <c r="F322" s="225">
        <f t="shared" ref="F322:F333" si="114">F70-D70</f>
        <v>293.23899996348291</v>
      </c>
    </row>
    <row r="323" spans="1:6">
      <c r="A323" t="str">
        <f>$A$71</f>
        <v>Residential care</v>
      </c>
      <c r="B323" s="225">
        <f t="shared" ref="B323:C323" si="115">C71-B71</f>
        <v>0.31200000195701705</v>
      </c>
      <c r="C323" s="225">
        <f t="shared" si="115"/>
        <v>-36.810999992813549</v>
      </c>
      <c r="D323" s="225">
        <f t="shared" ref="D323:D331" si="116">E71-D71</f>
        <v>46.247999992537984</v>
      </c>
      <c r="E323" s="225">
        <f t="shared" ref="E323:E331" si="117">F71-E71</f>
        <v>53.972999996197814</v>
      </c>
      <c r="F323" s="225">
        <f t="shared" si="114"/>
        <v>100.2209999887358</v>
      </c>
    </row>
    <row r="324" spans="1:6">
      <c r="A324" t="str">
        <f>$A$72</f>
        <v>Social work</v>
      </c>
      <c r="B324" s="225">
        <f t="shared" ref="B324:C324" si="118">C72-B72</f>
        <v>4.612000002600098</v>
      </c>
      <c r="C324" s="225">
        <f t="shared" si="118"/>
        <v>-48.197999990896278</v>
      </c>
      <c r="D324" s="225">
        <f t="shared" si="116"/>
        <v>48.417999989989539</v>
      </c>
      <c r="E324" s="225">
        <f t="shared" si="117"/>
        <v>50.1139999953499</v>
      </c>
      <c r="F324" s="225">
        <f t="shared" si="114"/>
        <v>98.531999985339439</v>
      </c>
    </row>
    <row r="325" spans="1:6">
      <c r="A325" t="str">
        <f>$A$73</f>
        <v>Arts and entertainment</v>
      </c>
      <c r="B325" s="225">
        <f t="shared" ref="B325:C325" si="119">C73-B73</f>
        <v>21.900999998691987</v>
      </c>
      <c r="C325" s="225">
        <f t="shared" si="119"/>
        <v>11.056000000712316</v>
      </c>
      <c r="D325" s="225">
        <f t="shared" si="116"/>
        <v>-8.9489999966081655</v>
      </c>
      <c r="E325" s="225">
        <f t="shared" si="117"/>
        <v>7.7799999996540237</v>
      </c>
      <c r="F325" s="225">
        <f t="shared" si="114"/>
        <v>-1.1689999969541418</v>
      </c>
    </row>
    <row r="326" spans="1:6">
      <c r="A326" t="str">
        <f>$A$74</f>
        <v>Libraries, etc</v>
      </c>
      <c r="B326" s="225">
        <f t="shared" ref="B326:C326" si="120">C74-B74</f>
        <v>-7.5200000010335657</v>
      </c>
      <c r="C326" s="225">
        <f t="shared" si="120"/>
        <v>13.514999999831758</v>
      </c>
      <c r="D326" s="225">
        <f t="shared" si="116"/>
        <v>-10.180999996985463</v>
      </c>
      <c r="E326" s="225">
        <f t="shared" si="117"/>
        <v>8.2809999999347497</v>
      </c>
      <c r="F326" s="225">
        <f t="shared" si="114"/>
        <v>-1.8999999970507133</v>
      </c>
    </row>
    <row r="327" spans="1:6">
      <c r="A327" t="str">
        <f>$A$75</f>
        <v>Gambling and betting</v>
      </c>
      <c r="B327" s="225">
        <f t="shared" ref="B327:C327" si="121">C75-B75</f>
        <v>-7.8250000000865185</v>
      </c>
      <c r="C327" s="225">
        <f t="shared" si="121"/>
        <v>-3.6369999999210592</v>
      </c>
      <c r="D327" s="225">
        <f t="shared" si="116"/>
        <v>6.6830000008617958</v>
      </c>
      <c r="E327" s="225">
        <f t="shared" si="117"/>
        <v>9.6680000002074564</v>
      </c>
      <c r="F327" s="225">
        <f t="shared" si="114"/>
        <v>16.351000001069252</v>
      </c>
    </row>
    <row r="328" spans="1:6">
      <c r="A328" t="str">
        <f>$A$76</f>
        <v>Sport and recreation</v>
      </c>
      <c r="B328" s="225">
        <f t="shared" ref="B328:C328" si="122">C76-B76</f>
        <v>20.468999998759557</v>
      </c>
      <c r="C328" s="225">
        <f t="shared" si="122"/>
        <v>-18.90799999962934</v>
      </c>
      <c r="D328" s="225">
        <f t="shared" si="116"/>
        <v>33.318000004962585</v>
      </c>
      <c r="E328" s="225">
        <f t="shared" si="117"/>
        <v>46.23700000154281</v>
      </c>
      <c r="F328" s="225">
        <f t="shared" si="114"/>
        <v>79.555000006505395</v>
      </c>
    </row>
    <row r="329" spans="1:6">
      <c r="A329" t="str">
        <f>$A$77</f>
        <v>Membership organisations</v>
      </c>
      <c r="B329" s="225">
        <f t="shared" ref="B329:C329" si="123">C77-B77</f>
        <v>-2.9139999997132122</v>
      </c>
      <c r="C329" s="225">
        <f t="shared" si="123"/>
        <v>-19.296999999433524</v>
      </c>
      <c r="D329" s="225">
        <f t="shared" si="116"/>
        <v>-1.8049999962133825</v>
      </c>
      <c r="E329" s="225">
        <f t="shared" si="117"/>
        <v>1.7850000015380374</v>
      </c>
      <c r="F329" s="225">
        <f t="shared" si="114"/>
        <v>-1.9999994675345079E-2</v>
      </c>
    </row>
    <row r="330" spans="1:6">
      <c r="A330" t="str">
        <f>$A$78</f>
        <v>Repair of goods</v>
      </c>
      <c r="B330" s="225">
        <f t="shared" ref="B330:C330" si="124">C78-B78</f>
        <v>3.0820000000565102</v>
      </c>
      <c r="C330" s="225">
        <f t="shared" si="124"/>
        <v>9.661999999614153</v>
      </c>
      <c r="D330" s="225">
        <f t="shared" si="116"/>
        <v>1.2380000010719812</v>
      </c>
      <c r="E330" s="225">
        <f t="shared" si="117"/>
        <v>2.546999999880228</v>
      </c>
      <c r="F330" s="225">
        <f t="shared" si="114"/>
        <v>3.7850000009522091</v>
      </c>
    </row>
    <row r="331" spans="1:6">
      <c r="A331" t="str">
        <f>$A$79</f>
        <v>Other personal service</v>
      </c>
      <c r="B331" s="225">
        <f>C79-B79</f>
        <v>28.524999999740032</v>
      </c>
      <c r="C331" s="225">
        <f t="shared" ref="C331" si="125">D79-C79</f>
        <v>1.823999994855285</v>
      </c>
      <c r="D331" s="225">
        <f t="shared" si="116"/>
        <v>-6.2939999944349552</v>
      </c>
      <c r="E331" s="225">
        <f t="shared" si="117"/>
        <v>2.3049999995305939</v>
      </c>
      <c r="F331" s="225">
        <f t="shared" si="114"/>
        <v>-3.9889999949043613</v>
      </c>
    </row>
    <row r="332" spans="1:6">
      <c r="B332" s="225"/>
      <c r="C332" s="225"/>
      <c r="D332" s="225"/>
      <c r="E332" s="225"/>
      <c r="F332" s="225"/>
    </row>
    <row r="333" spans="1:6">
      <c r="A333" s="21" t="str">
        <f>$A$81</f>
        <v>All industries</v>
      </c>
      <c r="B333" s="337">
        <f t="shared" ref="B333" si="126">C81-B81</f>
        <v>1556.5879999960998</v>
      </c>
      <c r="C333" s="337">
        <f t="shared" ref="C333" si="127">D81-C81</f>
        <v>-353.07899999867732</v>
      </c>
      <c r="D333" s="337">
        <f>E81-D81</f>
        <v>895.06700001552235</v>
      </c>
      <c r="E333" s="337">
        <f>F81-E81</f>
        <v>1315.3430000018234</v>
      </c>
      <c r="F333" s="337">
        <f t="shared" si="114"/>
        <v>2210.4100000173457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6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6">
      <c r="A1" s="17" t="str">
        <f>CONCATENATE("Industry Table 4  Employment by Industry Group in Sector (SIC 2007), ",B$5,"-",F$5,", ",Info!B5)</f>
        <v>Industry Table 4  Employment by Industry Group in Sector (SIC 2007), 2015-2035, England</v>
      </c>
    </row>
    <row r="2" spans="1:12" ht="12.75" customHeight="1">
      <c r="A2" s="158" t="s">
        <v>129</v>
      </c>
    </row>
    <row r="3" spans="1:12" ht="12.75" customHeight="1">
      <c r="A3" s="17"/>
      <c r="L3" s="63" t="s">
        <v>130</v>
      </c>
    </row>
    <row r="4" spans="1:12" ht="12.95">
      <c r="A4" s="28"/>
      <c r="B4" s="23" t="s">
        <v>131</v>
      </c>
      <c r="C4" s="28"/>
      <c r="D4" s="28"/>
      <c r="E4" s="28"/>
      <c r="F4" s="28"/>
      <c r="G4" s="28"/>
      <c r="H4" s="23" t="s">
        <v>120</v>
      </c>
      <c r="I4" s="28"/>
      <c r="J4" s="28"/>
      <c r="K4" s="28"/>
      <c r="L4" s="28"/>
    </row>
    <row r="5" spans="1:12" ht="12.95">
      <c r="A5" s="21"/>
      <c r="B5" s="32">
        <f>'Ind T1'!B5</f>
        <v>2015</v>
      </c>
      <c r="C5" s="32">
        <f>'Ind T1'!C5</f>
        <v>2019</v>
      </c>
      <c r="D5" s="32">
        <f>'Ind T1'!D5</f>
        <v>2020</v>
      </c>
      <c r="E5" s="32">
        <f>'Ind T1'!E5</f>
        <v>2025</v>
      </c>
      <c r="F5" s="32">
        <f>'Ind T1'!F5</f>
        <v>2035</v>
      </c>
      <c r="H5" s="29" t="str">
        <f>CONCATENATE(B$5,"-",C$5)</f>
        <v>2015-2019</v>
      </c>
      <c r="I5" s="29" t="str">
        <f>CONCATENATE(C$5,"-",D$5)</f>
        <v>2019-2020</v>
      </c>
      <c r="J5" s="29" t="str">
        <f>CONCATENATE(D$5,"-",E$5)</f>
        <v>2020-2025</v>
      </c>
      <c r="K5" s="29" t="str">
        <f>CONCATENATE(E$5,"-",F$5)</f>
        <v>2025-2035</v>
      </c>
      <c r="L5" s="29" t="str">
        <f>CONCATENATE(D$5,"-",F$5)</f>
        <v>2020-2035</v>
      </c>
    </row>
    <row r="7" spans="1:12" s="24" customFormat="1" ht="12.95">
      <c r="A7" s="24" t="str">
        <f>'Ind T1'!A7</f>
        <v>Primary sector and utilities</v>
      </c>
      <c r="B7" s="25">
        <f>'Ind T1'!B7</f>
        <v>555.1960000004118</v>
      </c>
      <c r="C7" s="25">
        <f>'Ind T1'!C7</f>
        <v>598.95700000140334</v>
      </c>
      <c r="D7" s="25">
        <f>'Ind T1'!D7</f>
        <v>554.5439999979626</v>
      </c>
      <c r="E7" s="25">
        <f>'Ind T1'!E7</f>
        <v>561.28600000016547</v>
      </c>
      <c r="F7" s="25">
        <f>'Ind T1'!F7</f>
        <v>571.78500000015674</v>
      </c>
      <c r="H7" s="25">
        <f>C7-B7</f>
        <v>43.761000000991544</v>
      </c>
      <c r="I7" s="25">
        <f>D7-C7</f>
        <v>-44.413000003440743</v>
      </c>
      <c r="J7" s="25">
        <f>E7-D7</f>
        <v>6.7420000022028717</v>
      </c>
      <c r="K7" s="25">
        <f>F7-E7</f>
        <v>10.49899999999127</v>
      </c>
      <c r="L7" s="25">
        <f>F7-D7</f>
        <v>17.241000002194141</v>
      </c>
    </row>
    <row r="8" spans="1:12" ht="12.95">
      <c r="A8" t="str">
        <f>'Ind T2'!A5</f>
        <v>Agriculture</v>
      </c>
      <c r="B8" s="338">
        <f>'Ind T2'!B5</f>
        <v>262.66400000087748</v>
      </c>
      <c r="C8" s="338">
        <f>'Ind T2'!C5</f>
        <v>270.40100000186811</v>
      </c>
      <c r="D8" s="338">
        <f>'Ind T2'!D5</f>
        <v>239.69399999867431</v>
      </c>
      <c r="E8" s="338">
        <f>'Ind T2'!E5</f>
        <v>246.89799999842333</v>
      </c>
      <c r="F8" s="338">
        <f>'Ind T2'!F5</f>
        <v>249.14899999814918</v>
      </c>
      <c r="H8" s="11">
        <f t="shared" ref="H8:H40" si="0">C8-B8</f>
        <v>7.7370000009906335</v>
      </c>
      <c r="I8" s="25">
        <f t="shared" ref="I8:I38" si="1">D8-C8</f>
        <v>-30.707000003193798</v>
      </c>
      <c r="J8" s="11">
        <f t="shared" ref="J8:J38" si="2">E8-D8</f>
        <v>7.2039999997490156</v>
      </c>
      <c r="K8" s="11">
        <f t="shared" ref="K8:K38" si="3">F8-E8</f>
        <v>2.250999999725849</v>
      </c>
      <c r="L8" s="25">
        <f t="shared" ref="L8:L40" si="4">F8-D8</f>
        <v>9.4549999994748646</v>
      </c>
    </row>
    <row r="9" spans="1:12" ht="12.95">
      <c r="A9" t="str">
        <f>'Ind T2'!A6</f>
        <v>Mining and quarrying</v>
      </c>
      <c r="B9" s="338">
        <f>'Ind T2'!B6</f>
        <v>30.394999999857788</v>
      </c>
      <c r="C9" s="338">
        <f>'Ind T2'!C6</f>
        <v>23.97399999997727</v>
      </c>
      <c r="D9" s="338">
        <f>'Ind T2'!D6</f>
        <v>24.505999999997162</v>
      </c>
      <c r="E9" s="338">
        <f>'Ind T2'!E6</f>
        <v>19.748000000056614</v>
      </c>
      <c r="F9" s="338">
        <f>'Ind T2'!F6</f>
        <v>14.698000000068012</v>
      </c>
      <c r="H9" s="11">
        <f t="shared" si="0"/>
        <v>-6.4209999998805181</v>
      </c>
      <c r="I9" s="25">
        <f t="shared" si="1"/>
        <v>0.53200000001989167</v>
      </c>
      <c r="J9" s="11">
        <f t="shared" si="2"/>
        <v>-4.757999999940548</v>
      </c>
      <c r="K9" s="11">
        <f t="shared" si="3"/>
        <v>-5.0499999999886018</v>
      </c>
      <c r="L9" s="25">
        <f t="shared" si="4"/>
        <v>-9.8079999999291498</v>
      </c>
    </row>
    <row r="10" spans="1:12" ht="12.95">
      <c r="A10" t="str">
        <f>'Ind T2'!A10</f>
        <v>Electricity and gas</v>
      </c>
      <c r="B10" s="338">
        <f>'Ind T2'!B10</f>
        <v>98.785999999564481</v>
      </c>
      <c r="C10" s="338">
        <f>'Ind T2'!C10</f>
        <v>119.00299999947048</v>
      </c>
      <c r="D10" s="338">
        <f>'Ind T2'!D10</f>
        <v>118.73099999947034</v>
      </c>
      <c r="E10" s="338">
        <f>'Ind T2'!E10</f>
        <v>114.24900000075205</v>
      </c>
      <c r="F10" s="338">
        <f>'Ind T2'!F10</f>
        <v>113.49400000051151</v>
      </c>
      <c r="H10" s="11">
        <f t="shared" si="0"/>
        <v>20.216999999905994</v>
      </c>
      <c r="I10" s="25">
        <f t="shared" si="1"/>
        <v>-0.27200000000013347</v>
      </c>
      <c r="J10" s="11">
        <f t="shared" si="2"/>
        <v>-4.4819999987182939</v>
      </c>
      <c r="K10" s="11">
        <f t="shared" si="3"/>
        <v>-0.75500000024054259</v>
      </c>
      <c r="L10" s="25">
        <f t="shared" si="4"/>
        <v>-5.2369999989588365</v>
      </c>
    </row>
    <row r="11" spans="1:12" ht="12.95">
      <c r="A11" t="str">
        <f>'Ind T2'!A11</f>
        <v>Water and sewerage</v>
      </c>
      <c r="B11" s="338">
        <f>'Ind T2'!B11</f>
        <v>163.35100000011209</v>
      </c>
      <c r="C11" s="338">
        <f>'Ind T2'!C11</f>
        <v>185.5790000000874</v>
      </c>
      <c r="D11" s="338">
        <f>'Ind T2'!D11</f>
        <v>171.61299999982072</v>
      </c>
      <c r="E11" s="338">
        <f>'Ind T2'!E11</f>
        <v>180.39100000093339</v>
      </c>
      <c r="F11" s="338">
        <f>'Ind T2'!F11</f>
        <v>194.44400000142807</v>
      </c>
      <c r="H11" s="11">
        <f t="shared" ref="H11" si="5">C11-B11</f>
        <v>22.22799999997531</v>
      </c>
      <c r="I11" s="25">
        <f t="shared" ref="I11" si="6">D11-C11</f>
        <v>-13.966000000266689</v>
      </c>
      <c r="J11" s="11">
        <f t="shared" ref="J11" si="7">E11-D11</f>
        <v>8.7780000011126731</v>
      </c>
      <c r="K11" s="11">
        <f t="shared" ref="K11" si="8">F11-E11</f>
        <v>14.053000000494677</v>
      </c>
      <c r="L11" s="25">
        <f t="shared" si="4"/>
        <v>22.83100000160735</v>
      </c>
    </row>
    <row r="12" spans="1:12" ht="12.95">
      <c r="B12" s="338"/>
      <c r="C12" s="338"/>
      <c r="D12" s="338"/>
      <c r="E12" s="338"/>
      <c r="F12" s="338"/>
      <c r="H12" s="11"/>
      <c r="I12" s="25"/>
      <c r="J12" s="11"/>
      <c r="K12" s="11"/>
      <c r="L12" s="25"/>
    </row>
    <row r="13" spans="1:12" s="24" customFormat="1" ht="12.95">
      <c r="A13" s="24" t="str">
        <f>'Ind T1'!A8</f>
        <v>Manufacturing</v>
      </c>
      <c r="B13" s="25">
        <f>'Ind T1'!B8</f>
        <v>2197.6419999990994</v>
      </c>
      <c r="C13" s="25">
        <f>'Ind T1'!C8</f>
        <v>2254.4499999968243</v>
      </c>
      <c r="D13" s="25">
        <f>'Ind T1'!D8</f>
        <v>2208.4099999961977</v>
      </c>
      <c r="E13" s="25">
        <f>'Ind T1'!E8</f>
        <v>2130.7230000112386</v>
      </c>
      <c r="F13" s="25">
        <f>'Ind T1'!F8</f>
        <v>1959.1610000136038</v>
      </c>
      <c r="H13" s="25">
        <f t="shared" si="0"/>
        <v>56.807999997724892</v>
      </c>
      <c r="I13" s="25">
        <f t="shared" si="1"/>
        <v>-46.040000000626605</v>
      </c>
      <c r="J13" s="25">
        <f t="shared" si="2"/>
        <v>-77.68699998495913</v>
      </c>
      <c r="K13" s="25">
        <f t="shared" si="3"/>
        <v>-171.56199999763476</v>
      </c>
      <c r="L13" s="25">
        <f t="shared" si="4"/>
        <v>-249.24899998259389</v>
      </c>
    </row>
    <row r="14" spans="1:12" ht="12.95">
      <c r="A14" t="str">
        <f>'Ind T2'!A7</f>
        <v>Food drink and tobacco</v>
      </c>
      <c r="B14" s="338">
        <f>'Ind T2'!B7</f>
        <v>338.92800000130177</v>
      </c>
      <c r="C14" s="338">
        <f>'Ind T2'!C7</f>
        <v>366.44100000040521</v>
      </c>
      <c r="D14" s="338">
        <f>'Ind T2'!D7</f>
        <v>367.30900000022467</v>
      </c>
      <c r="E14" s="338">
        <f>'Ind T2'!E7</f>
        <v>371.81200000401651</v>
      </c>
      <c r="F14" s="338">
        <f>'Ind T2'!F7</f>
        <v>362.09300000434644</v>
      </c>
      <c r="H14" s="11">
        <f t="shared" si="0"/>
        <v>27.512999999103442</v>
      </c>
      <c r="I14" s="25">
        <f t="shared" si="1"/>
        <v>0.8679999998194603</v>
      </c>
      <c r="J14" s="11">
        <f t="shared" si="2"/>
        <v>4.5030000037918398</v>
      </c>
      <c r="K14" s="11">
        <f t="shared" si="3"/>
        <v>-9.7189999996700749</v>
      </c>
      <c r="L14" s="25">
        <f t="shared" si="4"/>
        <v>-5.215999995878235</v>
      </c>
    </row>
    <row r="15" spans="1:12" ht="12.95">
      <c r="A15" t="str">
        <f>'Ind T2'!A8</f>
        <v>Engineering</v>
      </c>
      <c r="B15" s="338">
        <f>'Ind T2'!B8</f>
        <v>331.1549999989839</v>
      </c>
      <c r="C15" s="338">
        <f>'Ind T2'!C8</f>
        <v>338.70199999916076</v>
      </c>
      <c r="D15" s="338">
        <f>'Ind T2'!D8</f>
        <v>322.65599999907658</v>
      </c>
      <c r="E15" s="338">
        <f>'Ind T2'!E8</f>
        <v>328.98500000137847</v>
      </c>
      <c r="F15" s="338">
        <f>'Ind T2'!F8</f>
        <v>290.17600000162179</v>
      </c>
      <c r="H15" s="11">
        <f t="shared" si="0"/>
        <v>7.5470000001768653</v>
      </c>
      <c r="I15" s="25">
        <f t="shared" si="1"/>
        <v>-16.046000000084177</v>
      </c>
      <c r="J15" s="11">
        <f t="shared" si="2"/>
        <v>6.329000002301882</v>
      </c>
      <c r="K15" s="11">
        <f t="shared" si="3"/>
        <v>-38.808999999756679</v>
      </c>
      <c r="L15" s="25">
        <f t="shared" si="4"/>
        <v>-32.479999997454797</v>
      </c>
    </row>
    <row r="16" spans="1:12" ht="12.95">
      <c r="A16" t="str">
        <f>'Ind T2'!A9</f>
        <v>Rest of manufacturing</v>
      </c>
      <c r="B16" s="338">
        <f>'Ind T2'!B9</f>
        <v>1527.5589999988133</v>
      </c>
      <c r="C16" s="338">
        <f>'Ind T2'!C9</f>
        <v>1549.3069999972588</v>
      </c>
      <c r="D16" s="338">
        <f>'Ind T2'!D9</f>
        <v>1518.4449999968965</v>
      </c>
      <c r="E16" s="338">
        <f>'Ind T2'!E9</f>
        <v>1429.9260000058432</v>
      </c>
      <c r="F16" s="338">
        <f>'Ind T2'!F9</f>
        <v>1306.8920000076355</v>
      </c>
      <c r="H16" s="11">
        <f t="shared" si="0"/>
        <v>21.747999998445493</v>
      </c>
      <c r="I16" s="25">
        <f t="shared" si="1"/>
        <v>-30.862000000362286</v>
      </c>
      <c r="J16" s="11">
        <f t="shared" si="2"/>
        <v>-88.518999991053306</v>
      </c>
      <c r="K16" s="11">
        <f t="shared" si="3"/>
        <v>-123.03399999820772</v>
      </c>
      <c r="L16" s="25">
        <f t="shared" si="4"/>
        <v>-211.55299998926102</v>
      </c>
    </row>
    <row r="17" spans="1:12" ht="12.95">
      <c r="B17" s="338"/>
      <c r="C17" s="338"/>
      <c r="D17" s="338"/>
      <c r="E17" s="338"/>
      <c r="F17" s="338"/>
      <c r="H17" s="11"/>
      <c r="I17" s="25">
        <f t="shared" si="1"/>
        <v>0</v>
      </c>
      <c r="J17" s="11"/>
      <c r="K17" s="11"/>
      <c r="L17" s="25"/>
    </row>
    <row r="18" spans="1:12" s="24" customFormat="1" ht="12.95">
      <c r="A18" s="24" t="str">
        <f>'Ind T1'!A9</f>
        <v>Construction</v>
      </c>
      <c r="B18" s="25">
        <f>'Ind T1'!B9</f>
        <v>1800.353999982347</v>
      </c>
      <c r="C18" s="25">
        <f>'Ind T1'!C9</f>
        <v>1996.7570000194817</v>
      </c>
      <c r="D18" s="25">
        <f>'Ind T1'!D9</f>
        <v>1999.7949999724015</v>
      </c>
      <c r="E18" s="25">
        <f>'Ind T1'!E9</f>
        <v>2097.9509999228385</v>
      </c>
      <c r="F18" s="25">
        <f>'Ind T1'!F9</f>
        <v>2251.9169999326928</v>
      </c>
      <c r="H18" s="25">
        <f t="shared" si="0"/>
        <v>196.40300003713469</v>
      </c>
      <c r="I18" s="25">
        <f t="shared" si="1"/>
        <v>3.0379999529197903</v>
      </c>
      <c r="J18" s="25">
        <f t="shared" si="2"/>
        <v>98.155999950437035</v>
      </c>
      <c r="K18" s="25">
        <f t="shared" si="3"/>
        <v>153.96600000985427</v>
      </c>
      <c r="L18" s="25">
        <f t="shared" si="4"/>
        <v>252.1219999602913</v>
      </c>
    </row>
    <row r="19" spans="1:12" ht="12.95">
      <c r="A19" s="24"/>
      <c r="B19" s="338"/>
      <c r="C19" s="338"/>
      <c r="D19" s="338"/>
      <c r="E19" s="338"/>
      <c r="F19" s="338"/>
      <c r="H19" s="11"/>
      <c r="I19" s="25"/>
      <c r="J19" s="11"/>
      <c r="K19" s="11"/>
      <c r="L19" s="25"/>
    </row>
    <row r="20" spans="1:12" s="24" customFormat="1" ht="12.95">
      <c r="A20" s="24" t="str">
        <f>'Ind T1'!A10</f>
        <v>Trade, accomod. and transport</v>
      </c>
      <c r="B20" s="25">
        <f>'Ind T1'!B10</f>
        <v>7525.0560001205195</v>
      </c>
      <c r="C20" s="25">
        <f>'Ind T1'!C10</f>
        <v>8007.910000077828</v>
      </c>
      <c r="D20" s="25">
        <f>'Ind T1'!D10</f>
        <v>7878.5050000438659</v>
      </c>
      <c r="E20" s="25">
        <f>'Ind T1'!E10</f>
        <v>8105.1010001723571</v>
      </c>
      <c r="F20" s="25">
        <f>'Ind T1'!F10</f>
        <v>8490.7950001689132</v>
      </c>
      <c r="H20" s="25">
        <f t="shared" si="0"/>
        <v>482.85399995730859</v>
      </c>
      <c r="I20" s="25">
        <f t="shared" si="1"/>
        <v>-129.4050000339621</v>
      </c>
      <c r="J20" s="25">
        <f t="shared" si="2"/>
        <v>226.59600012849114</v>
      </c>
      <c r="K20" s="25">
        <f t="shared" si="3"/>
        <v>385.69399999655616</v>
      </c>
      <c r="L20" s="25">
        <f t="shared" si="4"/>
        <v>612.2900001250473</v>
      </c>
    </row>
    <row r="21" spans="1:12" ht="12.95">
      <c r="A21" s="10" t="str">
        <f>'Ind T2'!A13</f>
        <v>Wholesale and retail trade</v>
      </c>
      <c r="B21" s="338">
        <f>'Ind T2'!B13</f>
        <v>4242.0110000769018</v>
      </c>
      <c r="C21" s="338">
        <f>'Ind T2'!C13</f>
        <v>4291.2060000558395</v>
      </c>
      <c r="D21" s="338">
        <f>'Ind T2'!D13</f>
        <v>4259.6270000323857</v>
      </c>
      <c r="E21" s="338">
        <f>'Ind T2'!E13</f>
        <v>4283.6300000959145</v>
      </c>
      <c r="F21" s="338">
        <f>'Ind T2'!F13</f>
        <v>4328.4680000838716</v>
      </c>
      <c r="H21" s="11">
        <f t="shared" si="0"/>
        <v>49.194999978937631</v>
      </c>
      <c r="I21" s="25">
        <f t="shared" si="1"/>
        <v>-31.579000023453773</v>
      </c>
      <c r="J21" s="11">
        <f t="shared" si="2"/>
        <v>24.003000063528816</v>
      </c>
      <c r="K21" s="11">
        <f t="shared" si="3"/>
        <v>44.837999987957119</v>
      </c>
      <c r="L21" s="25">
        <f t="shared" si="4"/>
        <v>68.841000051485935</v>
      </c>
    </row>
    <row r="22" spans="1:12" ht="12.95">
      <c r="A22" s="10" t="str">
        <f>'Ind T2'!A14</f>
        <v>Transport and storage</v>
      </c>
      <c r="B22" s="338">
        <f>'Ind T2'!B14</f>
        <v>1399.6460000121267</v>
      </c>
      <c r="C22" s="338">
        <f>'Ind T2'!C14</f>
        <v>1594.7559999919513</v>
      </c>
      <c r="D22" s="338">
        <f>'Ind T2'!D14</f>
        <v>1582.7790000029759</v>
      </c>
      <c r="E22" s="338">
        <f>'Ind T2'!E14</f>
        <v>1687.9900000310877</v>
      </c>
      <c r="F22" s="338">
        <f>'Ind T2'!F14</f>
        <v>1720.9670000344063</v>
      </c>
      <c r="H22" s="11">
        <f t="shared" si="0"/>
        <v>195.10999997982458</v>
      </c>
      <c r="I22" s="25">
        <f t="shared" si="1"/>
        <v>-11.976999988975422</v>
      </c>
      <c r="J22" s="11">
        <f t="shared" si="2"/>
        <v>105.21100002811181</v>
      </c>
      <c r="K22" s="11">
        <f t="shared" si="3"/>
        <v>32.977000003318608</v>
      </c>
      <c r="L22" s="25">
        <f t="shared" si="4"/>
        <v>138.18800003143042</v>
      </c>
    </row>
    <row r="23" spans="1:12" ht="12.95">
      <c r="A23" s="10" t="str">
        <f>'Ind T2'!A15</f>
        <v>Accommodation and food</v>
      </c>
      <c r="B23" s="338">
        <f>'Ind T2'!B15</f>
        <v>1883.3990000314907</v>
      </c>
      <c r="C23" s="338">
        <f>'Ind T2'!C15</f>
        <v>2121.9480000300364</v>
      </c>
      <c r="D23" s="338">
        <f>'Ind T2'!D15</f>
        <v>2036.0990000085042</v>
      </c>
      <c r="E23" s="338">
        <f>'Ind T2'!E15</f>
        <v>2133.4810000453544</v>
      </c>
      <c r="F23" s="338">
        <f>'Ind T2'!F15</f>
        <v>2441.3600000506367</v>
      </c>
      <c r="H23" s="11">
        <f t="shared" si="0"/>
        <v>238.5489999985457</v>
      </c>
      <c r="I23" s="25">
        <f t="shared" si="1"/>
        <v>-85.84900002153222</v>
      </c>
      <c r="J23" s="11">
        <f t="shared" si="2"/>
        <v>97.382000036850286</v>
      </c>
      <c r="K23" s="11">
        <f t="shared" si="3"/>
        <v>307.87900000528225</v>
      </c>
      <c r="L23" s="25">
        <f t="shared" si="4"/>
        <v>405.26100004213254</v>
      </c>
    </row>
    <row r="24" spans="1:12" ht="12.95">
      <c r="B24" s="338"/>
      <c r="C24" s="338"/>
      <c r="D24" s="338"/>
      <c r="E24" s="338"/>
      <c r="F24" s="338"/>
      <c r="H24" s="11"/>
      <c r="I24" s="25"/>
      <c r="J24" s="11"/>
      <c r="K24" s="11"/>
      <c r="L24" s="25"/>
    </row>
    <row r="25" spans="1:12" s="24" customFormat="1" ht="12.95">
      <c r="A25" s="24" t="str">
        <f>'Ind T1'!A11</f>
        <v>Business and other services</v>
      </c>
      <c r="B25" s="25">
        <f>'Ind T1'!B11</f>
        <v>9528.638999968709</v>
      </c>
      <c r="C25" s="25">
        <f>'Ind T1'!C11</f>
        <v>10098.704999956526</v>
      </c>
      <c r="D25" s="25">
        <f>'Ind T1'!D11</f>
        <v>9932.1719999800243</v>
      </c>
      <c r="E25" s="25">
        <f>'Ind T1'!E11</f>
        <v>10297.576000103092</v>
      </c>
      <c r="F25" s="25">
        <f>'Ind T1'!F11</f>
        <v>10865.118000120061</v>
      </c>
      <c r="H25" s="25">
        <f t="shared" si="0"/>
        <v>570.06599998781712</v>
      </c>
      <c r="I25" s="25">
        <f t="shared" si="1"/>
        <v>-166.53299997650174</v>
      </c>
      <c r="J25" s="25">
        <f t="shared" si="2"/>
        <v>365.40400012306782</v>
      </c>
      <c r="K25" s="25">
        <f t="shared" si="3"/>
        <v>567.54200001696881</v>
      </c>
      <c r="L25" s="25">
        <f t="shared" si="4"/>
        <v>932.94600014003663</v>
      </c>
    </row>
    <row r="26" spans="1:12" ht="12.95">
      <c r="A26" s="10" t="str">
        <f>'Ind T2'!A16</f>
        <v>Media</v>
      </c>
      <c r="B26" s="11">
        <f>'Ind T2'!B16</f>
        <v>339.44299999972964</v>
      </c>
      <c r="C26" s="11">
        <f>'Ind T2'!C16</f>
        <v>345.15599999886933</v>
      </c>
      <c r="D26" s="11">
        <f>'Ind T2'!D16</f>
        <v>348.37000000083754</v>
      </c>
      <c r="E26" s="11">
        <f>'Ind T2'!E16</f>
        <v>352.73400000566448</v>
      </c>
      <c r="F26" s="11">
        <f>'Ind T2'!F16</f>
        <v>356.61500000597562</v>
      </c>
      <c r="H26" s="11">
        <f t="shared" si="0"/>
        <v>5.7129999991396971</v>
      </c>
      <c r="I26" s="25">
        <f t="shared" si="1"/>
        <v>3.214000001968202</v>
      </c>
      <c r="J26" s="11">
        <f t="shared" si="2"/>
        <v>4.3640000048269485</v>
      </c>
      <c r="K26" s="11">
        <f t="shared" si="3"/>
        <v>3.8810000003111327</v>
      </c>
      <c r="L26" s="25">
        <f t="shared" si="4"/>
        <v>8.2450000051380812</v>
      </c>
    </row>
    <row r="27" spans="1:12" ht="12.95">
      <c r="A27" s="10" t="str">
        <f>'Ind T2'!A17</f>
        <v>Information technology</v>
      </c>
      <c r="B27" s="11">
        <f>'Ind T2'!B17</f>
        <v>935.88699998858363</v>
      </c>
      <c r="C27" s="11">
        <f>'Ind T2'!C17</f>
        <v>995.06599998853699</v>
      </c>
      <c r="D27" s="11">
        <f>'Ind T2'!D17</f>
        <v>1001.099999995374</v>
      </c>
      <c r="E27" s="11">
        <f>'Ind T2'!E17</f>
        <v>1075.7490000069686</v>
      </c>
      <c r="F27" s="11">
        <f>'Ind T2'!F17</f>
        <v>1161.9130000073874</v>
      </c>
      <c r="H27" s="11">
        <f t="shared" si="0"/>
        <v>59.178999999953362</v>
      </c>
      <c r="I27" s="25">
        <f t="shared" si="1"/>
        <v>6.0340000068370045</v>
      </c>
      <c r="J27" s="11">
        <f t="shared" si="2"/>
        <v>74.64900001159458</v>
      </c>
      <c r="K27" s="11">
        <f t="shared" si="3"/>
        <v>86.16400000041881</v>
      </c>
      <c r="L27" s="25">
        <f t="shared" si="4"/>
        <v>160.81300001201339</v>
      </c>
    </row>
    <row r="28" spans="1:12" ht="12.95">
      <c r="A28" s="10" t="str">
        <f>'Ind T2'!A18</f>
        <v>Finance and insurance</v>
      </c>
      <c r="B28" s="11">
        <f>'Ind T2'!B18</f>
        <v>974.2699999908973</v>
      </c>
      <c r="C28" s="11">
        <f>'Ind T2'!C18</f>
        <v>998.31399998994902</v>
      </c>
      <c r="D28" s="11">
        <f>'Ind T2'!D18</f>
        <v>1005.1659999970659</v>
      </c>
      <c r="E28" s="11">
        <f>'Ind T2'!E18</f>
        <v>1006.8290000139853</v>
      </c>
      <c r="F28" s="11">
        <f>'Ind T2'!F18</f>
        <v>981.78100001699806</v>
      </c>
      <c r="H28" s="11">
        <f t="shared" si="0"/>
        <v>24.043999999051721</v>
      </c>
      <c r="I28" s="25">
        <f t="shared" si="1"/>
        <v>6.8520000071168852</v>
      </c>
      <c r="J28" s="11">
        <f t="shared" si="2"/>
        <v>1.6630000169193409</v>
      </c>
      <c r="K28" s="11">
        <f t="shared" si="3"/>
        <v>-25.047999996987187</v>
      </c>
      <c r="L28" s="25">
        <f t="shared" si="4"/>
        <v>-23.384999980067846</v>
      </c>
    </row>
    <row r="29" spans="1:12" ht="12.95">
      <c r="A29" s="10" t="str">
        <f>'Ind T2'!A19</f>
        <v>Real estate</v>
      </c>
      <c r="B29" s="11">
        <f>'Ind T2'!B19</f>
        <v>499.70899999841942</v>
      </c>
      <c r="C29" s="11">
        <f>'Ind T2'!C19</f>
        <v>512.23999999889168</v>
      </c>
      <c r="D29" s="11">
        <f>'Ind T2'!D19</f>
        <v>566.08499999821879</v>
      </c>
      <c r="E29" s="11">
        <f>'Ind T2'!E19</f>
        <v>548.04900000421856</v>
      </c>
      <c r="F29" s="11">
        <f>'Ind T2'!F19</f>
        <v>597.86400000572326</v>
      </c>
      <c r="H29" s="11">
        <f t="shared" ref="H29:H31" si="9">C29-B29</f>
        <v>12.531000000472261</v>
      </c>
      <c r="I29" s="25">
        <f t="shared" ref="I29:I31" si="10">D29-C29</f>
        <v>53.844999999327115</v>
      </c>
      <c r="J29" s="11">
        <f t="shared" ref="J29:J31" si="11">E29-D29</f>
        <v>-18.035999994000235</v>
      </c>
      <c r="K29" s="11">
        <f t="shared" ref="K29:K31" si="12">F29-E29</f>
        <v>49.8150000015047</v>
      </c>
      <c r="L29" s="25">
        <f t="shared" si="4"/>
        <v>31.779000007504465</v>
      </c>
    </row>
    <row r="30" spans="1:12" ht="12.95">
      <c r="A30" s="10" t="str">
        <f>'Ind T2'!A20</f>
        <v>Professional services</v>
      </c>
      <c r="B30" s="11">
        <f>'Ind T2'!B20</f>
        <v>2607.93099996616</v>
      </c>
      <c r="C30" s="11">
        <f>'Ind T2'!C20</f>
        <v>2881.7529999625126</v>
      </c>
      <c r="D30" s="11">
        <f>'Ind T2'!D20</f>
        <v>2807.1649999885512</v>
      </c>
      <c r="E30" s="11">
        <f>'Ind T2'!E20</f>
        <v>2948.7560000339613</v>
      </c>
      <c r="F30" s="11">
        <f>'Ind T2'!F20</f>
        <v>3140.8240000427536</v>
      </c>
      <c r="H30" s="11">
        <f t="shared" si="9"/>
        <v>273.82199999635259</v>
      </c>
      <c r="I30" s="25">
        <f t="shared" si="10"/>
        <v>-74.58799997396136</v>
      </c>
      <c r="J30" s="11">
        <f t="shared" si="11"/>
        <v>141.59100004541006</v>
      </c>
      <c r="K30" s="11">
        <f t="shared" si="12"/>
        <v>192.0680000087923</v>
      </c>
      <c r="L30" s="25">
        <f t="shared" si="4"/>
        <v>333.65900005420235</v>
      </c>
    </row>
    <row r="31" spans="1:12" ht="12.95">
      <c r="A31" s="10" t="str">
        <f>'Ind T2'!A21</f>
        <v>Support services</v>
      </c>
      <c r="B31" s="11">
        <f>'Ind T2'!B21</f>
        <v>2500.2860000175151</v>
      </c>
      <c r="C31" s="11">
        <f>'Ind T2'!C21</f>
        <v>2639.3450000139487</v>
      </c>
      <c r="D31" s="11">
        <f>'Ind T2'!D21</f>
        <v>2483.2400000001271</v>
      </c>
      <c r="E31" s="11">
        <f>'Ind T2'!E21</f>
        <v>2630.4030000157918</v>
      </c>
      <c r="F31" s="11">
        <f>'Ind T2'!F21</f>
        <v>2812.4620000164346</v>
      </c>
      <c r="H31" s="11">
        <f t="shared" si="9"/>
        <v>139.05899999643361</v>
      </c>
      <c r="I31" s="25">
        <f t="shared" si="10"/>
        <v>-156.10500001382161</v>
      </c>
      <c r="J31" s="11">
        <f t="shared" si="11"/>
        <v>147.16300001566469</v>
      </c>
      <c r="K31" s="11">
        <f t="shared" si="12"/>
        <v>182.05900000064275</v>
      </c>
      <c r="L31" s="25">
        <f t="shared" si="4"/>
        <v>329.22200001630745</v>
      </c>
    </row>
    <row r="32" spans="1:12" ht="12.95">
      <c r="A32" s="10" t="str">
        <f>'Ind T2'!A25</f>
        <v>Arts and entertainment</v>
      </c>
      <c r="B32" s="11">
        <f>'Ind T2'!B25</f>
        <v>835.68700000489446</v>
      </c>
      <c r="C32" s="11">
        <f>'Ind T2'!C25</f>
        <v>862.71200000122599</v>
      </c>
      <c r="D32" s="11">
        <f>'Ind T2'!D25</f>
        <v>864.73800000221956</v>
      </c>
      <c r="E32" s="11">
        <f>'Ind T2'!E25</f>
        <v>885.60900001445032</v>
      </c>
      <c r="F32" s="11">
        <f>'Ind T2'!F25</f>
        <v>957.57500001578933</v>
      </c>
      <c r="H32" s="11">
        <f t="shared" ref="H32" si="13">C32-B32</f>
        <v>27.02499999633153</v>
      </c>
      <c r="I32" s="25">
        <f t="shared" ref="I32:I33" si="14">D32-C32</f>
        <v>2.0260000009935766</v>
      </c>
      <c r="J32" s="11">
        <f t="shared" ref="J32:J33" si="15">E32-D32</f>
        <v>20.871000012230752</v>
      </c>
      <c r="K32" s="11">
        <f t="shared" ref="K32:K33" si="16">F32-E32</f>
        <v>71.966000001339012</v>
      </c>
      <c r="L32" s="25">
        <f t="shared" si="4"/>
        <v>92.837000013569764</v>
      </c>
    </row>
    <row r="33" spans="1:12" ht="12.95">
      <c r="A33" s="10" t="str">
        <f>'Ind T2'!A26</f>
        <v>Other services</v>
      </c>
      <c r="B33" s="11">
        <f>'Ind T2'!B26</f>
        <v>835.42600000250945</v>
      </c>
      <c r="C33" s="11">
        <f>'Ind T2'!C26</f>
        <v>864.11900000259277</v>
      </c>
      <c r="D33" s="11">
        <f>'Ind T2'!D26</f>
        <v>856.30799999762871</v>
      </c>
      <c r="E33" s="11">
        <f>'Ind T2'!E26</f>
        <v>849.44700000805233</v>
      </c>
      <c r="F33" s="11">
        <f>'Ind T2'!F26</f>
        <v>856.08400000900122</v>
      </c>
      <c r="H33" s="11">
        <f>C33-B33</f>
        <v>28.693000000083316</v>
      </c>
      <c r="I33" s="25">
        <f t="shared" si="14"/>
        <v>-7.8110000049640576</v>
      </c>
      <c r="J33" s="11">
        <f t="shared" si="15"/>
        <v>-6.8609999895763849</v>
      </c>
      <c r="K33" s="11">
        <f t="shared" si="16"/>
        <v>6.6370000009488876</v>
      </c>
      <c r="L33" s="25">
        <f t="shared" si="4"/>
        <v>-0.22399998862749726</v>
      </c>
    </row>
    <row r="34" spans="1:12" ht="12.95">
      <c r="B34" s="338"/>
      <c r="C34" s="338"/>
      <c r="D34" s="338"/>
      <c r="E34" s="338"/>
      <c r="F34" s="338"/>
      <c r="H34" s="11"/>
      <c r="I34" s="25"/>
      <c r="J34" s="11"/>
      <c r="K34" s="11"/>
      <c r="L34" s="25"/>
    </row>
    <row r="35" spans="1:12" s="24" customFormat="1" ht="12.95">
      <c r="A35" s="24" t="str">
        <f>'Ind T1'!A12</f>
        <v>Non-marketed services</v>
      </c>
      <c r="B35" s="25">
        <f>'Ind T1'!B12</f>
        <v>7049.2849999266746</v>
      </c>
      <c r="C35" s="25">
        <f>'Ind T1'!C12</f>
        <v>7255.9809999418103</v>
      </c>
      <c r="D35" s="25">
        <f>'Ind T1'!D12</f>
        <v>7286.2550000047495</v>
      </c>
      <c r="E35" s="25">
        <f>'Ind T1'!E12</f>
        <v>7562.1109998010315</v>
      </c>
      <c r="F35" s="25">
        <f>'Ind T1'!F12</f>
        <v>7931.3149997771043</v>
      </c>
      <c r="H35" s="25">
        <f t="shared" si="0"/>
        <v>206.69600001513572</v>
      </c>
      <c r="I35" s="25">
        <f t="shared" si="1"/>
        <v>30.274000062939194</v>
      </c>
      <c r="J35" s="25">
        <f t="shared" si="2"/>
        <v>275.85599979628205</v>
      </c>
      <c r="K35" s="25">
        <f t="shared" si="3"/>
        <v>369.20399997607274</v>
      </c>
      <c r="L35" s="25">
        <f t="shared" si="4"/>
        <v>645.05999977235479</v>
      </c>
    </row>
    <row r="36" spans="1:12" ht="12.95">
      <c r="A36" s="10" t="str">
        <f>'Ind T2'!A22</f>
        <v>Public admin. and defence</v>
      </c>
      <c r="B36" s="338">
        <f>'Ind T2'!B22</f>
        <v>1050.7089999919904</v>
      </c>
      <c r="C36" s="338">
        <f>'Ind T2'!C22</f>
        <v>1063.7109999941283</v>
      </c>
      <c r="D36" s="338">
        <f>'Ind T2'!D22</f>
        <v>1106.4329999966935</v>
      </c>
      <c r="E36" s="338">
        <f>'Ind T2'!E22</f>
        <v>1135.5730000015953</v>
      </c>
      <c r="F36" s="338">
        <f>'Ind T2'!F22</f>
        <v>1158.0480000035327</v>
      </c>
      <c r="H36" s="11">
        <f t="shared" si="0"/>
        <v>13.002000002137947</v>
      </c>
      <c r="I36" s="25">
        <f t="shared" si="1"/>
        <v>42.72200000256521</v>
      </c>
      <c r="J36" s="11">
        <f t="shared" si="2"/>
        <v>29.140000004901822</v>
      </c>
      <c r="K36" s="11">
        <f t="shared" si="3"/>
        <v>22.47500000193736</v>
      </c>
      <c r="L36" s="25">
        <f t="shared" si="4"/>
        <v>51.615000006839182</v>
      </c>
    </row>
    <row r="37" spans="1:12" ht="12.95">
      <c r="A37" s="10" t="str">
        <f>'Ind T2'!A23</f>
        <v>Education</v>
      </c>
      <c r="B37" s="338">
        <f>'Ind T2'!B23</f>
        <v>2527.3159999829509</v>
      </c>
      <c r="C37" s="338">
        <f>'Ind T2'!C23</f>
        <v>2523.7989999872166</v>
      </c>
      <c r="D37" s="338">
        <f>'Ind T2'!D23</f>
        <v>2531.7800000136781</v>
      </c>
      <c r="E37" s="338">
        <f>'Ind T2'!E23</f>
        <v>2543.3239998430904</v>
      </c>
      <c r="F37" s="338">
        <f>'Ind T2'!F23</f>
        <v>2633.2329998416349</v>
      </c>
      <c r="H37" s="11">
        <f t="shared" si="0"/>
        <v>-3.5169999957342952</v>
      </c>
      <c r="I37" s="25">
        <f t="shared" si="1"/>
        <v>7.9810000264615155</v>
      </c>
      <c r="J37" s="11">
        <f t="shared" si="2"/>
        <v>11.543999829412314</v>
      </c>
      <c r="K37" s="11">
        <f t="shared" si="3"/>
        <v>89.908999998544459</v>
      </c>
      <c r="L37" s="25">
        <f t="shared" si="4"/>
        <v>101.45299982795677</v>
      </c>
    </row>
    <row r="38" spans="1:12" ht="12.95">
      <c r="A38" s="10" t="str">
        <f>'Ind T2'!A24</f>
        <v>Health and social work</v>
      </c>
      <c r="B38" s="338">
        <f>'Ind T2'!B24</f>
        <v>3471.2599999517329</v>
      </c>
      <c r="C38" s="338">
        <f>'Ind T2'!C24</f>
        <v>3668.4709999604656</v>
      </c>
      <c r="D38" s="338">
        <f>'Ind T2'!D24</f>
        <v>3648.0419999943779</v>
      </c>
      <c r="E38" s="338">
        <f>'Ind T2'!E24</f>
        <v>3883.213999956346</v>
      </c>
      <c r="F38" s="338">
        <f>'Ind T2'!F24</f>
        <v>4140.0339999319367</v>
      </c>
      <c r="H38" s="11">
        <f t="shared" si="0"/>
        <v>197.21100000873275</v>
      </c>
      <c r="I38" s="25">
        <f t="shared" si="1"/>
        <v>-20.428999966087758</v>
      </c>
      <c r="J38" s="11">
        <f t="shared" si="2"/>
        <v>235.17199996196814</v>
      </c>
      <c r="K38" s="11">
        <f t="shared" si="3"/>
        <v>256.81999997559069</v>
      </c>
      <c r="L38" s="25">
        <f t="shared" si="4"/>
        <v>491.99199993755883</v>
      </c>
    </row>
    <row r="39" spans="1:12" ht="12.95">
      <c r="B39" s="338"/>
      <c r="C39" s="338"/>
      <c r="D39" s="338"/>
      <c r="E39" s="338"/>
      <c r="F39" s="338"/>
      <c r="H39" s="11"/>
      <c r="I39" s="11"/>
      <c r="J39" s="11"/>
      <c r="K39" s="11"/>
      <c r="L39" s="25"/>
    </row>
    <row r="40" spans="1:12" ht="12.95">
      <c r="A40" s="339" t="str">
        <f>'Ind T1'!A14</f>
        <v>All industries</v>
      </c>
      <c r="B40" s="340">
        <f>'Ind T1'!B14</f>
        <v>28656.171999997765</v>
      </c>
      <c r="C40" s="340">
        <f>'Ind T1'!C14</f>
        <v>30212.759999993872</v>
      </c>
      <c r="D40" s="340">
        <f>'Ind T1'!D14</f>
        <v>29859.680999995202</v>
      </c>
      <c r="E40" s="340">
        <f>'Ind T1'!E14</f>
        <v>30754.748000010724</v>
      </c>
      <c r="F40" s="340">
        <f>'Ind T1'!F14</f>
        <v>32070.09100001253</v>
      </c>
      <c r="G40" s="21"/>
      <c r="H40" s="26">
        <f t="shared" si="0"/>
        <v>1556.5879999961071</v>
      </c>
      <c r="I40" s="26">
        <f>D40-C40</f>
        <v>-353.07899999867004</v>
      </c>
      <c r="J40" s="26">
        <f>E40-D40</f>
        <v>895.06700001552235</v>
      </c>
      <c r="K40" s="26">
        <f>F40-E40</f>
        <v>1315.3430000018052</v>
      </c>
      <c r="L40" s="182">
        <f t="shared" si="4"/>
        <v>2210.4100000173275</v>
      </c>
    </row>
    <row r="44" spans="1:12" ht="15.6">
      <c r="A44" s="17" t="str">
        <f>CONCATENATE(A1," (Continued)")</f>
        <v>Industry Table 4  Employment by Industry Group in Sector (SIC 2007), 2015-2035, England (Continued)</v>
      </c>
    </row>
    <row r="46" spans="1:12">
      <c r="L46" s="15" t="s">
        <v>132</v>
      </c>
    </row>
    <row r="47" spans="1:12" ht="12.95">
      <c r="A47" s="28"/>
      <c r="B47" s="23" t="s">
        <v>125</v>
      </c>
      <c r="C47" s="23"/>
      <c r="D47" s="23"/>
      <c r="E47" s="23"/>
      <c r="F47" s="23"/>
      <c r="G47" s="23"/>
      <c r="H47" s="23" t="s">
        <v>124</v>
      </c>
      <c r="I47" s="23"/>
      <c r="J47" s="23"/>
      <c r="K47" s="23"/>
      <c r="L47" s="23"/>
    </row>
    <row r="48" spans="1:12" ht="12.95">
      <c r="A48" s="21"/>
      <c r="B48" s="29" t="str">
        <f>H5</f>
        <v>2015-2019</v>
      </c>
      <c r="C48" s="29" t="str">
        <f>I5</f>
        <v>2019-2020</v>
      </c>
      <c r="D48" s="29" t="str">
        <f>J5</f>
        <v>2020-2025</v>
      </c>
      <c r="E48" s="29" t="str">
        <f>K5</f>
        <v>2025-2035</v>
      </c>
      <c r="F48" s="29" t="str">
        <f>L5</f>
        <v>2020-2035</v>
      </c>
      <c r="G48" s="31"/>
      <c r="H48" s="32">
        <f>B5</f>
        <v>2015</v>
      </c>
      <c r="I48" s="32">
        <f>C5</f>
        <v>2019</v>
      </c>
      <c r="J48" s="32">
        <f>D5</f>
        <v>2020</v>
      </c>
      <c r="K48" s="32">
        <f>E5</f>
        <v>2025</v>
      </c>
      <c r="L48" s="32">
        <f>F5</f>
        <v>2035</v>
      </c>
    </row>
    <row r="50" spans="1:12" s="24" customFormat="1" ht="12.95">
      <c r="A50" s="24" t="str">
        <f>A7</f>
        <v>Primary sector and utilities</v>
      </c>
      <c r="B50" s="34">
        <f t="shared" ref="B50:E54" si="17">IF(AND(C$5-B$5 &lt;&gt; 0,B7&lt;&gt;0,C7&lt;&gt;0),(EXP(LN(C7/B7)/(C$5-B$5))-1)*100,0)</f>
        <v>1.9148170241051421</v>
      </c>
      <c r="C50" s="34">
        <f t="shared" si="17"/>
        <v>-7.4150565071176562</v>
      </c>
      <c r="D50" s="34">
        <f t="shared" si="17"/>
        <v>0.24198080477286776</v>
      </c>
      <c r="E50" s="34">
        <f t="shared" si="17"/>
        <v>0.18549650287165154</v>
      </c>
      <c r="F50" s="34">
        <f>IF(AND(F$5-D$5 &lt;&gt; 0,D7&lt;&gt;0,F7&lt;&gt;0),(EXP(LN(F7/D7)/(F$5-D$5))-1)*100,0)</f>
        <v>0.20432106620318358</v>
      </c>
      <c r="H50" s="34">
        <f>(B7/B$40)*100</f>
        <v>1.9374395156493867</v>
      </c>
      <c r="I50" s="34">
        <f>(C7/C$40)*100</f>
        <v>1.9824637007725372</v>
      </c>
      <c r="J50" s="34">
        <f>(D7/D$40)*100</f>
        <v>1.8571665249807985</v>
      </c>
      <c r="K50" s="34">
        <f>(E7/E$40)*100</f>
        <v>1.8250385273843563</v>
      </c>
      <c r="L50" s="34">
        <f>(F7/F$40)*100</f>
        <v>1.7829229109450715</v>
      </c>
    </row>
    <row r="51" spans="1:12" ht="12.95">
      <c r="A51" t="str">
        <f>A8</f>
        <v>Agriculture</v>
      </c>
      <c r="B51" s="30">
        <f t="shared" si="17"/>
        <v>0.72839985799513229</v>
      </c>
      <c r="C51" s="34">
        <f t="shared" si="17"/>
        <v>-11.356097056956759</v>
      </c>
      <c r="D51" s="30">
        <f t="shared" si="17"/>
        <v>0.59400095111976636</v>
      </c>
      <c r="E51" s="30">
        <f t="shared" si="17"/>
        <v>9.0799349664405504E-2</v>
      </c>
      <c r="F51" s="34">
        <f t="shared" ref="F51:F83" si="18">IF(AND(F$5-D$5 &lt;&gt; 0,D8&lt;&gt;0,F8&lt;&gt;0),(EXP(LN(F8/D8)/(F$5-D$5))-1)*100,0)</f>
        <v>0.2582529080175755</v>
      </c>
      <c r="H51" s="30">
        <f t="shared" ref="H51:L54" si="19">(B8/B$7)*100</f>
        <v>47.310139122162745</v>
      </c>
      <c r="I51" s="30">
        <f t="shared" si="19"/>
        <v>45.145310932376539</v>
      </c>
      <c r="J51" s="30">
        <f t="shared" si="19"/>
        <v>43.223621570074684</v>
      </c>
      <c r="K51" s="30">
        <f t="shared" si="19"/>
        <v>43.987913469844351</v>
      </c>
      <c r="L51" s="30">
        <f t="shared" si="19"/>
        <v>43.573895782170027</v>
      </c>
    </row>
    <row r="52" spans="1:12" ht="12.95">
      <c r="A52" t="str">
        <f>A9</f>
        <v>Mining and quarrying</v>
      </c>
      <c r="B52" s="30">
        <f t="shared" si="17"/>
        <v>-5.7601495369162485</v>
      </c>
      <c r="C52" s="34">
        <f t="shared" si="17"/>
        <v>2.2190706599666044</v>
      </c>
      <c r="D52" s="30">
        <f t="shared" si="17"/>
        <v>-4.2254460829143632</v>
      </c>
      <c r="E52" s="30">
        <f t="shared" si="17"/>
        <v>-2.9102210176361276</v>
      </c>
      <c r="F52" s="34">
        <f t="shared" si="18"/>
        <v>-3.3506240374576501</v>
      </c>
      <c r="H52" s="30">
        <f t="shared" si="19"/>
        <v>5.4746431890422924</v>
      </c>
      <c r="I52" s="30">
        <f t="shared" si="19"/>
        <v>4.0026245623510706</v>
      </c>
      <c r="J52" s="30">
        <f t="shared" si="19"/>
        <v>4.4191263452651546</v>
      </c>
      <c r="K52" s="30">
        <f t="shared" si="19"/>
        <v>3.5183489344203829</v>
      </c>
      <c r="L52" s="30">
        <f t="shared" si="19"/>
        <v>2.5705466215560016</v>
      </c>
    </row>
    <row r="53" spans="1:12" ht="12.95">
      <c r="A53" t="str">
        <f>A10</f>
        <v>Electricity and gas</v>
      </c>
      <c r="B53" s="30">
        <f t="shared" si="17"/>
        <v>4.7648576757263417</v>
      </c>
      <c r="C53" s="34">
        <f t="shared" si="17"/>
        <v>-0.22856566641290543</v>
      </c>
      <c r="D53" s="30">
        <f t="shared" si="17"/>
        <v>-0.76664920019353655</v>
      </c>
      <c r="E53" s="30">
        <f t="shared" si="17"/>
        <v>-6.6281073533880352E-2</v>
      </c>
      <c r="F53" s="34">
        <f t="shared" si="18"/>
        <v>-0.30028462788562749</v>
      </c>
      <c r="H53" s="30">
        <f t="shared" si="19"/>
        <v>17.792995626678003</v>
      </c>
      <c r="I53" s="30">
        <f t="shared" si="19"/>
        <v>19.868371185108725</v>
      </c>
      <c r="J53" s="30">
        <f t="shared" si="19"/>
        <v>21.410564355561785</v>
      </c>
      <c r="K53" s="30">
        <f t="shared" si="19"/>
        <v>20.354863652526227</v>
      </c>
      <c r="L53" s="30">
        <f t="shared" si="19"/>
        <v>19.849069143205995</v>
      </c>
    </row>
    <row r="54" spans="1:12" ht="12.95">
      <c r="A54" t="str">
        <f>A11</f>
        <v>Water and sewerage</v>
      </c>
      <c r="B54" s="30">
        <f t="shared" si="17"/>
        <v>3.2408943744891783</v>
      </c>
      <c r="C54" s="34">
        <f t="shared" si="17"/>
        <v>-7.5256359826597397</v>
      </c>
      <c r="D54" s="30">
        <f t="shared" si="17"/>
        <v>1.0026890846227321</v>
      </c>
      <c r="E54" s="30">
        <f t="shared" si="17"/>
        <v>0.75299572721267971</v>
      </c>
      <c r="F54" s="34">
        <f t="shared" si="18"/>
        <v>0.83615818439963796</v>
      </c>
      <c r="H54" s="30">
        <f t="shared" si="19"/>
        <v>29.422222062116969</v>
      </c>
      <c r="I54" s="30">
        <f t="shared" si="19"/>
        <v>30.983693320163653</v>
      </c>
      <c r="J54" s="30">
        <f t="shared" si="19"/>
        <v>30.946687729098361</v>
      </c>
      <c r="K54" s="30">
        <f t="shared" si="19"/>
        <v>32.13887394320902</v>
      </c>
      <c r="L54" s="30">
        <f t="shared" si="19"/>
        <v>34.006488453067988</v>
      </c>
    </row>
    <row r="55" spans="1:12" ht="12.95">
      <c r="B55" s="30"/>
      <c r="C55" s="34"/>
      <c r="D55" s="30"/>
      <c r="E55" s="30"/>
      <c r="F55" s="34"/>
      <c r="H55" s="30"/>
      <c r="I55" s="30"/>
      <c r="J55" s="30"/>
      <c r="K55" s="30"/>
      <c r="L55" s="30"/>
    </row>
    <row r="56" spans="1:12" s="24" customFormat="1" ht="12.95">
      <c r="A56" s="24" t="str">
        <f>A13</f>
        <v>Manufacturing</v>
      </c>
      <c r="B56" s="34">
        <f t="shared" ref="B56:E59" si="20">IF(AND(C$5-B$5 &lt;&gt; 0,B13&lt;&gt;0,C13&lt;&gt;0),(EXP(LN(C13/B13)/(C$5-B$5))-1)*100,0)</f>
        <v>0.64006656167867604</v>
      </c>
      <c r="C56" s="34">
        <f t="shared" si="20"/>
        <v>-2.0421832376274263</v>
      </c>
      <c r="D56" s="34">
        <f t="shared" si="20"/>
        <v>-0.7136700106286753</v>
      </c>
      <c r="E56" s="34">
        <f t="shared" si="20"/>
        <v>-0.83593683733532709</v>
      </c>
      <c r="F56" s="34">
        <f t="shared" si="18"/>
        <v>-0.79519796718666713</v>
      </c>
      <c r="H56" s="34">
        <f>(B13/B$40)*100</f>
        <v>7.6690005908649299</v>
      </c>
      <c r="I56" s="34">
        <f>(C13/C$40)*100</f>
        <v>7.4619134431852032</v>
      </c>
      <c r="J56" s="34">
        <f>(D13/D$40)*100</f>
        <v>7.3959597893780327</v>
      </c>
      <c r="K56" s="34">
        <f>(E13/E$40)*100</f>
        <v>6.9281107424794888</v>
      </c>
      <c r="L56" s="34">
        <f>(F13/F$40)*100</f>
        <v>6.1089973209394337</v>
      </c>
    </row>
    <row r="57" spans="1:12" ht="12.95">
      <c r="A57" t="str">
        <f>A14</f>
        <v>Food drink and tobacco</v>
      </c>
      <c r="B57" s="30">
        <f t="shared" si="20"/>
        <v>1.9704069912768407</v>
      </c>
      <c r="C57" s="34">
        <f t="shared" si="20"/>
        <v>0.23687305727757568</v>
      </c>
      <c r="D57" s="30">
        <f t="shared" si="20"/>
        <v>0.24399507541574827</v>
      </c>
      <c r="E57" s="30">
        <f t="shared" si="20"/>
        <v>-0.26452217463556194</v>
      </c>
      <c r="F57" s="34">
        <f t="shared" si="18"/>
        <v>-9.530369539735295E-2</v>
      </c>
      <c r="H57" s="30">
        <f t="shared" ref="H57:L59" si="21">(B14/B$13)*100</f>
        <v>15.42234813502111</v>
      </c>
      <c r="I57" s="30">
        <f t="shared" si="21"/>
        <v>16.254119630105855</v>
      </c>
      <c r="J57" s="30">
        <f t="shared" si="21"/>
        <v>16.632282954743779</v>
      </c>
      <c r="K57" s="30">
        <f t="shared" si="21"/>
        <v>17.450039259070998</v>
      </c>
      <c r="L57" s="30">
        <f t="shared" si="21"/>
        <v>18.482044099583046</v>
      </c>
    </row>
    <row r="58" spans="1:12" ht="12.95">
      <c r="A58" t="str">
        <f>A15</f>
        <v>Engineering</v>
      </c>
      <c r="B58" s="30">
        <f t="shared" si="20"/>
        <v>0.56494284275070417</v>
      </c>
      <c r="C58" s="34">
        <f t="shared" si="20"/>
        <v>-4.7374978595118851</v>
      </c>
      <c r="D58" s="30">
        <f t="shared" si="20"/>
        <v>0.38926400827772323</v>
      </c>
      <c r="E58" s="30">
        <f t="shared" si="20"/>
        <v>-1.2473998733893543</v>
      </c>
      <c r="F58" s="34">
        <f t="shared" si="18"/>
        <v>-0.70483169270012525</v>
      </c>
      <c r="H58" s="30">
        <f t="shared" si="21"/>
        <v>15.068650853920683</v>
      </c>
      <c r="I58" s="30">
        <f t="shared" si="21"/>
        <v>15.023708665068547</v>
      </c>
      <c r="J58" s="30">
        <f t="shared" si="21"/>
        <v>14.610330509263775</v>
      </c>
      <c r="K58" s="30">
        <f t="shared" si="21"/>
        <v>15.440064241088269</v>
      </c>
      <c r="L58" s="30">
        <f t="shared" si="21"/>
        <v>14.811238075870584</v>
      </c>
    </row>
    <row r="59" spans="1:12" ht="12.95">
      <c r="A59" t="str">
        <f>A16</f>
        <v>Rest of manufacturing</v>
      </c>
      <c r="B59" s="30">
        <f t="shared" si="20"/>
        <v>0.35404269721375226</v>
      </c>
      <c r="C59" s="34">
        <f t="shared" si="20"/>
        <v>-1.9919873853546655</v>
      </c>
      <c r="D59" s="30">
        <f t="shared" si="20"/>
        <v>-1.1940952200940269</v>
      </c>
      <c r="E59" s="30">
        <f t="shared" si="20"/>
        <v>-0.89567368428171701</v>
      </c>
      <c r="F59" s="34">
        <f t="shared" si="18"/>
        <v>-0.99524754165890572</v>
      </c>
      <c r="H59" s="30">
        <f t="shared" si="21"/>
        <v>69.509001011058174</v>
      </c>
      <c r="I59" s="30">
        <f t="shared" si="21"/>
        <v>68.722171704825612</v>
      </c>
      <c r="J59" s="30">
        <f t="shared" si="21"/>
        <v>68.757386535992453</v>
      </c>
      <c r="K59" s="30">
        <f t="shared" si="21"/>
        <v>67.109896499840715</v>
      </c>
      <c r="L59" s="30">
        <f t="shared" si="21"/>
        <v>66.706717824546374</v>
      </c>
    </row>
    <row r="60" spans="1:12" ht="12.95">
      <c r="B60" s="30"/>
      <c r="C60" s="34"/>
      <c r="D60" s="30"/>
      <c r="E60" s="30"/>
      <c r="F60" s="34"/>
      <c r="H60" s="30"/>
      <c r="I60" s="30"/>
      <c r="J60" s="30"/>
      <c r="K60" s="30"/>
      <c r="L60" s="30"/>
    </row>
    <row r="61" spans="1:12" s="24" customFormat="1" ht="12.95">
      <c r="A61" s="24" t="str">
        <f>A18</f>
        <v>Construction</v>
      </c>
      <c r="B61" s="34">
        <f>IF(AND(C$5-B$5 &lt;&gt; 0,B18&lt;&gt;0,C18&lt;&gt;0),(EXP(LN(C18/B18)/(C$5-B$5))-1)*100,0)</f>
        <v>2.6223196022649553</v>
      </c>
      <c r="C61" s="34">
        <f>IF(AND(D$5-C$5 &lt;&gt; 0,C18&lt;&gt;0,D18&lt;&gt;0),(EXP(LN(D18/C18)/(D$5-C$5))-1)*100,0)</f>
        <v>0.15214670352428072</v>
      </c>
      <c r="D61" s="34">
        <f>IF(AND(E$5-D$5 &lt;&gt; 0,D18&lt;&gt;0,E18&lt;&gt;0),(EXP(LN(E18/D18)/(E$5-D$5))-1)*100,0)</f>
        <v>0.96293625775580871</v>
      </c>
      <c r="E61" s="34">
        <f>IF(AND(F$5-E$5 &lt;&gt; 0,E18&lt;&gt;0,F18&lt;&gt;0),(EXP(LN(F18/E18)/(F$5-E$5))-1)*100,0)</f>
        <v>0.71072070985578328</v>
      </c>
      <c r="F61" s="34">
        <f t="shared" si="18"/>
        <v>0.7947224746771564</v>
      </c>
      <c r="H61" s="34">
        <f>(B18/B$40)*100</f>
        <v>6.2826046688388368</v>
      </c>
      <c r="I61" s="34">
        <f>(C18/C$40)*100</f>
        <v>6.6089857398658278</v>
      </c>
      <c r="J61" s="34">
        <f>(D18/D$40)*100</f>
        <v>6.697308655014508</v>
      </c>
      <c r="K61" s="34">
        <f>(E18/E$40)*100</f>
        <v>6.8215515858627978</v>
      </c>
      <c r="L61" s="34">
        <f>(F18/F$40)*100</f>
        <v>7.0218603368846475</v>
      </c>
    </row>
    <row r="62" spans="1:12" ht="12.95">
      <c r="B62" s="30"/>
      <c r="C62" s="34"/>
      <c r="D62" s="30"/>
      <c r="E62" s="30"/>
      <c r="F62" s="34"/>
      <c r="H62" s="30"/>
      <c r="I62" s="30"/>
      <c r="J62" s="30"/>
      <c r="K62" s="30"/>
      <c r="L62" s="30"/>
    </row>
    <row r="63" spans="1:12" s="24" customFormat="1" ht="12.95">
      <c r="A63" s="24" t="str">
        <f>A20</f>
        <v>Trade, accomod. and transport</v>
      </c>
      <c r="B63" s="34">
        <f t="shared" ref="B63:E66" si="22">IF(AND(C$5-B$5 &lt;&gt; 0,B20&lt;&gt;0,C20&lt;&gt;0),(EXP(LN(C20/B20)/(C$5-B$5))-1)*100,0)</f>
        <v>1.5669384942846865</v>
      </c>
      <c r="C63" s="34">
        <f t="shared" si="22"/>
        <v>-1.6159647152965584</v>
      </c>
      <c r="D63" s="34">
        <f t="shared" si="22"/>
        <v>0.56872013761768425</v>
      </c>
      <c r="E63" s="34">
        <f t="shared" si="22"/>
        <v>0.46597248055075813</v>
      </c>
      <c r="F63" s="34">
        <f t="shared" si="18"/>
        <v>0.50021003051778923</v>
      </c>
      <c r="H63" s="34">
        <f>(B20/B$40)*100</f>
        <v>26.259808882083433</v>
      </c>
      <c r="I63" s="34">
        <f>(C20/C$40)*100</f>
        <v>26.50505945196484</v>
      </c>
      <c r="J63" s="34">
        <f>(D20/D$40)*100</f>
        <v>26.385094335217889</v>
      </c>
      <c r="K63" s="34">
        <f>(E20/E$40)*100</f>
        <v>26.353982806718268</v>
      </c>
      <c r="L63" s="34">
        <f>(F20/F$40)*100</f>
        <v>26.475743396442486</v>
      </c>
    </row>
    <row r="64" spans="1:12" ht="12.95">
      <c r="A64" t="str">
        <f>A21</f>
        <v>Wholesale and retail trade</v>
      </c>
      <c r="B64" s="30">
        <f t="shared" si="22"/>
        <v>0.28867494231585855</v>
      </c>
      <c r="C64" s="34">
        <f t="shared" si="22"/>
        <v>-0.73590035116102293</v>
      </c>
      <c r="D64" s="30">
        <f t="shared" si="22"/>
        <v>0.1124468386546118</v>
      </c>
      <c r="E64" s="30">
        <f t="shared" si="22"/>
        <v>0.10418311100850453</v>
      </c>
      <c r="F64" s="34">
        <f t="shared" si="18"/>
        <v>0.10693761109610289</v>
      </c>
      <c r="H64" s="30">
        <f t="shared" ref="H64:L66" si="23">(B21/B$20)*100</f>
        <v>56.37181969156061</v>
      </c>
      <c r="I64" s="30">
        <f t="shared" si="23"/>
        <v>53.587090764183586</v>
      </c>
      <c r="J64" s="30">
        <f t="shared" si="23"/>
        <v>54.066437731633968</v>
      </c>
      <c r="K64" s="30">
        <f t="shared" si="23"/>
        <v>52.851037883486242</v>
      </c>
      <c r="L64" s="30">
        <f t="shared" si="23"/>
        <v>50.97835950576787</v>
      </c>
    </row>
    <row r="65" spans="1:12" ht="12.95">
      <c r="A65" t="str">
        <f>A22</f>
        <v>Transport and storage</v>
      </c>
      <c r="B65" s="30">
        <f>IF(AND(C$5-B$5 &lt;&gt; 0,B22&lt;&gt;0,C22&lt;&gt;0),(EXP(LN(C22/B22)/(C$5-B$5))-1)*100,0)</f>
        <v>3.3163391789962304</v>
      </c>
      <c r="C65" s="34">
        <f t="shared" si="22"/>
        <v>-0.75102398041053675</v>
      </c>
      <c r="D65" s="30">
        <f t="shared" si="22"/>
        <v>1.2954453070460392</v>
      </c>
      <c r="E65" s="30">
        <f t="shared" si="22"/>
        <v>0.19366599244192706</v>
      </c>
      <c r="F65" s="34">
        <f t="shared" si="18"/>
        <v>0.55958773798108208</v>
      </c>
      <c r="H65" s="30">
        <f t="shared" si="23"/>
        <v>18.599808426538093</v>
      </c>
      <c r="I65" s="30">
        <f t="shared" si="23"/>
        <v>19.9147592814661</v>
      </c>
      <c r="J65" s="30">
        <f t="shared" si="23"/>
        <v>20.089839379351325</v>
      </c>
      <c r="K65" s="30">
        <f t="shared" si="23"/>
        <v>20.826267309873032</v>
      </c>
      <c r="L65" s="30">
        <f t="shared" si="23"/>
        <v>20.268620311763151</v>
      </c>
    </row>
    <row r="66" spans="1:12" ht="12.95">
      <c r="A66" t="str">
        <f>A23</f>
        <v>Accommodation and food</v>
      </c>
      <c r="B66" s="30">
        <f t="shared" si="22"/>
        <v>3.0262993239237534</v>
      </c>
      <c r="C66" s="34">
        <f t="shared" si="22"/>
        <v>-4.0457636106217993</v>
      </c>
      <c r="D66" s="30">
        <f t="shared" si="22"/>
        <v>0.93876291093246689</v>
      </c>
      <c r="E66" s="30">
        <f t="shared" si="22"/>
        <v>1.3571299590209973</v>
      </c>
      <c r="F66" s="34">
        <f t="shared" si="18"/>
        <v>1.2174819602314813</v>
      </c>
      <c r="H66" s="30">
        <f t="shared" si="23"/>
        <v>25.0283718819013</v>
      </c>
      <c r="I66" s="30">
        <f t="shared" si="23"/>
        <v>26.498149954350303</v>
      </c>
      <c r="J66" s="30">
        <f t="shared" si="23"/>
        <v>25.843722889014696</v>
      </c>
      <c r="K66" s="30">
        <f t="shared" si="23"/>
        <v>26.322694806640722</v>
      </c>
      <c r="L66" s="30">
        <f t="shared" si="23"/>
        <v>28.753020182469001</v>
      </c>
    </row>
    <row r="67" spans="1:12" ht="12.95">
      <c r="B67" s="30"/>
      <c r="C67" s="34"/>
      <c r="D67" s="30"/>
      <c r="E67" s="30"/>
      <c r="F67" s="34"/>
      <c r="H67" s="30"/>
      <c r="I67" s="30"/>
      <c r="J67" s="30"/>
      <c r="K67" s="30"/>
      <c r="L67" s="30"/>
    </row>
    <row r="68" spans="1:12" s="24" customFormat="1" ht="12.95">
      <c r="A68" s="24" t="str">
        <f>A25</f>
        <v>Business and other services</v>
      </c>
      <c r="B68" s="34">
        <f t="shared" ref="B68:E71" si="24">IF(AND(C$5-B$5 &lt;&gt; 0,B25&lt;&gt;0,C25&lt;&gt;0),(EXP(LN(C25/B25)/(C$5-B$5))-1)*100,0)</f>
        <v>1.4632345432583849</v>
      </c>
      <c r="C68" s="34">
        <f t="shared" si="24"/>
        <v>-1.6490530219193333</v>
      </c>
      <c r="D68" s="34">
        <f t="shared" si="24"/>
        <v>0.72520380801102124</v>
      </c>
      <c r="E68" s="34">
        <f t="shared" si="24"/>
        <v>0.53793114652183061</v>
      </c>
      <c r="F68" s="34">
        <f t="shared" si="18"/>
        <v>0.60031664774355953</v>
      </c>
      <c r="H68" s="34">
        <f>(B25/B$40)*100</f>
        <v>33.251611554988756</v>
      </c>
      <c r="I68" s="34">
        <f>(C25/C$40)*100</f>
        <v>33.425297787949773</v>
      </c>
      <c r="J68" s="34">
        <f>(D25/D$40)*100</f>
        <v>33.262820188807844</v>
      </c>
      <c r="K68" s="34">
        <f>(E25/E$40)*100</f>
        <v>33.482882058079291</v>
      </c>
      <c r="L68" s="34">
        <f>(F25/F$40)*100</f>
        <v>33.879286466994486</v>
      </c>
    </row>
    <row r="69" spans="1:12" ht="12.95">
      <c r="A69" t="str">
        <f>A26</f>
        <v>Media</v>
      </c>
      <c r="B69" s="30">
        <f t="shared" si="24"/>
        <v>0.41813299181927555</v>
      </c>
      <c r="C69" s="34">
        <f t="shared" si="24"/>
        <v>0.93117315126456379</v>
      </c>
      <c r="D69" s="30">
        <f t="shared" si="24"/>
        <v>0.24929218684894838</v>
      </c>
      <c r="E69" s="30">
        <f t="shared" si="24"/>
        <v>0.10948525820031474</v>
      </c>
      <c r="F69" s="34">
        <f t="shared" si="18"/>
        <v>0.15606589056480491</v>
      </c>
      <c r="H69" s="30">
        <f t="shared" ref="H69:L71" si="25">(B26/B$25)*100</f>
        <v>3.5623450526443943</v>
      </c>
      <c r="I69" s="30">
        <f t="shared" si="25"/>
        <v>3.4178243646126427</v>
      </c>
      <c r="J69" s="30">
        <f t="shared" si="25"/>
        <v>3.5074906073066208</v>
      </c>
      <c r="K69" s="30">
        <f t="shared" si="25"/>
        <v>3.4254080766399118</v>
      </c>
      <c r="L69" s="30">
        <f t="shared" si="25"/>
        <v>3.2822008928208142</v>
      </c>
    </row>
    <row r="70" spans="1:12" ht="12.95">
      <c r="A70" t="str">
        <f>A27</f>
        <v>Information technology</v>
      </c>
      <c r="B70" s="30">
        <f t="shared" si="24"/>
        <v>1.5446666266863307</v>
      </c>
      <c r="C70" s="34">
        <f t="shared" si="24"/>
        <v>0.60639193851528272</v>
      </c>
      <c r="D70" s="30">
        <f t="shared" si="24"/>
        <v>1.448749459960208</v>
      </c>
      <c r="E70" s="30">
        <f t="shared" si="24"/>
        <v>0.77348225337268151</v>
      </c>
      <c r="F70" s="34">
        <f t="shared" si="18"/>
        <v>0.99807042342914265</v>
      </c>
      <c r="H70" s="30">
        <f t="shared" si="25"/>
        <v>9.8218328975592097</v>
      </c>
      <c r="I70" s="30">
        <f t="shared" si="25"/>
        <v>9.8534019955313141</v>
      </c>
      <c r="J70" s="30">
        <f t="shared" si="25"/>
        <v>10.079366325889115</v>
      </c>
      <c r="K70" s="30">
        <f t="shared" si="25"/>
        <v>10.446623554865717</v>
      </c>
      <c r="L70" s="30">
        <f t="shared" si="25"/>
        <v>10.693974975647279</v>
      </c>
    </row>
    <row r="71" spans="1:12" ht="12.95">
      <c r="A71" t="str">
        <f>A28</f>
        <v>Finance and insurance</v>
      </c>
      <c r="B71" s="30">
        <f t="shared" si="24"/>
        <v>0.61134572309835544</v>
      </c>
      <c r="C71" s="34">
        <f t="shared" si="24"/>
        <v>0.68635719895602243</v>
      </c>
      <c r="D71" s="30">
        <f t="shared" si="24"/>
        <v>3.3067186234236878E-2</v>
      </c>
      <c r="E71" s="30">
        <f t="shared" si="24"/>
        <v>-0.25161090527463514</v>
      </c>
      <c r="F71" s="34">
        <f t="shared" si="18"/>
        <v>-0.15680833862264931</v>
      </c>
      <c r="H71" s="30">
        <f t="shared" si="25"/>
        <v>10.224650130979846</v>
      </c>
      <c r="I71" s="30">
        <f t="shared" si="25"/>
        <v>9.8855645351977959</v>
      </c>
      <c r="J71" s="30">
        <f t="shared" si="25"/>
        <v>10.120303997948158</v>
      </c>
      <c r="K71" s="30">
        <f t="shared" si="25"/>
        <v>9.777339832246982</v>
      </c>
      <c r="L71" s="30">
        <f t="shared" si="25"/>
        <v>9.0360822588963075</v>
      </c>
    </row>
    <row r="72" spans="1:12" ht="12.95">
      <c r="A72" t="str">
        <f t="shared" ref="A72:A76" si="26">A29</f>
        <v>Real estate</v>
      </c>
      <c r="B72" s="30">
        <f t="shared" ref="B72:E72" si="27">IF(AND(C$5-B$5 &lt;&gt; 0,B29&lt;&gt;0,C29&lt;&gt;0),(EXP(LN(C29/B29)/(C$5-B$5))-1)*100,0)</f>
        <v>0.62110430846624709</v>
      </c>
      <c r="C72" s="34">
        <f t="shared" si="27"/>
        <v>10.511674215102996</v>
      </c>
      <c r="D72" s="30">
        <f t="shared" si="27"/>
        <v>-0.64549854097271098</v>
      </c>
      <c r="E72" s="30">
        <f t="shared" si="27"/>
        <v>0.87378142030405392</v>
      </c>
      <c r="F72" s="34">
        <f t="shared" si="18"/>
        <v>0.36479081293476767</v>
      </c>
      <c r="H72" s="30">
        <f t="shared" ref="H72:L72" si="28">(B29/B$25)*100</f>
        <v>5.2442851492228888</v>
      </c>
      <c r="I72" s="30">
        <f t="shared" si="28"/>
        <v>5.0723335318845022</v>
      </c>
      <c r="J72" s="30">
        <f t="shared" si="28"/>
        <v>5.6995086271095312</v>
      </c>
      <c r="K72" s="30">
        <f t="shared" si="28"/>
        <v>5.3221165835409412</v>
      </c>
      <c r="L72" s="30">
        <f t="shared" si="28"/>
        <v>5.5026001558300317</v>
      </c>
    </row>
    <row r="73" spans="1:12" ht="12.95">
      <c r="A73" t="str">
        <f t="shared" si="26"/>
        <v>Professional services</v>
      </c>
      <c r="B73" s="30">
        <f t="shared" ref="B73:E73" si="29">IF(AND(C$5-B$5 &lt;&gt; 0,B30&lt;&gt;0,C30&lt;&gt;0),(EXP(LN(C30/B30)/(C$5-B$5))-1)*100,0)</f>
        <v>2.5274519586056421</v>
      </c>
      <c r="C73" s="34">
        <f t="shared" si="29"/>
        <v>-2.5882856710804703</v>
      </c>
      <c r="D73" s="30">
        <f t="shared" si="29"/>
        <v>0.98902502689348637</v>
      </c>
      <c r="E73" s="30">
        <f t="shared" si="29"/>
        <v>0.63301310664232169</v>
      </c>
      <c r="F73" s="34">
        <f t="shared" si="18"/>
        <v>0.75154407975916993</v>
      </c>
      <c r="H73" s="30">
        <f t="shared" ref="H73:L73" si="30">(B30/B$25)*100</f>
        <v>27.369396615557839</v>
      </c>
      <c r="I73" s="30">
        <f t="shared" si="30"/>
        <v>28.535866727218174</v>
      </c>
      <c r="J73" s="30">
        <f t="shared" si="30"/>
        <v>28.263354682079576</v>
      </c>
      <c r="K73" s="30">
        <f t="shared" si="30"/>
        <v>28.635438087608584</v>
      </c>
      <c r="L73" s="30">
        <f t="shared" si="30"/>
        <v>28.907408092650694</v>
      </c>
    </row>
    <row r="74" spans="1:12" ht="12.95">
      <c r="A74" t="str">
        <f t="shared" si="26"/>
        <v>Support services</v>
      </c>
      <c r="B74" s="30">
        <f t="shared" ref="B74:E74" si="31">IF(AND(C$5-B$5 &lt;&gt; 0,B31&lt;&gt;0,C31&lt;&gt;0),(EXP(LN(C31/B31)/(C$5-B$5))-1)*100,0)</f>
        <v>1.362337765677557</v>
      </c>
      <c r="C74" s="34">
        <f t="shared" si="31"/>
        <v>-5.9145356144420962</v>
      </c>
      <c r="D74" s="30">
        <f t="shared" si="31"/>
        <v>1.1581129426073256</v>
      </c>
      <c r="E74" s="30">
        <f t="shared" si="31"/>
        <v>0.6714762599209001</v>
      </c>
      <c r="F74" s="34">
        <f t="shared" si="18"/>
        <v>0.83342781413744405</v>
      </c>
      <c r="H74" s="30">
        <f>(B31/B$25)*100</f>
        <v>26.239696981129473</v>
      </c>
      <c r="I74" s="30">
        <f t="shared" ref="I74:L74" si="32">(C31/C$25)*100</f>
        <v>26.135479747406333</v>
      </c>
      <c r="J74" s="30">
        <f t="shared" si="32"/>
        <v>25.001983453419065</v>
      </c>
      <c r="K74" s="30">
        <f t="shared" si="32"/>
        <v>25.543904701353583</v>
      </c>
      <c r="L74" s="30">
        <f t="shared" si="32"/>
        <v>25.885241190987124</v>
      </c>
    </row>
    <row r="75" spans="1:12" ht="12.95">
      <c r="A75" t="str">
        <f t="shared" si="26"/>
        <v>Arts and entertainment</v>
      </c>
      <c r="B75" s="30">
        <f t="shared" ref="B75:E75" si="33">IF(AND(C$5-B$5 &lt;&gt; 0,B32&lt;&gt;0,C32&lt;&gt;0),(EXP(LN(C32/B32)/(C$5-B$5))-1)*100,0)</f>
        <v>0.79884322930838803</v>
      </c>
      <c r="C75" s="34">
        <f t="shared" si="33"/>
        <v>0.23484082764475556</v>
      </c>
      <c r="D75" s="30">
        <f t="shared" si="33"/>
        <v>0.47811881941839385</v>
      </c>
      <c r="E75" s="30">
        <f t="shared" si="33"/>
        <v>0.78434502564388442</v>
      </c>
      <c r="F75" s="34">
        <f t="shared" si="18"/>
        <v>0.68216606570450367</v>
      </c>
      <c r="H75" s="30">
        <f t="shared" ref="H75:L75" si="34">(B32/B$25)*100</f>
        <v>8.7702661419709447</v>
      </c>
      <c r="I75" s="30">
        <f t="shared" si="34"/>
        <v>8.5427983093370869</v>
      </c>
      <c r="J75" s="30">
        <f t="shared" si="34"/>
        <v>8.706434000578712</v>
      </c>
      <c r="K75" s="30">
        <f t="shared" si="34"/>
        <v>8.6001695933643436</v>
      </c>
      <c r="L75" s="30">
        <f t="shared" si="34"/>
        <v>8.8132959071885644</v>
      </c>
    </row>
    <row r="76" spans="1:12" ht="12.95">
      <c r="A76" t="str">
        <f t="shared" si="26"/>
        <v>Other services</v>
      </c>
      <c r="B76" s="30">
        <f t="shared" ref="B76:E76" si="35">IF(AND(C$5-B$5 &lt;&gt; 0,B33&lt;&gt;0,C33&lt;&gt;0),(EXP(LN(C33/B33)/(C$5-B$5))-1)*100,0)</f>
        <v>0.8477914787368368</v>
      </c>
      <c r="C76" s="34">
        <f t="shared" si="35"/>
        <v>-0.90392642737175954</v>
      </c>
      <c r="D76" s="30">
        <f t="shared" si="35"/>
        <v>-0.16076213844719023</v>
      </c>
      <c r="E76" s="30">
        <f t="shared" si="35"/>
        <v>7.7859821481673919E-2</v>
      </c>
      <c r="F76" s="34">
        <f t="shared" si="18"/>
        <v>-1.7441336366053051E-3</v>
      </c>
      <c r="H76" s="30">
        <f t="shared" ref="H76:L76" si="36">(B33/B$25)*100</f>
        <v>8.767527030935403</v>
      </c>
      <c r="I76" s="30">
        <f t="shared" si="36"/>
        <v>8.5567307888121569</v>
      </c>
      <c r="J76" s="30">
        <f t="shared" si="36"/>
        <v>8.6215583056692022</v>
      </c>
      <c r="K76" s="30">
        <f t="shared" si="36"/>
        <v>8.2489995703799437</v>
      </c>
      <c r="L76" s="30">
        <f t="shared" si="36"/>
        <v>7.8791965259792054</v>
      </c>
    </row>
    <row r="77" spans="1:12" ht="12.95">
      <c r="B77" s="30"/>
      <c r="C77" s="34"/>
      <c r="D77" s="30"/>
      <c r="E77" s="30"/>
      <c r="F77" s="34"/>
      <c r="H77" s="30"/>
      <c r="I77" s="30"/>
      <c r="J77" s="30"/>
      <c r="K77" s="30"/>
      <c r="L77" s="30"/>
    </row>
    <row r="78" spans="1:12" s="24" customFormat="1" ht="12.95">
      <c r="A78" s="24" t="str">
        <f>A35</f>
        <v>Non-marketed services</v>
      </c>
      <c r="B78" s="34">
        <f t="shared" ref="B78:E79" si="37">IF(AND(C$5-B$5 &lt;&gt; 0,B35&lt;&gt;0,C35&lt;&gt;0),(EXP(LN(C35/B35)/(C$5-B$5))-1)*100,0)</f>
        <v>0.72511383670565976</v>
      </c>
      <c r="C78" s="34">
        <f t="shared" ref="C78:C83" si="38">IF(AND(D$5-C$5 &lt;&gt; 0,C35&lt;&gt;0,D35&lt;&gt;0),(EXP(LN(D35/C35)/(D$5-C$5))-1)*100,0)</f>
        <v>0.41722821577374614</v>
      </c>
      <c r="D78" s="34">
        <f t="shared" si="37"/>
        <v>0.74598243599566239</v>
      </c>
      <c r="E78" s="34">
        <f t="shared" si="37"/>
        <v>0.47782258721897897</v>
      </c>
      <c r="F78" s="34">
        <f t="shared" si="18"/>
        <v>0.56712980146322867</v>
      </c>
      <c r="H78" s="34">
        <f>(B35/B$40)*100</f>
        <v>24.599534787574644</v>
      </c>
      <c r="I78" s="34">
        <f>(C35/C$40)*100</f>
        <v>24.016279876261827</v>
      </c>
      <c r="J78" s="34">
        <f>(D35/D$40)*100</f>
        <v>24.401650506600923</v>
      </c>
      <c r="K78" s="34">
        <f>(E35/E$40)*100</f>
        <v>24.588434279475788</v>
      </c>
      <c r="L78" s="34">
        <f>(F35/F$40)*100</f>
        <v>24.731189567793884</v>
      </c>
    </row>
    <row r="79" spans="1:12" ht="12.95">
      <c r="A79" t="str">
        <f>A36</f>
        <v>Public admin. and defence</v>
      </c>
      <c r="B79" s="30">
        <f t="shared" si="37"/>
        <v>0.30793723289141983</v>
      </c>
      <c r="C79" s="34">
        <f t="shared" si="38"/>
        <v>4.0163164621594527</v>
      </c>
      <c r="D79" s="30">
        <f t="shared" si="37"/>
        <v>0.52127477330379257</v>
      </c>
      <c r="E79" s="30">
        <f t="shared" si="37"/>
        <v>0.19617677247598664</v>
      </c>
      <c r="F79" s="34">
        <f t="shared" si="18"/>
        <v>0.30442578158296207</v>
      </c>
      <c r="H79" s="30">
        <f>(B36/B$35)*100</f>
        <v>14.905185419555595</v>
      </c>
      <c r="I79" s="30">
        <f t="shared" ref="I79:L81" si="39">(C36/C$35)*100</f>
        <v>14.659782047426237</v>
      </c>
      <c r="J79" s="30">
        <f t="shared" si="39"/>
        <v>15.185208313406164</v>
      </c>
      <c r="K79" s="30">
        <f t="shared" si="39"/>
        <v>15.016613747556384</v>
      </c>
      <c r="L79" s="30">
        <f t="shared" si="39"/>
        <v>14.600958353514867</v>
      </c>
    </row>
    <row r="80" spans="1:12" ht="12.95">
      <c r="A80" t="str">
        <f>A37</f>
        <v>Education</v>
      </c>
      <c r="B80" s="30">
        <f t="shared" ref="B80:E81" si="40">IF(AND(C$5-B$5 &lt;&gt; 0,B37&lt;&gt;0,C37&lt;&gt;0),(EXP(LN(C37/B37)/(C$5-B$5))-1)*100,0)</f>
        <v>-3.4808041680745028E-2</v>
      </c>
      <c r="C80" s="34">
        <f t="shared" si="38"/>
        <v>0.31622962155473111</v>
      </c>
      <c r="D80" s="30">
        <f t="shared" si="40"/>
        <v>9.1026887514988886E-2</v>
      </c>
      <c r="E80" s="30">
        <f t="shared" si="40"/>
        <v>0.34800896913445012</v>
      </c>
      <c r="F80" s="34">
        <f t="shared" si="18"/>
        <v>0.26227504797926571</v>
      </c>
      <c r="H80" s="30">
        <f>(B37/B$35)*100</f>
        <v>35.852089963864984</v>
      </c>
      <c r="I80" s="30">
        <f t="shared" si="39"/>
        <v>34.78232646981099</v>
      </c>
      <c r="J80" s="30">
        <f t="shared" si="39"/>
        <v>34.747342770902577</v>
      </c>
      <c r="K80" s="30">
        <f t="shared" si="39"/>
        <v>33.632460564384843</v>
      </c>
      <c r="L80" s="30">
        <f t="shared" si="39"/>
        <v>33.20045919139055</v>
      </c>
    </row>
    <row r="81" spans="1:12" ht="12.95">
      <c r="A81" t="str">
        <f>A38</f>
        <v>Health and social work</v>
      </c>
      <c r="B81" s="30">
        <f>IF(AND(C$5-B$5 &lt;&gt; 0,B38&lt;&gt;0,C38&lt;&gt;0),(EXP(LN(C38/B38)/(C$5-B$5))-1)*100,0)</f>
        <v>1.3910187124869688</v>
      </c>
      <c r="C81" s="34">
        <f t="shared" si="38"/>
        <v>-0.55688050869988626</v>
      </c>
      <c r="D81" s="30">
        <f t="shared" si="40"/>
        <v>1.2572897754293377</v>
      </c>
      <c r="E81" s="30">
        <f t="shared" si="40"/>
        <v>0.64246338999944808</v>
      </c>
      <c r="F81" s="34">
        <f t="shared" si="18"/>
        <v>0.8469895975561359</v>
      </c>
      <c r="H81" s="30">
        <f>(B38/B$35)*100</f>
        <v>49.242724616579416</v>
      </c>
      <c r="I81" s="30">
        <f t="shared" si="39"/>
        <v>50.55789148276277</v>
      </c>
      <c r="J81" s="30">
        <f t="shared" si="39"/>
        <v>50.067448915691259</v>
      </c>
      <c r="K81" s="30">
        <f t="shared" si="39"/>
        <v>51.350925688058766</v>
      </c>
      <c r="L81" s="30">
        <f t="shared" si="39"/>
        <v>52.198582455094588</v>
      </c>
    </row>
    <row r="82" spans="1:12" ht="12.95">
      <c r="B82" s="30"/>
      <c r="C82" s="34"/>
      <c r="D82" s="30"/>
      <c r="E82" s="30"/>
      <c r="F82" s="34"/>
      <c r="H82" s="30"/>
      <c r="I82" s="30"/>
      <c r="J82" s="30"/>
      <c r="K82" s="30"/>
      <c r="L82" s="30"/>
    </row>
    <row r="83" spans="1:12" ht="12.95">
      <c r="A83" s="21" t="str">
        <f>A40</f>
        <v>All industries</v>
      </c>
      <c r="B83" s="33">
        <f>IF(AND(C$5-B$5 &lt;&gt; 0,B40&lt;&gt;0,C40&lt;&gt;0),(EXP(LN(C40/B40)/(C$5-B$5))-1)*100,0)</f>
        <v>1.3311698180238807</v>
      </c>
      <c r="C83" s="183">
        <f t="shared" si="38"/>
        <v>-1.1686419909956669</v>
      </c>
      <c r="D83" s="33">
        <f>IF(AND(E$5-D$5 &lt;&gt; 0,D40&lt;&gt;0,E40&lt;&gt;0),(EXP(LN(E40/D40)/(E$5-D$5))-1)*100,0)</f>
        <v>0.59245370532166053</v>
      </c>
      <c r="E83" s="33">
        <f>IF(AND(F$5-E$5 &lt;&gt; 0,E40&lt;&gt;0,F40&lt;&gt;0),(EXP(LN(F40/E40)/(F$5-E$5))-1)*100,0)</f>
        <v>0.41967279423580361</v>
      </c>
      <c r="F83" s="183">
        <f t="shared" si="18"/>
        <v>0.47723343115717576</v>
      </c>
      <c r="G83" s="21"/>
      <c r="H83" s="33">
        <f>(B40/B$40)*100</f>
        <v>100</v>
      </c>
      <c r="I83" s="33">
        <f>(C40/C$40)*100</f>
        <v>100</v>
      </c>
      <c r="J83" s="33">
        <f>(D40/D$40)*100</f>
        <v>100</v>
      </c>
      <c r="K83" s="33">
        <f>(E40/E$40)*100</f>
        <v>100</v>
      </c>
      <c r="L83" s="33">
        <f>(F40/F$40)*100</f>
        <v>100</v>
      </c>
    </row>
    <row r="86" spans="1:12" ht="12.95">
      <c r="A86" s="28"/>
      <c r="B86" s="23" t="s">
        <v>125</v>
      </c>
      <c r="C86" s="23"/>
    </row>
    <row r="87" spans="1:12" ht="12.95">
      <c r="A87" s="21"/>
      <c r="B87" s="29" t="str">
        <f>B5&amp;"-"&amp;D5</f>
        <v>2015-2020</v>
      </c>
      <c r="C87" s="29" t="str">
        <f>F48</f>
        <v>2020-2035</v>
      </c>
    </row>
    <row r="89" spans="1:12" ht="12.95">
      <c r="A89" s="24" t="str">
        <f>A7</f>
        <v>Primary sector and utilities</v>
      </c>
      <c r="B89" s="34">
        <f>IF(AND(D$5-B$5 &lt;&gt; 0,B7&lt;&gt;0,D7&lt;&gt;0),(EXP(LN(D7/B7)/(D$5-B$5))-1)*100,0)</f>
        <v>-2.3498241757269334E-2</v>
      </c>
      <c r="C89" s="34">
        <f>IF(AND(F$5-D$5 &lt;&gt; 0,D7&lt;&gt;0,F7&lt;&gt;0),(EXP(LN(F7/D7)/(F$5-D$5))-1)*100,0)</f>
        <v>0.20432106620318358</v>
      </c>
    </row>
    <row r="90" spans="1:12" ht="12.95">
      <c r="A90" s="24" t="str">
        <f t="shared" ref="A90:A122" si="41">A8</f>
        <v>Agriculture</v>
      </c>
      <c r="B90" s="34">
        <f t="shared" ref="B90:B122" si="42">IF(AND(D$5-B$5 &lt;&gt; 0,B8&lt;&gt;0,D8&lt;&gt;0),(EXP(LN(D8/B8)/(D$5-B$5))-1)*100,0)</f>
        <v>-1.8136034085011188</v>
      </c>
      <c r="C90" s="34">
        <f t="shared" ref="C90:C122" si="43">IF(AND(F$5-D$5 &lt;&gt; 0,D8&lt;&gt;0,F8&lt;&gt;0),(EXP(LN(F8/D8)/(F$5-D$5))-1)*100,0)</f>
        <v>0.2582529080175755</v>
      </c>
    </row>
    <row r="91" spans="1:12" ht="12.95">
      <c r="A91" s="24" t="str">
        <f t="shared" si="41"/>
        <v>Mining and quarrying</v>
      </c>
      <c r="B91" s="34">
        <f t="shared" si="42"/>
        <v>-4.2157603060086535</v>
      </c>
      <c r="C91" s="34">
        <f t="shared" si="43"/>
        <v>-3.3506240374576501</v>
      </c>
    </row>
    <row r="92" spans="1:12" ht="12.95">
      <c r="A92" s="24" t="str">
        <f t="shared" si="41"/>
        <v>Electricity and gas</v>
      </c>
      <c r="B92" s="34">
        <f t="shared" si="42"/>
        <v>3.7465694631855007</v>
      </c>
      <c r="C92" s="34">
        <f t="shared" si="43"/>
        <v>-0.30028462788562749</v>
      </c>
    </row>
    <row r="93" spans="1:12" ht="12.95">
      <c r="A93" s="24" t="str">
        <f t="shared" si="41"/>
        <v>Water and sewerage</v>
      </c>
      <c r="B93" s="34">
        <f t="shared" si="42"/>
        <v>0.99169869949204958</v>
      </c>
      <c r="C93" s="34">
        <f t="shared" si="43"/>
        <v>0.83615818439963796</v>
      </c>
    </row>
    <row r="94" spans="1:12" ht="12.95">
      <c r="A94" s="24"/>
      <c r="B94" s="34"/>
      <c r="C94" s="34"/>
    </row>
    <row r="95" spans="1:12" ht="12.95">
      <c r="A95" s="24" t="str">
        <f t="shared" si="41"/>
        <v>Manufacturing</v>
      </c>
      <c r="B95" s="34">
        <f t="shared" si="42"/>
        <v>9.7804441517013174E-2</v>
      </c>
      <c r="C95" s="34">
        <f t="shared" si="43"/>
        <v>-0.79519796718666713</v>
      </c>
    </row>
    <row r="96" spans="1:12" ht="12.95">
      <c r="A96" s="24" t="str">
        <f t="shared" si="41"/>
        <v>Food drink and tobacco</v>
      </c>
      <c r="B96" s="34">
        <f t="shared" si="42"/>
        <v>1.6213182094422018</v>
      </c>
      <c r="C96" s="34">
        <f t="shared" si="43"/>
        <v>-9.530369539735295E-2</v>
      </c>
    </row>
    <row r="97" spans="1:3" ht="12.95">
      <c r="A97" s="24" t="str">
        <f t="shared" si="41"/>
        <v>Engineering</v>
      </c>
      <c r="B97" s="34">
        <f t="shared" si="42"/>
        <v>-0.51864643088121998</v>
      </c>
      <c r="C97" s="34">
        <f t="shared" si="43"/>
        <v>-0.70483169270012525</v>
      </c>
    </row>
    <row r="98" spans="1:3" ht="12.95">
      <c r="A98" s="24" t="str">
        <f t="shared" si="41"/>
        <v>Rest of manufacturing</v>
      </c>
      <c r="B98" s="34">
        <f t="shared" si="42"/>
        <v>-0.1196134386245884</v>
      </c>
      <c r="C98" s="34">
        <f t="shared" si="43"/>
        <v>-0.99524754165890572</v>
      </c>
    </row>
    <row r="99" spans="1:3" ht="12.95">
      <c r="A99" s="24"/>
      <c r="B99" s="34"/>
      <c r="C99" s="34"/>
    </row>
    <row r="100" spans="1:3" ht="12.95">
      <c r="A100" s="24" t="str">
        <f t="shared" si="41"/>
        <v>Construction</v>
      </c>
      <c r="B100" s="34">
        <f t="shared" si="42"/>
        <v>2.1234584778490717</v>
      </c>
      <c r="C100" s="34">
        <f t="shared" si="43"/>
        <v>0.7947224746771564</v>
      </c>
    </row>
    <row r="101" spans="1:3" ht="12.95">
      <c r="A101" s="24"/>
      <c r="B101" s="34"/>
      <c r="C101" s="34"/>
    </row>
    <row r="102" spans="1:3" ht="12.95">
      <c r="A102" s="24" t="str">
        <f t="shared" si="41"/>
        <v>Trade, accomod. and transport</v>
      </c>
      <c r="B102" s="34">
        <f t="shared" si="42"/>
        <v>0.92222477880190556</v>
      </c>
      <c r="C102" s="34">
        <f t="shared" si="43"/>
        <v>0.50021003051778923</v>
      </c>
    </row>
    <row r="103" spans="1:3" ht="12.95">
      <c r="A103" s="24" t="str">
        <f t="shared" si="41"/>
        <v>Wholesale and retail trade</v>
      </c>
      <c r="B103" s="34">
        <f t="shared" si="42"/>
        <v>8.2917327349796288E-2</v>
      </c>
      <c r="C103" s="34">
        <f t="shared" si="43"/>
        <v>0.10693761109610289</v>
      </c>
    </row>
    <row r="104" spans="1:3" ht="12.95">
      <c r="A104" s="24" t="str">
        <f t="shared" si="41"/>
        <v>Transport and storage</v>
      </c>
      <c r="B104" s="34">
        <f t="shared" si="42"/>
        <v>2.4897454361838767</v>
      </c>
      <c r="C104" s="34">
        <f t="shared" si="43"/>
        <v>0.55958773798108208</v>
      </c>
    </row>
    <row r="105" spans="1:3" ht="12.95">
      <c r="A105" s="24" t="str">
        <f t="shared" si="41"/>
        <v>Accommodation and food</v>
      </c>
      <c r="B105" s="34">
        <f t="shared" si="42"/>
        <v>1.5713701741672637</v>
      </c>
      <c r="C105" s="34">
        <f t="shared" si="43"/>
        <v>1.2174819602314813</v>
      </c>
    </row>
    <row r="106" spans="1:3" ht="12.95">
      <c r="A106" s="24"/>
      <c r="B106" s="34"/>
      <c r="C106" s="34"/>
    </row>
    <row r="107" spans="1:3" ht="12.95">
      <c r="A107" s="24" t="str">
        <f t="shared" si="41"/>
        <v>Business and other services</v>
      </c>
      <c r="B107" s="34">
        <f t="shared" si="42"/>
        <v>0.83299606432851725</v>
      </c>
      <c r="C107" s="34">
        <f t="shared" si="43"/>
        <v>0.60031664774355953</v>
      </c>
    </row>
    <row r="108" spans="1:3" ht="12.95">
      <c r="A108" s="24" t="str">
        <f t="shared" si="41"/>
        <v>Media</v>
      </c>
      <c r="B108" s="34">
        <f t="shared" si="42"/>
        <v>0.52053197283590258</v>
      </c>
      <c r="C108" s="34">
        <f t="shared" si="43"/>
        <v>0.15606589056480491</v>
      </c>
    </row>
    <row r="109" spans="1:3" ht="12.95">
      <c r="A109" s="24" t="str">
        <f t="shared" si="41"/>
        <v>Information technology</v>
      </c>
      <c r="B109" s="34">
        <f t="shared" si="42"/>
        <v>1.3563142447179377</v>
      </c>
      <c r="C109" s="34">
        <f t="shared" si="43"/>
        <v>0.99807042342914265</v>
      </c>
    </row>
    <row r="110" spans="1:3" ht="12.95">
      <c r="A110" s="24" t="str">
        <f t="shared" si="41"/>
        <v>Finance and insurance</v>
      </c>
      <c r="B110" s="34">
        <f t="shared" si="42"/>
        <v>0.62634354624477862</v>
      </c>
      <c r="C110" s="34">
        <f t="shared" si="43"/>
        <v>-0.15680833862264931</v>
      </c>
    </row>
    <row r="111" spans="1:3" ht="12.95">
      <c r="A111" s="24" t="str">
        <f t="shared" si="41"/>
        <v>Real estate</v>
      </c>
      <c r="B111" s="34">
        <f t="shared" si="42"/>
        <v>2.5257358893955528</v>
      </c>
      <c r="C111" s="34">
        <f t="shared" si="43"/>
        <v>0.36479081293476767</v>
      </c>
    </row>
    <row r="112" spans="1:3" ht="12.95">
      <c r="A112" s="24" t="str">
        <f t="shared" si="41"/>
        <v>Professional services</v>
      </c>
      <c r="B112" s="34">
        <f t="shared" si="42"/>
        <v>1.4832503936236474</v>
      </c>
      <c r="C112" s="34">
        <f t="shared" si="43"/>
        <v>0.75154407975916993</v>
      </c>
    </row>
    <row r="113" spans="1:3" ht="12.95">
      <c r="A113" s="24" t="str">
        <f t="shared" si="41"/>
        <v>Support services</v>
      </c>
      <c r="B113" s="34">
        <f t="shared" si="42"/>
        <v>-0.1367257693040691</v>
      </c>
      <c r="C113" s="34">
        <f t="shared" si="43"/>
        <v>0.83342781413744405</v>
      </c>
    </row>
    <row r="114" spans="1:3" ht="12.95">
      <c r="A114" s="24" t="str">
        <f t="shared" si="41"/>
        <v>Arts and entertainment</v>
      </c>
      <c r="B114" s="34">
        <f t="shared" si="42"/>
        <v>0.68578943588668562</v>
      </c>
      <c r="C114" s="34">
        <f t="shared" si="43"/>
        <v>0.68216606570450367</v>
      </c>
    </row>
    <row r="115" spans="1:3" ht="12.95">
      <c r="A115" s="24" t="str">
        <f t="shared" si="41"/>
        <v>Other services</v>
      </c>
      <c r="B115" s="34">
        <f t="shared" si="42"/>
        <v>0.49498804030321253</v>
      </c>
      <c r="C115" s="34">
        <f t="shared" si="43"/>
        <v>-1.7441336366053051E-3</v>
      </c>
    </row>
    <row r="116" spans="1:3" ht="12.95">
      <c r="A116" s="24"/>
      <c r="B116" s="34"/>
      <c r="C116" s="34"/>
    </row>
    <row r="117" spans="1:3" ht="12.95">
      <c r="A117" s="24" t="str">
        <f t="shared" si="41"/>
        <v>Non-marketed services</v>
      </c>
      <c r="B117" s="34">
        <f t="shared" si="42"/>
        <v>0.6634612852280064</v>
      </c>
      <c r="C117" s="34">
        <f t="shared" si="43"/>
        <v>0.56712980146322867</v>
      </c>
    </row>
    <row r="118" spans="1:3" ht="12.95">
      <c r="A118" s="24" t="str">
        <f t="shared" si="41"/>
        <v>Public admin. and defence</v>
      </c>
      <c r="B118" s="34">
        <f t="shared" si="42"/>
        <v>1.0388823568234118</v>
      </c>
      <c r="C118" s="34">
        <f t="shared" si="43"/>
        <v>0.30442578158296207</v>
      </c>
    </row>
    <row r="119" spans="1:3" ht="12.95">
      <c r="A119" s="24" t="str">
        <f t="shared" si="41"/>
        <v>Education</v>
      </c>
      <c r="B119" s="34">
        <f t="shared" si="42"/>
        <v>3.5301081958238889E-2</v>
      </c>
      <c r="C119" s="34">
        <f t="shared" si="43"/>
        <v>0.26227504797926571</v>
      </c>
    </row>
    <row r="120" spans="1:3" ht="12.95">
      <c r="A120" s="24" t="str">
        <f t="shared" si="41"/>
        <v>Health and social work</v>
      </c>
      <c r="B120" s="34">
        <f t="shared" si="42"/>
        <v>0.99841008281351673</v>
      </c>
      <c r="C120" s="34">
        <f t="shared" si="43"/>
        <v>0.8469895975561359</v>
      </c>
    </row>
    <row r="121" spans="1:3" ht="12.95">
      <c r="A121" s="24"/>
      <c r="B121" s="34"/>
      <c r="C121" s="34"/>
    </row>
    <row r="122" spans="1:3" ht="12.95">
      <c r="A122" s="315" t="str">
        <f t="shared" si="41"/>
        <v>All industries</v>
      </c>
      <c r="B122" s="183">
        <f t="shared" si="42"/>
        <v>0.82619957207434869</v>
      </c>
      <c r="C122" s="183">
        <f t="shared" si="43"/>
        <v>0.47723343115717576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6"/>
  <cols>
    <col min="1" max="1" width="22.140625" style="258" customWidth="1"/>
    <col min="2" max="2" width="9.140625" style="259"/>
    <col min="3" max="3" width="9.28515625" style="258" customWidth="1"/>
    <col min="4" max="4" width="9.140625" style="259"/>
    <col min="5" max="5" width="9.28515625" style="258" customWidth="1"/>
    <col min="6" max="6" width="9.140625" style="259"/>
    <col min="7" max="7" width="9.28515625" style="258" customWidth="1"/>
    <col min="8" max="8" width="9.140625" style="259"/>
    <col min="9" max="9" width="9.28515625" style="258" customWidth="1"/>
    <col min="10" max="10" width="5.5703125" style="258" customWidth="1"/>
    <col min="11" max="14" width="9.28515625" style="259" customWidth="1"/>
    <col min="15" max="16384" width="9.140625" style="258"/>
  </cols>
  <sheetData>
    <row r="1" spans="1:17" ht="15.6">
      <c r="A1" s="17" t="str">
        <f>CONCATENATE("Industry Table 5  Employment status by Industry (SIC 2007) and Gender, ",A$8,"-",A$18,", ",Info!B5)</f>
        <v>Industry Table 5  Employment status by Industry (SIC 2007) and Gender, 2020-2035, England</v>
      </c>
    </row>
    <row r="2" spans="1:17" ht="12.95">
      <c r="A2" s="1" t="s">
        <v>127</v>
      </c>
    </row>
    <row r="5" spans="1:17" ht="12.95">
      <c r="A5" s="264"/>
      <c r="B5" s="265" t="s">
        <v>133</v>
      </c>
      <c r="C5" s="264"/>
      <c r="D5" s="265"/>
      <c r="E5" s="264"/>
      <c r="F5" s="265" t="str">
        <f>name!B3</f>
        <v>All industries</v>
      </c>
      <c r="G5" s="264"/>
      <c r="H5" s="267"/>
      <c r="I5" s="264"/>
      <c r="J5" s="266"/>
      <c r="K5" s="267"/>
      <c r="L5" s="267"/>
      <c r="M5" s="267"/>
      <c r="N5" s="267"/>
    </row>
    <row r="6" spans="1:17" ht="12.95">
      <c r="N6" s="263" t="s">
        <v>134</v>
      </c>
    </row>
    <row r="7" spans="1:17" ht="12.95">
      <c r="A7" s="272" t="s">
        <v>135</v>
      </c>
      <c r="B7" s="365" t="s">
        <v>136</v>
      </c>
      <c r="C7" s="365"/>
      <c r="D7" s="365" t="s">
        <v>137</v>
      </c>
      <c r="E7" s="365"/>
      <c r="F7" s="365" t="s">
        <v>138</v>
      </c>
      <c r="G7" s="365"/>
      <c r="H7" s="365" t="s">
        <v>119</v>
      </c>
      <c r="I7" s="365"/>
      <c r="J7" s="272"/>
      <c r="K7" s="273" t="s">
        <v>139</v>
      </c>
      <c r="L7" s="273" t="s">
        <v>140</v>
      </c>
      <c r="M7" s="273" t="s">
        <v>141</v>
      </c>
      <c r="N7" s="273" t="s">
        <v>119</v>
      </c>
    </row>
    <row r="8" spans="1:17" ht="12.95">
      <c r="A8" s="262">
        <f>'Ind T6'!L5</f>
        <v>2020</v>
      </c>
      <c r="B8" s="263" t="s">
        <v>142</v>
      </c>
      <c r="C8" s="18" t="s">
        <v>143</v>
      </c>
      <c r="D8" s="263" t="s">
        <v>142</v>
      </c>
      <c r="E8" s="18" t="s">
        <v>143</v>
      </c>
      <c r="F8" s="263" t="s">
        <v>142</v>
      </c>
      <c r="G8" s="18" t="s">
        <v>143</v>
      </c>
      <c r="H8" s="263" t="s">
        <v>142</v>
      </c>
      <c r="I8" s="18" t="s">
        <v>143</v>
      </c>
      <c r="J8" s="158"/>
      <c r="K8" s="262" t="str">
        <f>CONCATENATE(A8," - ",A13)</f>
        <v>2020 - 2025</v>
      </c>
      <c r="L8" s="261"/>
      <c r="M8" s="261"/>
    </row>
    <row r="9" spans="1:17">
      <c r="A9" s="258" t="s">
        <v>144</v>
      </c>
      <c r="B9" s="225">
        <f>SUM(B30,B51,B72,B93,B114,B135,B156,B177,B198,B219,B240,B261,B282,B303,B324,B345,B366,B387,B408,B429,B450,B471)</f>
        <v>10674.974999994565</v>
      </c>
      <c r="C9" s="275" t="str">
        <f>CONCATENATE("(",ROUND((B9/$H11)*100,1),")")</f>
        <v>(35.8)</v>
      </c>
      <c r="D9" s="225">
        <f>SUM(D30,D51,D72,D93,D114,D135,D156,D177,D198,D219,D240,D261,D282,D303,D324,D345,D366,D387,D408,D429,D450,D471)</f>
        <v>2506.5630000017954</v>
      </c>
      <c r="E9" s="275" t="str">
        <f>CONCATENATE("(",ROUND((D9/$H11)*100,1),")")</f>
        <v>(8.4)</v>
      </c>
      <c r="F9" s="225">
        <f>SUM(F30,F51,F72,F93,F114,F135,F156,F177,F198,F219,F240,F261,F282,F303,F324,F345,F366,F387,F408,F429,F450,F471)</f>
        <v>2297.9780000038991</v>
      </c>
      <c r="G9" s="275" t="str">
        <f>CONCATENATE("(",ROUND((F9/$H11)*100,1),")")</f>
        <v>(7.7)</v>
      </c>
      <c r="H9" s="225">
        <f>SUM(H30,H51,H72,H93,H114,H135,H156,H177,H198,H219,H240,H261,H282,H303,H324,H345,H366,H387,H408,H429,H450,H471)</f>
        <v>15479.51600000026</v>
      </c>
      <c r="I9" s="275" t="str">
        <f>CONCATENATE("(",ROUND((H9/$H11)*100,1),")")</f>
        <v>(51.8)</v>
      </c>
      <c r="K9" s="225">
        <f>B14-B9</f>
        <v>242.13100000478153</v>
      </c>
      <c r="L9" s="225">
        <f>D14-D9</f>
        <v>94.314999998202893</v>
      </c>
      <c r="M9" s="225">
        <f>F14-F9</f>
        <v>94.225999999565374</v>
      </c>
      <c r="N9" s="225">
        <f>SUM(K9:M9)</f>
        <v>430.67200000254979</v>
      </c>
      <c r="O9" s="274"/>
      <c r="P9" s="274"/>
      <c r="Q9" s="274"/>
    </row>
    <row r="10" spans="1:17">
      <c r="A10" s="258" t="s">
        <v>145</v>
      </c>
      <c r="B10" s="225">
        <f t="shared" ref="B10:B21" si="0">SUM(B31,B52,B73,B94,B115,B136,B157,B178,B199,B220,B241,B262,B283,B304,B325,B346,B367,B388,B409,B430,B451,B472)</f>
        <v>6988.2549999923549</v>
      </c>
      <c r="C10" s="275" t="str">
        <f>CONCATENATE("(",ROUND((B10/$H11)*100,1),")")</f>
        <v>(23.4)</v>
      </c>
      <c r="D10" s="225">
        <f t="shared" ref="D10" si="1">SUM(D31,D52,D73,D94,D115,D136,D157,D178,D199,D220,D241,D262,D283,D304,D325,D346,D367,D388,D409,D430,D451,D472)</f>
        <v>5927.1820000071666</v>
      </c>
      <c r="E10" s="275" t="str">
        <f>CONCATENATE("(",ROUND((D10/$H11)*100,1),")")</f>
        <v>(19.9)</v>
      </c>
      <c r="F10" s="225">
        <f t="shared" ref="F10" si="2">SUM(F31,F52,F73,F94,F115,F136,F157,F178,F199,F220,F241,F262,F283,F304,F325,F346,F367,F388,F409,F430,F451,F472)</f>
        <v>1464.7279999954267</v>
      </c>
      <c r="G10" s="275" t="str">
        <f>CONCATENATE("(",ROUND((F10/$H11)*100,1),")")</f>
        <v>(4.9)</v>
      </c>
      <c r="H10" s="225">
        <f t="shared" ref="H10" si="3">SUM(H31,H52,H73,H94,H115,H136,H157,H178,H199,H220,H241,H262,H283,H304,H325,H346,H367,H388,H409,H430,H451,H472)</f>
        <v>14380.164999994948</v>
      </c>
      <c r="I10" s="275" t="str">
        <f>CONCATENATE("(",ROUND((H10/$H11)*100,1),")")</f>
        <v>(48.2)</v>
      </c>
      <c r="K10" s="225">
        <f t="shared" ref="K10:K11" si="4">B15-B10</f>
        <v>332.6930000195407</v>
      </c>
      <c r="L10" s="225">
        <f t="shared" ref="L10:L11" si="5">D15-D10</f>
        <v>79.359999989675089</v>
      </c>
      <c r="M10" s="225">
        <f t="shared" ref="M10:M11" si="6">F15-F10</f>
        <v>52.342000003752219</v>
      </c>
      <c r="N10" s="225">
        <f t="shared" ref="N10:N11" si="7">SUM(K10:M10)</f>
        <v>464.39500001296801</v>
      </c>
      <c r="O10" s="274"/>
      <c r="P10" s="274"/>
      <c r="Q10" s="274"/>
    </row>
    <row r="11" spans="1:17">
      <c r="A11" s="258" t="s">
        <v>146</v>
      </c>
      <c r="B11" s="225">
        <f t="shared" si="0"/>
        <v>17663.229999986921</v>
      </c>
      <c r="C11" s="275" t="str">
        <f>CONCATENATE("(",ROUND((B11/$H11)*100,1),")")</f>
        <v>(59.2)</v>
      </c>
      <c r="D11" s="225">
        <f t="shared" ref="D11" si="8">SUM(D32,D53,D74,D95,D116,D137,D158,D179,D200,D221,D242,D263,D284,D305,D326,D347,D368,D389,D410,D431,D452,D473)</f>
        <v>8433.7450000089611</v>
      </c>
      <c r="E11" s="275" t="str">
        <f>CONCATENATE("(",ROUND((D11/$H11)*100,1),")")</f>
        <v>(28.2)</v>
      </c>
      <c r="F11" s="225">
        <f t="shared" ref="F11" si="9">SUM(F32,F53,F74,F95,F116,F137,F158,F179,F200,F221,F242,F263,F284,F305,F326,F347,F368,F389,F410,F431,F452,F473)</f>
        <v>3762.7059999993262</v>
      </c>
      <c r="G11" s="275" t="str">
        <f>CONCATENATE("(",ROUND((F11/$H11)*100,1),")")</f>
        <v>(12.6)</v>
      </c>
      <c r="H11" s="225">
        <f t="shared" ref="H11" si="10">SUM(H32,H53,H74,H95,H116,H137,H158,H179,H200,H221,H242,H263,H284,H305,H326,H347,H368,H389,H410,H431,H452,H473)</f>
        <v>29859.680999995209</v>
      </c>
      <c r="I11" s="275" t="str">
        <f>CONCATENATE("(",ROUND((H11/$H11)*100,1),")")</f>
        <v>(100)</v>
      </c>
      <c r="K11" s="225">
        <f t="shared" si="4"/>
        <v>574.82400002432041</v>
      </c>
      <c r="L11" s="225">
        <f t="shared" si="5"/>
        <v>173.67499998787753</v>
      </c>
      <c r="M11" s="225">
        <f t="shared" si="6"/>
        <v>146.56800000331668</v>
      </c>
      <c r="N11" s="225">
        <f t="shared" si="7"/>
        <v>895.06700001551462</v>
      </c>
      <c r="O11" s="274"/>
      <c r="P11" s="274"/>
      <c r="Q11" s="274"/>
    </row>
    <row r="12" spans="1:17">
      <c r="B12" s="225"/>
      <c r="C12" s="260"/>
      <c r="D12" s="225"/>
      <c r="E12" s="260"/>
      <c r="F12" s="225"/>
      <c r="G12" s="260"/>
      <c r="H12" s="225"/>
      <c r="I12" s="260"/>
    </row>
    <row r="13" spans="1:17" ht="12.95">
      <c r="A13" s="262">
        <f>'Ind T6'!Q5</f>
        <v>2025</v>
      </c>
      <c r="B13" s="225"/>
      <c r="C13" s="260"/>
      <c r="D13" s="225"/>
      <c r="E13" s="260"/>
      <c r="F13" s="225"/>
      <c r="G13" s="260"/>
      <c r="H13" s="225"/>
      <c r="I13" s="260"/>
      <c r="K13" s="262" t="str">
        <f>CONCATENATE(A13," - ",A18)</f>
        <v>2025 - 2035</v>
      </c>
    </row>
    <row r="14" spans="1:17">
      <c r="A14" s="258" t="s">
        <v>144</v>
      </c>
      <c r="B14" s="225">
        <f>SUM(B35,B56,B77,B98,B119,B140,B161,B182,B203,B224,B245,B266,B287,B308,B329,B350,B371,B392,B413,B434,B455,B476)</f>
        <v>10917.105999999347</v>
      </c>
      <c r="C14" s="275" t="str">
        <f>CONCATENATE("(",ROUND((B14/$H16)*100,1),")")</f>
        <v>(35.5)</v>
      </c>
      <c r="D14" s="225">
        <f t="shared" ref="D14" si="11">SUM(D35,D56,D77,D98,D119,D140,D161,D182,D203,D224,D245,D266,D287,D308,D329,D350,D371,D392,D413,D434,D455,D476)</f>
        <v>2600.8779999999983</v>
      </c>
      <c r="E14" s="275" t="str">
        <f>CONCATENATE("(",ROUND((D14/$H16)*100,1),")")</f>
        <v>(8.5)</v>
      </c>
      <c r="F14" s="225">
        <f t="shared" ref="F14" si="12">SUM(F35,F56,F77,F98,F119,F140,F161,F182,F203,F224,F245,F266,F287,F308,F329,F350,F371,F392,F413,F434,F455,F476)</f>
        <v>2392.2040000034644</v>
      </c>
      <c r="G14" s="275" t="str">
        <f>CONCATENATE("(",ROUND((F14/$H16)*100,1),")")</f>
        <v>(7.8)</v>
      </c>
      <c r="H14" s="225">
        <f t="shared" ref="H14" si="13">SUM(H35,H56,H77,H98,H119,H140,H161,H182,H203,H224,H245,H266,H287,H308,H329,H350,H371,H392,H413,H434,H455,H476)</f>
        <v>15910.188000002809</v>
      </c>
      <c r="I14" s="275" t="str">
        <f>CONCATENATE("(",ROUND((H14/$H16)*100,1),")")</f>
        <v>(51.7)</v>
      </c>
      <c r="K14" s="225">
        <f>B19-B14</f>
        <v>237.01699999793527</v>
      </c>
      <c r="L14" s="225">
        <f>D19-D14</f>
        <v>185.60600000156091</v>
      </c>
      <c r="M14" s="225">
        <f>F19-F14</f>
        <v>150.6959999995679</v>
      </c>
      <c r="N14" s="225">
        <f>SUM(K14:M14)</f>
        <v>573.31899999906409</v>
      </c>
    </row>
    <row r="15" spans="1:17">
      <c r="A15" s="258" t="s">
        <v>145</v>
      </c>
      <c r="B15" s="225">
        <f t="shared" si="0"/>
        <v>7320.9480000118956</v>
      </c>
      <c r="C15" s="275" t="str">
        <f>CONCATENATE("(",ROUND((B15/$H16)*100,1),")")</f>
        <v>(23.8)</v>
      </c>
      <c r="D15" s="225">
        <f t="shared" ref="D15" si="14">SUM(D36,D57,D78,D99,D120,D141,D162,D183,D204,D225,D246,D267,D288,D309,D330,D351,D372,D393,D414,D435,D456,D477)</f>
        <v>6006.5419999968417</v>
      </c>
      <c r="E15" s="275" t="str">
        <f>CONCATENATE("(",ROUND((D15/$H16)*100,1),")")</f>
        <v>(19.5)</v>
      </c>
      <c r="F15" s="225">
        <f t="shared" ref="F15" si="15">SUM(F36,F57,F78,F99,F120,F141,F162,F183,F204,F225,F246,F267,F288,F309,F330,F351,F372,F393,F414,F435,F456,F477)</f>
        <v>1517.0699999991789</v>
      </c>
      <c r="G15" s="275" t="str">
        <f>CONCATENATE("(",ROUND((F15/$H16)*100,1),")")</f>
        <v>(4.9)</v>
      </c>
      <c r="H15" s="225">
        <f t="shared" ref="H15" si="16">SUM(H36,H57,H78,H99,H120,H141,H162,H183,H204,H225,H246,H267,H288,H309,H330,H351,H372,H393,H414,H435,H456,H477)</f>
        <v>14844.560000007916</v>
      </c>
      <c r="I15" s="275" t="str">
        <f>CONCATENATE("(",ROUND((H15/$H16)*100,1),")")</f>
        <v>(48.3)</v>
      </c>
      <c r="K15" s="225">
        <f t="shared" ref="K15:K16" si="17">B20-B15</f>
        <v>539.99200001097142</v>
      </c>
      <c r="L15" s="225">
        <f t="shared" ref="L15:L16" si="18">D20-D15</f>
        <v>91.862999984935414</v>
      </c>
      <c r="M15" s="225">
        <f t="shared" ref="M15:M16" si="19">F20-F15</f>
        <v>110.16900000683472</v>
      </c>
      <c r="N15" s="225">
        <f t="shared" ref="N15:N16" si="20">SUM(K15:M15)</f>
        <v>742.02400000274156</v>
      </c>
    </row>
    <row r="16" spans="1:17">
      <c r="A16" s="258" t="s">
        <v>146</v>
      </c>
      <c r="B16" s="225">
        <f t="shared" si="0"/>
        <v>18238.054000011241</v>
      </c>
      <c r="C16" s="275" t="str">
        <f>CONCATENATE("(",ROUND((B16/$H16)*100,1),")")</f>
        <v>(59.3)</v>
      </c>
      <c r="D16" s="225">
        <f t="shared" ref="D16" si="21">SUM(D37,D58,D79,D100,D121,D142,D163,D184,D205,D226,D247,D268,D289,D310,D331,D352,D373,D394,D415,D436,D457,D478)</f>
        <v>8607.4199999968387</v>
      </c>
      <c r="E16" s="275" t="str">
        <f>CONCATENATE("(",ROUND((D16/$H16)*100,1),")")</f>
        <v>(28)</v>
      </c>
      <c r="F16" s="225">
        <f t="shared" ref="F16" si="22">SUM(F37,F58,F79,F100,F121,F142,F163,F184,F205,F226,F247,F268,F289,F310,F331,F352,F373,F394,F415,F436,F457,F478)</f>
        <v>3909.2740000026429</v>
      </c>
      <c r="G16" s="275" t="str">
        <f>CONCATENATE("(",ROUND((F16/$H16)*100,1),")")</f>
        <v>(12.7)</v>
      </c>
      <c r="H16" s="225">
        <f t="shared" ref="H16" si="23">SUM(H37,H58,H79,H100,H121,H142,H163,H184,H205,H226,H247,H268,H289,H310,H331,H352,H373,H394,H415,H436,H457,H478)</f>
        <v>30754.748000010721</v>
      </c>
      <c r="I16" s="275" t="str">
        <f>CONCATENATE("(",ROUND((H16/$H16)*100,1),")")</f>
        <v>(100)</v>
      </c>
      <c r="K16" s="225">
        <f t="shared" si="17"/>
        <v>777.00900000890761</v>
      </c>
      <c r="L16" s="225">
        <f t="shared" si="18"/>
        <v>277.4689999864986</v>
      </c>
      <c r="M16" s="225">
        <f t="shared" si="19"/>
        <v>260.86500000640308</v>
      </c>
      <c r="N16" s="225">
        <f t="shared" si="20"/>
        <v>1315.3430000018093</v>
      </c>
    </row>
    <row r="17" spans="1:14">
      <c r="B17" s="225"/>
      <c r="C17" s="260"/>
      <c r="D17" s="225"/>
      <c r="E17" s="260"/>
      <c r="F17" s="225"/>
      <c r="G17" s="260"/>
      <c r="H17" s="225"/>
      <c r="I17" s="260"/>
    </row>
    <row r="18" spans="1:14" ht="12.95">
      <c r="A18" s="262">
        <f>'Ind T6'!V5</f>
        <v>2035</v>
      </c>
      <c r="B18" s="225"/>
      <c r="C18" s="260"/>
      <c r="D18" s="225"/>
      <c r="E18" s="260"/>
      <c r="F18" s="225"/>
      <c r="G18" s="260"/>
      <c r="H18" s="225"/>
      <c r="I18" s="260"/>
      <c r="K18" s="262" t="str">
        <f>CONCATENATE(A8," - ",A18)</f>
        <v>2020 - 2035</v>
      </c>
    </row>
    <row r="19" spans="1:14">
      <c r="A19" s="258" t="s">
        <v>144</v>
      </c>
      <c r="B19" s="225">
        <f t="shared" si="0"/>
        <v>11154.122999997282</v>
      </c>
      <c r="C19" s="275" t="str">
        <f>CONCATENATE("(",ROUND((B19/$H21)*100,1),")")</f>
        <v>(34.8)</v>
      </c>
      <c r="D19" s="225">
        <f t="shared" ref="D19" si="24">SUM(D40,D61,D82,D103,D124,D145,D166,D187,D208,D229,D250,D271,D292,D313,D334,D355,D376,D397,D418,D439,D460,D481)</f>
        <v>2786.4840000015593</v>
      </c>
      <c r="E19" s="275" t="str">
        <f>CONCATENATE("(",ROUND((D19/$H21)*100,1),")")</f>
        <v>(8.7)</v>
      </c>
      <c r="F19" s="225">
        <f t="shared" ref="F19" si="25">SUM(F40,F61,F82,F103,F124,F145,F166,F187,F208,F229,F250,F271,F292,F313,F334,F355,F376,F397,F418,F439,F460,F481)</f>
        <v>2542.9000000030323</v>
      </c>
      <c r="G19" s="275" t="str">
        <f>CONCATENATE("(",ROUND((F19/$H21)*100,1),")")</f>
        <v>(7.9)</v>
      </c>
      <c r="H19" s="225">
        <f t="shared" ref="H19" si="26">SUM(H40,H61,H82,H103,H124,H145,H166,H187,H208,H229,H250,H271,H292,H313,H334,H355,H376,H397,H418,H439,H460,H481)</f>
        <v>16483.507000001875</v>
      </c>
      <c r="I19" s="275" t="str">
        <f>CONCATENATE("(",ROUND((H19/$H21)*100,1),")")</f>
        <v>(51.4)</v>
      </c>
      <c r="K19" s="225">
        <f>B19-B9</f>
        <v>479.1480000027168</v>
      </c>
      <c r="L19" s="225">
        <f>D19-D9</f>
        <v>279.92099999976381</v>
      </c>
      <c r="M19" s="225">
        <f>F19-F9</f>
        <v>244.92199999913328</v>
      </c>
      <c r="N19" s="225">
        <f>SUM(K19:M19)</f>
        <v>1003.9910000016139</v>
      </c>
    </row>
    <row r="20" spans="1:14">
      <c r="A20" s="258" t="s">
        <v>145</v>
      </c>
      <c r="B20" s="225">
        <f t="shared" si="0"/>
        <v>7860.940000022867</v>
      </c>
      <c r="C20" s="275" t="str">
        <f>CONCATENATE("(",ROUND((B20/$H21)*100,1),")")</f>
        <v>(24.5)</v>
      </c>
      <c r="D20" s="225">
        <f t="shared" ref="D20" si="27">SUM(D41,D62,D83,D104,D125,D146,D167,D188,D209,D230,D251,D272,D293,D314,D335,D356,D377,D398,D419,D440,D461,D482)</f>
        <v>6098.4049999817771</v>
      </c>
      <c r="E20" s="275" t="str">
        <f>CONCATENATE("(",ROUND((D20/$H21)*100,1),")")</f>
        <v>(19)</v>
      </c>
      <c r="F20" s="225">
        <f t="shared" ref="F20" si="28">SUM(F41,F62,F83,F104,F125,F146,F167,F188,F209,F230,F251,F272,F293,F314,F335,F356,F377,F398,F419,F440,F461,F482)</f>
        <v>1627.2390000060136</v>
      </c>
      <c r="G20" s="275" t="str">
        <f>CONCATENATE("(",ROUND((F20/$H21)*100,1),")")</f>
        <v>(5.1)</v>
      </c>
      <c r="H20" s="225">
        <f t="shared" ref="H20" si="29">SUM(H41,H62,H83,H104,H125,H146,H167,H188,H209,H230,H251,H272,H293,H314,H335,H356,H377,H398,H419,H440,H461,H482)</f>
        <v>15586.584000010658</v>
      </c>
      <c r="I20" s="275" t="str">
        <f>CONCATENATE("(",ROUND((H20/$H21)*100,1),")")</f>
        <v>(48.6)</v>
      </c>
      <c r="K20" s="225">
        <f t="shared" ref="K20:K21" si="30">B20-B10</f>
        <v>872.68500003051213</v>
      </c>
      <c r="L20" s="225">
        <f t="shared" ref="L20:L21" si="31">D20-D10</f>
        <v>171.2229999746105</v>
      </c>
      <c r="M20" s="225">
        <f t="shared" ref="M20:M21" si="32">F20-F10</f>
        <v>162.51100001058694</v>
      </c>
      <c r="N20" s="225">
        <f t="shared" ref="N20:N21" si="33">SUM(K20:M20)</f>
        <v>1206.4190000157096</v>
      </c>
    </row>
    <row r="21" spans="1:14">
      <c r="A21" s="258" t="s">
        <v>146</v>
      </c>
      <c r="B21" s="225">
        <f t="shared" si="0"/>
        <v>19015.063000020149</v>
      </c>
      <c r="C21" s="275" t="str">
        <f>CONCATENATE("(",ROUND((B21/$H21)*100,1),")")</f>
        <v>(59.3)</v>
      </c>
      <c r="D21" s="225">
        <f t="shared" ref="D21" si="34">SUM(D42,D63,D84,D105,D126,D147,D168,D189,D210,D231,D252,D273,D294,D315,D336,D357,D378,D399,D420,D441,D462,D483)</f>
        <v>8884.8889999833373</v>
      </c>
      <c r="E21" s="275" t="str">
        <f>CONCATENATE("(",ROUND((D21/$H21)*100,1),")")</f>
        <v>(27.7)</v>
      </c>
      <c r="F21" s="225">
        <f>SUM(F42,F63,F84,F105,F126,F147,F168,F189,F210,F231,F252,F273,F294,F315,F336,F357,F378,F399,F420,F441,F462,F483)</f>
        <v>4170.139000009046</v>
      </c>
      <c r="G21" s="275" t="str">
        <f>CONCATENATE("(",ROUND((F21/$H21)*100,1),")")</f>
        <v>(13)</v>
      </c>
      <c r="H21" s="225">
        <f t="shared" ref="H21" si="35">SUM(H42,H63,H84,H105,H126,H147,H168,H189,H210,H231,H252,H273,H294,H315,H336,H357,H378,H399,H420,H441,H462,H483)</f>
        <v>32070.09100001253</v>
      </c>
      <c r="I21" s="275" t="str">
        <f>CONCATENATE("(",ROUND((H21/$H21)*100,1),")")</f>
        <v>(100)</v>
      </c>
      <c r="K21" s="225">
        <f t="shared" si="30"/>
        <v>1351.833000033228</v>
      </c>
      <c r="L21" s="225">
        <f t="shared" si="31"/>
        <v>451.14399997437613</v>
      </c>
      <c r="M21" s="225">
        <f t="shared" si="32"/>
        <v>407.43300000971976</v>
      </c>
      <c r="N21" s="225">
        <f t="shared" si="33"/>
        <v>2210.4100000173239</v>
      </c>
    </row>
    <row r="22" spans="1:14">
      <c r="A22" s="269"/>
      <c r="B22" s="270"/>
      <c r="C22" s="269"/>
      <c r="D22" s="270"/>
      <c r="E22" s="269"/>
      <c r="F22" s="270"/>
      <c r="G22" s="269"/>
      <c r="H22" s="270"/>
      <c r="I22" s="269"/>
      <c r="J22" s="269"/>
      <c r="K22" s="270"/>
      <c r="L22" s="270"/>
      <c r="M22" s="270"/>
      <c r="N22" s="270"/>
    </row>
    <row r="26" spans="1:14" ht="12.95">
      <c r="A26" s="264"/>
      <c r="B26" s="265" t="s">
        <v>133</v>
      </c>
      <c r="C26" s="264"/>
      <c r="D26" s="265"/>
      <c r="E26" s="264"/>
      <c r="F26" s="265" t="str">
        <f>name!B4</f>
        <v>Agriculture</v>
      </c>
      <c r="G26" s="264"/>
      <c r="H26" s="267"/>
      <c r="I26" s="264"/>
      <c r="J26" s="266"/>
      <c r="K26" s="267"/>
      <c r="L26" s="267"/>
      <c r="M26" s="267"/>
      <c r="N26" s="267"/>
    </row>
    <row r="27" spans="1:14" ht="12.95">
      <c r="N27" s="263" t="s">
        <v>134</v>
      </c>
    </row>
    <row r="28" spans="1:14" ht="12.95">
      <c r="A28" s="272" t="s">
        <v>135</v>
      </c>
      <c r="B28" s="365" t="s">
        <v>136</v>
      </c>
      <c r="C28" s="365"/>
      <c r="D28" s="365" t="s">
        <v>137</v>
      </c>
      <c r="E28" s="365"/>
      <c r="F28" s="365" t="s">
        <v>138</v>
      </c>
      <c r="G28" s="365"/>
      <c r="H28" s="365" t="s">
        <v>119</v>
      </c>
      <c r="I28" s="365"/>
      <c r="J28" s="272"/>
      <c r="K28" s="273" t="s">
        <v>139</v>
      </c>
      <c r="L28" s="273" t="s">
        <v>140</v>
      </c>
      <c r="M28" s="273" t="s">
        <v>141</v>
      </c>
      <c r="N28" s="273" t="s">
        <v>119</v>
      </c>
    </row>
    <row r="29" spans="1:14" ht="12.95">
      <c r="A29" s="268">
        <f>$A$8</f>
        <v>2020</v>
      </c>
      <c r="B29" s="263" t="s">
        <v>142</v>
      </c>
      <c r="C29" s="18" t="s">
        <v>143</v>
      </c>
      <c r="D29" s="263" t="s">
        <v>142</v>
      </c>
      <c r="E29" s="18" t="s">
        <v>143</v>
      </c>
      <c r="F29" s="263" t="s">
        <v>142</v>
      </c>
      <c r="G29" s="18" t="s">
        <v>143</v>
      </c>
      <c r="H29" s="263" t="s">
        <v>142</v>
      </c>
      <c r="I29" s="18" t="s">
        <v>143</v>
      </c>
      <c r="J29" s="158"/>
      <c r="K29" s="262" t="str">
        <f>CONCATENATE(A29," - ",A34)</f>
        <v>2020 - 2025</v>
      </c>
      <c r="L29" s="261"/>
      <c r="M29" s="261"/>
    </row>
    <row r="30" spans="1:14">
      <c r="A30" s="258" t="s">
        <v>144</v>
      </c>
      <c r="B30" s="278">
        <f>'Ind T6'!L10</f>
        <v>90.717000000280578</v>
      </c>
      <c r="C30" s="275" t="str">
        <f>CONCATENATE("(",ROUND((B30/$H32)*100,1),")")</f>
        <v>(37.8)</v>
      </c>
      <c r="D30" s="278">
        <f>'Ind T6'!M10</f>
        <v>9.250000000029301</v>
      </c>
      <c r="E30" s="275" t="str">
        <f>CONCATENATE("(",ROUND((D30/$H32)*100,1),")")</f>
        <v>(3.9)</v>
      </c>
      <c r="F30" s="278">
        <f>'Ind T6'!N10</f>
        <v>65.167999998714706</v>
      </c>
      <c r="G30" s="275" t="str">
        <f>CONCATENATE("(",ROUND((F30/$H32)*100,1),")")</f>
        <v>(27.2)</v>
      </c>
      <c r="H30" s="278">
        <f>SUM(B30,D30,F30)</f>
        <v>165.13499999902459</v>
      </c>
      <c r="I30" s="275" t="str">
        <f>CONCATENATE("(",ROUND((H30/$H32)*100,1),")")</f>
        <v>(68.9)</v>
      </c>
      <c r="K30" s="278">
        <f>B35-B30</f>
        <v>5.1920000002665176</v>
      </c>
      <c r="L30" s="278">
        <f>D35-D30</f>
        <v>0.28899999997998194</v>
      </c>
      <c r="M30" s="278">
        <f>F35-F30</f>
        <v>-5.4000002060689667E-2</v>
      </c>
      <c r="N30" s="278">
        <f>SUM(K30:M30)</f>
        <v>5.4269999981858099</v>
      </c>
    </row>
    <row r="31" spans="1:14">
      <c r="A31" s="258" t="s">
        <v>145</v>
      </c>
      <c r="B31" s="278">
        <f>'Ind T6'!L9</f>
        <v>31.874999999834873</v>
      </c>
      <c r="C31" s="275" t="str">
        <f>CONCATENATE("(",ROUND((B31/$H32)*100,1),")")</f>
        <v>(13.3)</v>
      </c>
      <c r="D31" s="278">
        <f>'Ind T6'!M9</f>
        <v>17.175000000145953</v>
      </c>
      <c r="E31" s="275" t="str">
        <f>CONCATENATE("(",ROUND((D31/$H32)*100,1),")")</f>
        <v>(7.2)</v>
      </c>
      <c r="F31" s="278">
        <f>'Ind T6'!N9</f>
        <v>25.508999999668479</v>
      </c>
      <c r="G31" s="275" t="str">
        <f>CONCATENATE("(",ROUND((F31/$H32)*100,1),")")</f>
        <v>(10.6)</v>
      </c>
      <c r="H31" s="278">
        <f t="shared" ref="H31" si="36">SUM(B31,D31,F31)</f>
        <v>74.558999999649302</v>
      </c>
      <c r="I31" s="275" t="str">
        <f>CONCATENATE("(",ROUND((H31/$H32)*100,1),")")</f>
        <v>(31.1)</v>
      </c>
      <c r="K31" s="278">
        <f t="shared" ref="K31:K32" si="37">B36-B31</f>
        <v>0.70400000078261016</v>
      </c>
      <c r="L31" s="278">
        <f t="shared" ref="L31:L32" si="38">D36-D31</f>
        <v>-3.4999999742058918E-2</v>
      </c>
      <c r="M31" s="278">
        <f t="shared" ref="M31:M32" si="39">F36-F31</f>
        <v>1.1080000005231021</v>
      </c>
      <c r="N31" s="278">
        <f t="shared" ref="N31:N32" si="40">SUM(K31:M31)</f>
        <v>1.7770000015636533</v>
      </c>
    </row>
    <row r="32" spans="1:14">
      <c r="A32" s="258" t="s">
        <v>146</v>
      </c>
      <c r="B32" s="278">
        <f>SUM(B30:B31)</f>
        <v>122.59200000011545</v>
      </c>
      <c r="C32" s="275" t="str">
        <f>CONCATENATE("(",ROUND((B32/$H32)*100,1),")")</f>
        <v>(51.1)</v>
      </c>
      <c r="D32" s="278">
        <f>SUM(D30:D31)</f>
        <v>26.425000000175253</v>
      </c>
      <c r="E32" s="275" t="str">
        <f>CONCATENATE("(",ROUND((D32/$H32)*100,1),")")</f>
        <v>(11)</v>
      </c>
      <c r="F32" s="278">
        <f>SUM(F30:F31)</f>
        <v>90.676999998383181</v>
      </c>
      <c r="G32" s="275" t="str">
        <f>CONCATENATE("(",ROUND((F32/$H32)*100,1),")")</f>
        <v>(37.8)</v>
      </c>
      <c r="H32" s="278">
        <f>SUM(H30:H31)</f>
        <v>239.69399999867389</v>
      </c>
      <c r="I32" s="275" t="str">
        <f>CONCATENATE("(",ROUND((H32/$H32)*100,1),")")</f>
        <v>(100)</v>
      </c>
      <c r="K32" s="278">
        <f t="shared" si="37"/>
        <v>5.8960000010491314</v>
      </c>
      <c r="L32" s="278">
        <f t="shared" si="38"/>
        <v>0.25400000023792302</v>
      </c>
      <c r="M32" s="278">
        <f t="shared" si="39"/>
        <v>1.053999998462416</v>
      </c>
      <c r="N32" s="278">
        <f t="shared" si="40"/>
        <v>7.2039999997494704</v>
      </c>
    </row>
    <row r="33" spans="1:14">
      <c r="B33" s="278"/>
      <c r="C33" s="260"/>
      <c r="D33" s="278"/>
      <c r="E33" s="260"/>
      <c r="F33" s="278"/>
      <c r="G33" s="260"/>
      <c r="H33" s="278"/>
      <c r="I33" s="260"/>
    </row>
    <row r="34" spans="1:14" ht="12.95">
      <c r="A34" s="268">
        <f>$A$13</f>
        <v>2025</v>
      </c>
      <c r="B34" s="278"/>
      <c r="C34" s="260"/>
      <c r="D34" s="278"/>
      <c r="E34" s="260"/>
      <c r="F34" s="278"/>
      <c r="G34" s="260"/>
      <c r="H34" s="278"/>
      <c r="I34" s="260"/>
      <c r="K34" s="262" t="str">
        <f>CONCATENATE(A34," - ",A39)</f>
        <v>2025 - 2035</v>
      </c>
    </row>
    <row r="35" spans="1:14">
      <c r="A35" s="258" t="s">
        <v>144</v>
      </c>
      <c r="B35" s="278">
        <f>'Ind T6'!Q10</f>
        <v>95.909000000547096</v>
      </c>
      <c r="C35" s="275" t="str">
        <f>CONCATENATE("(",ROUND((B35/$H37)*100,1),")")</f>
        <v>(38.8)</v>
      </c>
      <c r="D35" s="278">
        <f>'Ind T6'!R10</f>
        <v>9.5390000000092829</v>
      </c>
      <c r="E35" s="275" t="str">
        <f>CONCATENATE("(",ROUND((D35/$H37)*100,1),")")</f>
        <v>(3.9)</v>
      </c>
      <c r="F35" s="278">
        <f>'Ind T6'!S10</f>
        <v>65.113999996654016</v>
      </c>
      <c r="G35" s="275" t="str">
        <f>CONCATENATE("(",ROUND((F35/$H37)*100,1),")")</f>
        <v>(26.4)</v>
      </c>
      <c r="H35" s="278">
        <f>SUM(B35,D35,F35)</f>
        <v>170.56199999721039</v>
      </c>
      <c r="I35" s="275" t="str">
        <f>CONCATENATE("(",ROUND((H35/$H37)*100,1),")")</f>
        <v>(69.1)</v>
      </c>
      <c r="K35" s="278">
        <f>B40-B35</f>
        <v>7.0320000000644001</v>
      </c>
      <c r="L35" s="278">
        <f>D40-D35</f>
        <v>5.7000000011550256E-2</v>
      </c>
      <c r="M35" s="278">
        <f>F40-F35</f>
        <v>-4.1169999999093747</v>
      </c>
      <c r="N35" s="278">
        <f>SUM(K35:M35)</f>
        <v>2.9720000001665756</v>
      </c>
    </row>
    <row r="36" spans="1:14">
      <c r="A36" s="258" t="s">
        <v>145</v>
      </c>
      <c r="B36" s="278">
        <f>'Ind T6'!Q9</f>
        <v>32.579000000617484</v>
      </c>
      <c r="C36" s="275" t="str">
        <f>CONCATENATE("(",ROUND((B36/$H37)*100,1),")")</f>
        <v>(13.2)</v>
      </c>
      <c r="D36" s="278">
        <f>'Ind T6'!R9</f>
        <v>17.140000000403894</v>
      </c>
      <c r="E36" s="275" t="str">
        <f>CONCATENATE("(",ROUND((D36/$H37)*100,1),")")</f>
        <v>(6.9)</v>
      </c>
      <c r="F36" s="278">
        <f>'Ind T6'!S9</f>
        <v>26.617000000191581</v>
      </c>
      <c r="G36" s="275" t="str">
        <f>CONCATENATE("(",ROUND((F36/$H37)*100,1),")")</f>
        <v>(10.8)</v>
      </c>
      <c r="H36" s="278">
        <f t="shared" ref="H36" si="41">SUM(B36,D36,F36)</f>
        <v>76.336000001212966</v>
      </c>
      <c r="I36" s="275" t="str">
        <f>CONCATENATE("(",ROUND((H36/$H37)*100,1),")")</f>
        <v>(30.9)</v>
      </c>
      <c r="K36" s="278">
        <f t="shared" ref="K36:K37" si="42">B41-B36</f>
        <v>-0.37299999994659316</v>
      </c>
      <c r="L36" s="278">
        <f t="shared" ref="L36:L37" si="43">D41-D36</f>
        <v>-1.2860000000984506</v>
      </c>
      <c r="M36" s="278">
        <f t="shared" ref="M36:M37" si="44">F41-F36</f>
        <v>0.93799999960448943</v>
      </c>
      <c r="N36" s="278">
        <f t="shared" ref="N36:N37" si="45">SUM(K36:M36)</f>
        <v>-0.72100000044055435</v>
      </c>
    </row>
    <row r="37" spans="1:14">
      <c r="A37" s="258" t="s">
        <v>146</v>
      </c>
      <c r="B37" s="278">
        <f>SUM(B35:B36)</f>
        <v>128.48800000116458</v>
      </c>
      <c r="C37" s="275" t="str">
        <f>CONCATENATE("(",ROUND((B37/$H37)*100,1),")")</f>
        <v>(52)</v>
      </c>
      <c r="D37" s="278">
        <f>SUM(D35:D36)</f>
        <v>26.679000000413176</v>
      </c>
      <c r="E37" s="275" t="str">
        <f>CONCATENATE("(",ROUND((D37/$H37)*100,1),")")</f>
        <v>(10.8)</v>
      </c>
      <c r="F37" s="278">
        <f>SUM(F35:F36)</f>
        <v>91.730999996845597</v>
      </c>
      <c r="G37" s="275" t="str">
        <f>CONCATENATE("(",ROUND((F37/$H37)*100,1),")")</f>
        <v>(37.2)</v>
      </c>
      <c r="H37" s="278">
        <f>SUM(H35:H36)</f>
        <v>246.89799999842336</v>
      </c>
      <c r="I37" s="275" t="str">
        <f>CONCATENATE("(",ROUND((H37/$H37)*100,1),")")</f>
        <v>(100)</v>
      </c>
      <c r="K37" s="278">
        <f t="shared" si="42"/>
        <v>6.6590000001177998</v>
      </c>
      <c r="L37" s="278">
        <f t="shared" si="43"/>
        <v>-1.2290000000868986</v>
      </c>
      <c r="M37" s="278">
        <f t="shared" si="44"/>
        <v>-3.1790000003048817</v>
      </c>
      <c r="N37" s="278">
        <f t="shared" si="45"/>
        <v>2.2509999997260195</v>
      </c>
    </row>
    <row r="38" spans="1:14">
      <c r="B38" s="278"/>
      <c r="C38" s="260"/>
      <c r="D38" s="278"/>
      <c r="E38" s="260"/>
      <c r="F38" s="278"/>
      <c r="G38" s="260"/>
      <c r="H38" s="278"/>
      <c r="I38" s="260"/>
    </row>
    <row r="39" spans="1:14" ht="12.95">
      <c r="A39" s="268">
        <f>$A$18</f>
        <v>2035</v>
      </c>
      <c r="B39" s="278"/>
      <c r="C39" s="260"/>
      <c r="D39" s="278"/>
      <c r="E39" s="260"/>
      <c r="F39" s="278"/>
      <c r="G39" s="260"/>
      <c r="H39" s="278"/>
      <c r="I39" s="260"/>
      <c r="K39" s="262" t="str">
        <f>CONCATENATE(A29," - ",A39)</f>
        <v>2020 - 2035</v>
      </c>
    </row>
    <row r="40" spans="1:14">
      <c r="A40" s="258" t="s">
        <v>144</v>
      </c>
      <c r="B40" s="278">
        <f>'Ind T6'!V10</f>
        <v>102.9410000006115</v>
      </c>
      <c r="C40" s="275" t="str">
        <f>CONCATENATE("(",ROUND((B40/$H42)*100,1),")")</f>
        <v>(41.3)</v>
      </c>
      <c r="D40" s="278">
        <f>'Ind T6'!W10</f>
        <v>9.5960000000208332</v>
      </c>
      <c r="E40" s="275" t="str">
        <f>CONCATENATE("(",ROUND((D40/$H42)*100,1),")")</f>
        <v>(3.9)</v>
      </c>
      <c r="F40" s="278">
        <f>'Ind T6'!X10</f>
        <v>60.996999996744641</v>
      </c>
      <c r="G40" s="275" t="str">
        <f>CONCATENATE("(",ROUND((F40/$H42)*100,1),")")</f>
        <v>(24.5)</v>
      </c>
      <c r="H40" s="278">
        <f>SUM(B40,D40,F40)</f>
        <v>173.53399999737698</v>
      </c>
      <c r="I40" s="275" t="str">
        <f>CONCATENATE("(",ROUND((H40/$H42)*100,1),")")</f>
        <v>(69.7)</v>
      </c>
      <c r="K40" s="278">
        <f>B40-B30</f>
        <v>12.224000000330918</v>
      </c>
      <c r="L40" s="278">
        <f>D40-D30</f>
        <v>0.34599999999153219</v>
      </c>
      <c r="M40" s="278">
        <f>F40-F30</f>
        <v>-4.1710000019700644</v>
      </c>
      <c r="N40" s="278">
        <f>SUM(K40:M40)</f>
        <v>8.3989999983523855</v>
      </c>
    </row>
    <row r="41" spans="1:14">
      <c r="A41" s="258" t="s">
        <v>145</v>
      </c>
      <c r="B41" s="278">
        <f>'Ind T6'!V9</f>
        <v>32.20600000067089</v>
      </c>
      <c r="C41" s="275" t="str">
        <f>CONCATENATE("(",ROUND((B41/$H42)*100,1),")")</f>
        <v>(12.9)</v>
      </c>
      <c r="D41" s="278">
        <f>'Ind T6'!W9</f>
        <v>15.854000000305444</v>
      </c>
      <c r="E41" s="275" t="str">
        <f>CONCATENATE("(",ROUND((D41/$H42)*100,1),")")</f>
        <v>(6.4)</v>
      </c>
      <c r="F41" s="278">
        <f>'Ind T6'!X9</f>
        <v>27.55499999979607</v>
      </c>
      <c r="G41" s="275" t="str">
        <f>CONCATENATE("(",ROUND((F41/$H42)*100,1),")")</f>
        <v>(11.1)</v>
      </c>
      <c r="H41" s="278">
        <f t="shared" ref="H41" si="46">SUM(B41,D41,F41)</f>
        <v>75.615000000772397</v>
      </c>
      <c r="I41" s="275" t="str">
        <f>CONCATENATE("(",ROUND((H41/$H42)*100,1),")")</f>
        <v>(30.3)</v>
      </c>
      <c r="K41" s="278">
        <f t="shared" ref="K41:K42" si="47">B41-B31</f>
        <v>0.33100000083601699</v>
      </c>
      <c r="L41" s="278">
        <f t="shared" ref="L41:L42" si="48">D41-D31</f>
        <v>-1.3209999998405095</v>
      </c>
      <c r="M41" s="278">
        <f t="shared" ref="M41:M42" si="49">F41-F31</f>
        <v>2.0460000001275915</v>
      </c>
      <c r="N41" s="278">
        <f t="shared" ref="N41:N42" si="50">SUM(K41:M41)</f>
        <v>1.056000001123099</v>
      </c>
    </row>
    <row r="42" spans="1:14">
      <c r="A42" s="258" t="s">
        <v>146</v>
      </c>
      <c r="B42" s="278">
        <f>SUM(B40:B41)</f>
        <v>135.14700000128238</v>
      </c>
      <c r="C42" s="275" t="str">
        <f>CONCATENATE("(",ROUND((B42/$H42)*100,1),")")</f>
        <v>(54.2)</v>
      </c>
      <c r="D42" s="278">
        <f>SUM(D40:D41)</f>
        <v>25.450000000326277</v>
      </c>
      <c r="E42" s="275" t="str">
        <f>CONCATENATE("(",ROUND((D42/$H42)*100,1),")")</f>
        <v>(10.2)</v>
      </c>
      <c r="F42" s="278">
        <f>SUM(F40:F41)</f>
        <v>88.551999996540715</v>
      </c>
      <c r="G42" s="275" t="str">
        <f>CONCATENATE("(",ROUND((F42/$H42)*100,1),")")</f>
        <v>(35.5)</v>
      </c>
      <c r="H42" s="278">
        <f>SUM(H40:H41)</f>
        <v>249.14899999814938</v>
      </c>
      <c r="I42" s="275" t="str">
        <f>CONCATENATE("(",ROUND((H42/$H42)*100,1),")")</f>
        <v>(100)</v>
      </c>
      <c r="K42" s="278">
        <f t="shared" si="47"/>
        <v>12.555000001166931</v>
      </c>
      <c r="L42" s="278">
        <f t="shared" si="48"/>
        <v>-0.97499999984897556</v>
      </c>
      <c r="M42" s="278">
        <f t="shared" si="49"/>
        <v>-2.1250000018424657</v>
      </c>
      <c r="N42" s="278">
        <f t="shared" si="50"/>
        <v>9.4549999994754899</v>
      </c>
    </row>
    <row r="43" spans="1:14">
      <c r="A43" s="269"/>
      <c r="B43" s="270"/>
      <c r="C43" s="269"/>
      <c r="D43" s="270"/>
      <c r="E43" s="269"/>
      <c r="F43" s="270"/>
      <c r="G43" s="269"/>
      <c r="H43" s="270"/>
      <c r="I43" s="269"/>
      <c r="J43" s="269"/>
      <c r="K43" s="270"/>
      <c r="L43" s="270"/>
      <c r="M43" s="270"/>
      <c r="N43" s="270"/>
    </row>
    <row r="46" spans="1:14" ht="12.95">
      <c r="C46" s="158"/>
      <c r="E46" s="158"/>
      <c r="G46" s="158"/>
      <c r="I46" s="158"/>
    </row>
    <row r="47" spans="1:14" ht="12.95">
      <c r="A47" s="264"/>
      <c r="B47" s="265" t="s">
        <v>133</v>
      </c>
      <c r="C47" s="264"/>
      <c r="D47" s="265"/>
      <c r="E47" s="264"/>
      <c r="F47" s="265" t="str">
        <f>name!B5</f>
        <v>Mining and quarrying</v>
      </c>
      <c r="G47" s="264"/>
      <c r="H47" s="267"/>
      <c r="I47" s="264"/>
      <c r="J47" s="266"/>
      <c r="K47" s="267"/>
      <c r="L47" s="267"/>
      <c r="M47" s="267"/>
      <c r="N47" s="267"/>
    </row>
    <row r="48" spans="1:14" ht="12.95">
      <c r="N48" s="263" t="s">
        <v>134</v>
      </c>
    </row>
    <row r="49" spans="1:14" ht="12.95">
      <c r="A49" s="158" t="s">
        <v>135</v>
      </c>
      <c r="B49" s="364" t="s">
        <v>136</v>
      </c>
      <c r="C49" s="364"/>
      <c r="D49" s="364" t="s">
        <v>137</v>
      </c>
      <c r="E49" s="364"/>
      <c r="F49" s="364" t="s">
        <v>138</v>
      </c>
      <c r="G49" s="364"/>
      <c r="H49" s="364" t="s">
        <v>119</v>
      </c>
      <c r="I49" s="364"/>
      <c r="J49" s="158"/>
      <c r="K49" s="273" t="s">
        <v>139</v>
      </c>
      <c r="L49" s="273" t="s">
        <v>140</v>
      </c>
      <c r="M49" s="273" t="s">
        <v>141</v>
      </c>
      <c r="N49" s="273" t="s">
        <v>119</v>
      </c>
    </row>
    <row r="50" spans="1:14" ht="12.95">
      <c r="A50" s="268">
        <f>$A$8</f>
        <v>2020</v>
      </c>
      <c r="B50" s="263" t="s">
        <v>142</v>
      </c>
      <c r="C50" s="18" t="s">
        <v>143</v>
      </c>
      <c r="D50" s="263" t="s">
        <v>142</v>
      </c>
      <c r="E50" s="18" t="s">
        <v>143</v>
      </c>
      <c r="F50" s="263" t="s">
        <v>142</v>
      </c>
      <c r="G50" s="18" t="s">
        <v>143</v>
      </c>
      <c r="H50" s="263" t="s">
        <v>142</v>
      </c>
      <c r="I50" s="18" t="s">
        <v>143</v>
      </c>
      <c r="J50" s="158"/>
      <c r="K50" s="262" t="str">
        <f>CONCATENATE(A50," - ",A55)</f>
        <v>2020 - 2025</v>
      </c>
      <c r="L50" s="261"/>
      <c r="M50" s="261"/>
    </row>
    <row r="51" spans="1:14">
      <c r="A51" s="258" t="s">
        <v>144</v>
      </c>
      <c r="B51" s="278">
        <f>'Ind T6'!L20</f>
        <v>18.18700000002498</v>
      </c>
      <c r="C51" s="275" t="str">
        <f>CONCATENATE("(",ROUND((B51/$H53)*100,1),")")</f>
        <v>(74.2)</v>
      </c>
      <c r="D51" s="278">
        <f>'Ind T6'!M20</f>
        <v>0.72700000000191867</v>
      </c>
      <c r="E51" s="275" t="str">
        <f>CONCATENATE("(",ROUND((D51/$H53)*100,1),")")</f>
        <v>(3)</v>
      </c>
      <c r="F51" s="278">
        <f>'Ind T6'!N20</f>
        <v>1.8899999999858341</v>
      </c>
      <c r="G51" s="275" t="str">
        <f>CONCATENATE("(",ROUND((F51/$H53)*100,1),")")</f>
        <v>(7.7)</v>
      </c>
      <c r="H51" s="278">
        <f>SUM(B51,D51,F51)</f>
        <v>20.804000000012735</v>
      </c>
      <c r="I51" s="275" t="str">
        <f>CONCATENATE("(",ROUND((H51/$H53)*100,1),")")</f>
        <v>(84.9)</v>
      </c>
      <c r="K51" s="278">
        <f>B56-B51</f>
        <v>-3.6059999999624015</v>
      </c>
      <c r="L51" s="278">
        <f>D56-D51</f>
        <v>-0.11099999999862997</v>
      </c>
      <c r="M51" s="278">
        <f>F56-F51</f>
        <v>-0.31300000001785588</v>
      </c>
      <c r="N51" s="278">
        <f>SUM(K51:M51)</f>
        <v>-4.0299999999788874</v>
      </c>
    </row>
    <row r="52" spans="1:14">
      <c r="A52" s="258" t="s">
        <v>145</v>
      </c>
      <c r="B52" s="278">
        <f>'Ind T6'!L19</f>
        <v>3.0259999999849918</v>
      </c>
      <c r="C52" s="275" t="str">
        <f>CONCATENATE("(",ROUND((B52/$H53)*100,1),")")</f>
        <v>(12.3)</v>
      </c>
      <c r="D52" s="278">
        <f>'Ind T6'!M19</f>
        <v>0.67599999999938798</v>
      </c>
      <c r="E52" s="275" t="str">
        <f>CONCATENATE("(",ROUND((D52/$H53)*100,1),")")</f>
        <v>(2.8)</v>
      </c>
      <c r="F52" s="278">
        <f>'Ind T6'!N19</f>
        <v>0</v>
      </c>
      <c r="G52" s="275" t="str">
        <f>CONCATENATE("(",ROUND((F52/$H53)*100,1),")")</f>
        <v>(0)</v>
      </c>
      <c r="H52" s="278">
        <f t="shared" ref="H52" si="51">SUM(B52,D52,F52)</f>
        <v>3.7019999999843796</v>
      </c>
      <c r="I52" s="275" t="str">
        <f>CONCATENATE("(",ROUND((H52/$H53)*100,1),")")</f>
        <v>(15.1)</v>
      </c>
      <c r="K52" s="278">
        <f t="shared" ref="K52:K53" si="52">B57-B52</f>
        <v>-0.60599999996345799</v>
      </c>
      <c r="L52" s="278">
        <f t="shared" ref="L52:L53" si="53">D57-D52</f>
        <v>-0.12199999999810618</v>
      </c>
      <c r="M52" s="278">
        <f t="shared" ref="M52:M53" si="54">F57-F52</f>
        <v>0</v>
      </c>
      <c r="N52" s="278">
        <f t="shared" ref="N52:N53" si="55">SUM(K52:M52)</f>
        <v>-0.72799999996156417</v>
      </c>
    </row>
    <row r="53" spans="1:14">
      <c r="A53" s="258" t="s">
        <v>146</v>
      </c>
      <c r="B53" s="278">
        <f>SUM(B51:B52)</f>
        <v>21.213000000009973</v>
      </c>
      <c r="C53" s="275" t="str">
        <f>CONCATENATE("(",ROUND((B53/$H53)*100,1),")")</f>
        <v>(86.6)</v>
      </c>
      <c r="D53" s="278">
        <f>SUM(D51:D52)</f>
        <v>1.4030000000013065</v>
      </c>
      <c r="E53" s="275" t="str">
        <f>CONCATENATE("(",ROUND((D53/$H53)*100,1),")")</f>
        <v>(5.7)</v>
      </c>
      <c r="F53" s="278">
        <f>SUM(F51:F52)</f>
        <v>1.8899999999858341</v>
      </c>
      <c r="G53" s="275" t="str">
        <f>CONCATENATE("(",ROUND((F53/$H53)*100,1),")")</f>
        <v>(7.7)</v>
      </c>
      <c r="H53" s="278">
        <f>SUM(H51:H52)</f>
        <v>24.505999999997115</v>
      </c>
      <c r="I53" s="275" t="str">
        <f>CONCATENATE("(",ROUND((H53/$H53)*100,1),")")</f>
        <v>(100)</v>
      </c>
      <c r="K53" s="278">
        <f t="shared" si="52"/>
        <v>-4.2119999999258617</v>
      </c>
      <c r="L53" s="278">
        <f t="shared" si="53"/>
        <v>-0.23299999999673604</v>
      </c>
      <c r="M53" s="278">
        <f t="shared" si="54"/>
        <v>-0.31300000001785588</v>
      </c>
      <c r="N53" s="278">
        <f t="shared" si="55"/>
        <v>-4.757999999940453</v>
      </c>
    </row>
    <row r="54" spans="1:14">
      <c r="B54" s="278"/>
      <c r="C54" s="260"/>
      <c r="D54" s="278"/>
      <c r="E54" s="260"/>
      <c r="F54" s="278"/>
      <c r="G54" s="260"/>
      <c r="H54" s="278"/>
      <c r="I54" s="260"/>
    </row>
    <row r="55" spans="1:14" ht="12.95">
      <c r="A55" s="268">
        <f>$A$13</f>
        <v>2025</v>
      </c>
      <c r="B55" s="278"/>
      <c r="C55" s="260"/>
      <c r="D55" s="278"/>
      <c r="E55" s="260"/>
      <c r="F55" s="278"/>
      <c r="G55" s="260"/>
      <c r="H55" s="278"/>
      <c r="I55" s="260"/>
      <c r="K55" s="262" t="str">
        <f>CONCATENATE(A55," - ",A60)</f>
        <v>2025 - 2035</v>
      </c>
    </row>
    <row r="56" spans="1:14">
      <c r="A56" s="258" t="s">
        <v>144</v>
      </c>
      <c r="B56" s="278">
        <f>'Ind T6'!Q20</f>
        <v>14.581000000062579</v>
      </c>
      <c r="C56" s="275" t="str">
        <f>CONCATENATE("(",ROUND((B56/$H58)*100,1),")")</f>
        <v>(73.8)</v>
      </c>
      <c r="D56" s="278">
        <f>'Ind T6'!R20</f>
        <v>0.61600000000328869</v>
      </c>
      <c r="E56" s="275" t="str">
        <f>CONCATENATE("(",ROUND((D56/$H58)*100,1),")")</f>
        <v>(3.1)</v>
      </c>
      <c r="F56" s="278">
        <f>'Ind T6'!S20</f>
        <v>1.5769999999679782</v>
      </c>
      <c r="G56" s="275" t="str">
        <f>CONCATENATE("(",ROUND((F56/$H58)*100,1),")")</f>
        <v>(8)</v>
      </c>
      <c r="H56" s="278">
        <f>SUM(B56,D56,F56)</f>
        <v>16.774000000033848</v>
      </c>
      <c r="I56" s="275" t="str">
        <f>CONCATENATE("(",ROUND((H56/$H58)*100,1),")")</f>
        <v>(84.9)</v>
      </c>
      <c r="K56" s="278">
        <f>B61-B56</f>
        <v>-3.764000000005586</v>
      </c>
      <c r="L56" s="278">
        <f>D61-D56</f>
        <v>-0.11699999999915556</v>
      </c>
      <c r="M56" s="278">
        <f>F61-F56</f>
        <v>-0.36699999998833643</v>
      </c>
      <c r="N56" s="278">
        <f>SUM(K56:M56)</f>
        <v>-4.2479999999930778</v>
      </c>
    </row>
    <row r="57" spans="1:14">
      <c r="A57" s="258" t="s">
        <v>145</v>
      </c>
      <c r="B57" s="278">
        <f>'Ind T6'!Q19</f>
        <v>2.4200000000215338</v>
      </c>
      <c r="C57" s="275" t="str">
        <f>CONCATENATE("(",ROUND((B57/$H58)*100,1),")")</f>
        <v>(12.3)</v>
      </c>
      <c r="D57" s="278">
        <f>'Ind T6'!R19</f>
        <v>0.5540000000012818</v>
      </c>
      <c r="E57" s="275" t="str">
        <f>CONCATENATE("(",ROUND((D57/$H58)*100,1),")")</f>
        <v>(2.8)</v>
      </c>
      <c r="F57" s="278">
        <f>'Ind T6'!S19</f>
        <v>0</v>
      </c>
      <c r="G57" s="275" t="str">
        <f>CONCATENATE("(",ROUND((F57/$H58)*100,1),")")</f>
        <v>(0)</v>
      </c>
      <c r="H57" s="278">
        <f t="shared" ref="H57" si="56">SUM(B57,D57,F57)</f>
        <v>2.9740000000228157</v>
      </c>
      <c r="I57" s="275" t="str">
        <f>CONCATENATE("(",ROUND((H57/$H58)*100,1),")")</f>
        <v>(15.1)</v>
      </c>
      <c r="K57" s="278">
        <f t="shared" ref="K57:K58" si="57">B62-B57</f>
        <v>-0.68299999999286332</v>
      </c>
      <c r="L57" s="278">
        <f t="shared" ref="L57:L58" si="58">D62-D57</f>
        <v>-0.11900000000270622</v>
      </c>
      <c r="M57" s="278">
        <f t="shared" ref="M57:M58" si="59">F62-F57</f>
        <v>0</v>
      </c>
      <c r="N57" s="278">
        <f t="shared" ref="N57:N58" si="60">SUM(K57:M57)</f>
        <v>-0.80199999999556959</v>
      </c>
    </row>
    <row r="58" spans="1:14">
      <c r="A58" s="258" t="s">
        <v>146</v>
      </c>
      <c r="B58" s="278">
        <f>SUM(B56:B57)</f>
        <v>17.001000000084112</v>
      </c>
      <c r="C58" s="275" t="str">
        <f>CONCATENATE("(",ROUND((B58/$H58)*100,1),")")</f>
        <v>(86.1)</v>
      </c>
      <c r="D58" s="278">
        <f>SUM(D56:D57)</f>
        <v>1.1700000000045705</v>
      </c>
      <c r="E58" s="275" t="str">
        <f>CONCATENATE("(",ROUND((D58/$H58)*100,1),")")</f>
        <v>(5.9)</v>
      </c>
      <c r="F58" s="278">
        <f>SUM(F56:F57)</f>
        <v>1.5769999999679782</v>
      </c>
      <c r="G58" s="275" t="str">
        <f>CONCATENATE("(",ROUND((F58/$H58)*100,1),")")</f>
        <v>(8)</v>
      </c>
      <c r="H58" s="278">
        <f>SUM(H56:H57)</f>
        <v>19.748000000056663</v>
      </c>
      <c r="I58" s="275" t="str">
        <f>CONCATENATE("(",ROUND((H58/$H58)*100,1),")")</f>
        <v>(100)</v>
      </c>
      <c r="K58" s="278">
        <f t="shared" si="57"/>
        <v>-4.4469999999984484</v>
      </c>
      <c r="L58" s="278">
        <f t="shared" si="58"/>
        <v>-0.23600000000186183</v>
      </c>
      <c r="M58" s="278">
        <f t="shared" si="59"/>
        <v>-0.36699999998833643</v>
      </c>
      <c r="N58" s="278">
        <f t="shared" si="60"/>
        <v>-5.0499999999886471</v>
      </c>
    </row>
    <row r="59" spans="1:14">
      <c r="B59" s="278"/>
      <c r="C59" s="260"/>
      <c r="D59" s="278"/>
      <c r="E59" s="260"/>
      <c r="F59" s="278"/>
      <c r="G59" s="260"/>
      <c r="H59" s="278"/>
      <c r="I59" s="260"/>
    </row>
    <row r="60" spans="1:14" ht="12.95">
      <c r="A60" s="268">
        <f>$A$18</f>
        <v>2035</v>
      </c>
      <c r="B60" s="278"/>
      <c r="C60" s="260"/>
      <c r="D60" s="278"/>
      <c r="E60" s="260"/>
      <c r="F60" s="278"/>
      <c r="G60" s="260"/>
      <c r="H60" s="278"/>
      <c r="I60" s="260"/>
      <c r="K60" s="262" t="str">
        <f>CONCATENATE(A50," - ",A60)</f>
        <v>2020 - 2035</v>
      </c>
    </row>
    <row r="61" spans="1:14">
      <c r="A61" s="258" t="s">
        <v>144</v>
      </c>
      <c r="B61" s="278">
        <f>'Ind T6'!V20</f>
        <v>10.817000000056993</v>
      </c>
      <c r="C61" s="275" t="str">
        <f>CONCATENATE("(",ROUND((B61/$H63)*100,1),")")</f>
        <v>(73.6)</v>
      </c>
      <c r="D61" s="278">
        <f>'Ind T6'!W20</f>
        <v>0.49900000000413314</v>
      </c>
      <c r="E61" s="275" t="str">
        <f>CONCATENATE("(",ROUND((D61/$H63)*100,1),")")</f>
        <v>(3.4)</v>
      </c>
      <c r="F61" s="278">
        <f>'Ind T6'!X20</f>
        <v>1.2099999999796418</v>
      </c>
      <c r="G61" s="275" t="str">
        <f>CONCATENATE("(",ROUND((F61/$H63)*100,1),")")</f>
        <v>(8.2)</v>
      </c>
      <c r="H61" s="278">
        <f>SUM(B61,D61,F61)</f>
        <v>12.526000000040767</v>
      </c>
      <c r="I61" s="275" t="str">
        <f>CONCATENATE("(",ROUND((H61/$H63)*100,1),")")</f>
        <v>(85.2)</v>
      </c>
      <c r="K61" s="278">
        <f>B61-B51</f>
        <v>-7.3699999999679875</v>
      </c>
      <c r="L61" s="278">
        <f>D61-D51</f>
        <v>-0.22799999999778553</v>
      </c>
      <c r="M61" s="278">
        <f>F61-F51</f>
        <v>-0.68000000000619232</v>
      </c>
      <c r="N61" s="278">
        <f>SUM(K61:M61)</f>
        <v>-8.277999999971966</v>
      </c>
    </row>
    <row r="62" spans="1:14">
      <c r="A62" s="258" t="s">
        <v>145</v>
      </c>
      <c r="B62" s="278">
        <f>'Ind T6'!V19</f>
        <v>1.7370000000286705</v>
      </c>
      <c r="C62" s="275" t="str">
        <f>CONCATENATE("(",ROUND((B62/$H63)*100,1),")")</f>
        <v>(11.8)</v>
      </c>
      <c r="D62" s="278">
        <f>'Ind T6'!W19</f>
        <v>0.43499999999857558</v>
      </c>
      <c r="E62" s="275" t="str">
        <f>CONCATENATE("(",ROUND((D62/$H63)*100,1),")")</f>
        <v>(3)</v>
      </c>
      <c r="F62" s="278">
        <f>'Ind T6'!X19</f>
        <v>0</v>
      </c>
      <c r="G62" s="275" t="str">
        <f>CONCATENATE("(",ROUND((F62/$H63)*100,1),")")</f>
        <v>(0)</v>
      </c>
      <c r="H62" s="278">
        <f t="shared" ref="H62" si="61">SUM(B62,D62,F62)</f>
        <v>2.1720000000272459</v>
      </c>
      <c r="I62" s="275" t="str">
        <f>CONCATENATE("(",ROUND((H62/$H63)*100,1),")")</f>
        <v>(14.8)</v>
      </c>
      <c r="K62" s="278">
        <f t="shared" ref="K62:K63" si="62">B62-B52</f>
        <v>-1.2889999999563213</v>
      </c>
      <c r="L62" s="278">
        <f t="shared" ref="L62:L63" si="63">D62-D52</f>
        <v>-0.2410000000008124</v>
      </c>
      <c r="M62" s="278">
        <f t="shared" ref="M62:M63" si="64">F62-F52</f>
        <v>0</v>
      </c>
      <c r="N62" s="278">
        <f t="shared" ref="N62:N63" si="65">SUM(K62:M62)</f>
        <v>-1.5299999999571336</v>
      </c>
    </row>
    <row r="63" spans="1:14">
      <c r="A63" s="258" t="s">
        <v>146</v>
      </c>
      <c r="B63" s="278">
        <f>SUM(B61:B62)</f>
        <v>12.554000000085663</v>
      </c>
      <c r="C63" s="275" t="str">
        <f>CONCATENATE("(",ROUND((B63/$H63)*100,1),")")</f>
        <v>(85.4)</v>
      </c>
      <c r="D63" s="278">
        <f>SUM(D61:D62)</f>
        <v>0.93400000000270866</v>
      </c>
      <c r="E63" s="275" t="str">
        <f>CONCATENATE("(",ROUND((D63/$H63)*100,1),")")</f>
        <v>(6.4)</v>
      </c>
      <c r="F63" s="278">
        <f>SUM(F61:F62)</f>
        <v>1.2099999999796418</v>
      </c>
      <c r="G63" s="275" t="str">
        <f>CONCATENATE("(",ROUND((F63/$H63)*100,1),")")</f>
        <v>(8.2)</v>
      </c>
      <c r="H63" s="278">
        <f>SUM(H61:H62)</f>
        <v>14.698000000068014</v>
      </c>
      <c r="I63" s="275" t="str">
        <f>CONCATENATE("(",ROUND((H63/$H63)*100,1),")")</f>
        <v>(100)</v>
      </c>
      <c r="K63" s="278">
        <f t="shared" si="62"/>
        <v>-8.6589999999243101</v>
      </c>
      <c r="L63" s="278">
        <f t="shared" si="63"/>
        <v>-0.46899999999859787</v>
      </c>
      <c r="M63" s="278">
        <f t="shared" si="64"/>
        <v>-0.68000000000619232</v>
      </c>
      <c r="N63" s="278">
        <f t="shared" si="65"/>
        <v>-9.8079999999291001</v>
      </c>
    </row>
    <row r="64" spans="1:14">
      <c r="A64" s="269"/>
      <c r="B64" s="270"/>
      <c r="C64" s="269"/>
      <c r="D64" s="270"/>
      <c r="E64" s="269"/>
      <c r="F64" s="270"/>
      <c r="G64" s="269"/>
      <c r="H64" s="270"/>
      <c r="I64" s="269"/>
      <c r="J64" s="269"/>
      <c r="K64" s="270"/>
      <c r="L64" s="270"/>
      <c r="M64" s="270"/>
      <c r="N64" s="270"/>
    </row>
    <row r="68" spans="1:14" ht="12.95">
      <c r="A68" s="264"/>
      <c r="B68" s="265" t="s">
        <v>133</v>
      </c>
      <c r="C68" s="264"/>
      <c r="D68" s="265"/>
      <c r="E68" s="264"/>
      <c r="F68" s="265" t="str">
        <f>name!B6</f>
        <v>Food drink and tobacco</v>
      </c>
      <c r="G68" s="264"/>
      <c r="H68" s="267"/>
      <c r="I68" s="264"/>
      <c r="J68" s="266"/>
      <c r="K68" s="267"/>
      <c r="L68" s="267"/>
      <c r="M68" s="267"/>
      <c r="N68" s="267"/>
    </row>
    <row r="69" spans="1:14" ht="12.95">
      <c r="N69" s="263" t="s">
        <v>134</v>
      </c>
    </row>
    <row r="70" spans="1:14" ht="12.95">
      <c r="A70" s="158" t="s">
        <v>135</v>
      </c>
      <c r="B70" s="364" t="s">
        <v>136</v>
      </c>
      <c r="C70" s="364"/>
      <c r="D70" s="364" t="s">
        <v>137</v>
      </c>
      <c r="E70" s="364"/>
      <c r="F70" s="364" t="s">
        <v>138</v>
      </c>
      <c r="G70" s="364"/>
      <c r="H70" s="364" t="s">
        <v>119</v>
      </c>
      <c r="I70" s="364"/>
      <c r="J70" s="158"/>
      <c r="K70" s="273" t="s">
        <v>139</v>
      </c>
      <c r="L70" s="273" t="s">
        <v>140</v>
      </c>
      <c r="M70" s="273" t="s">
        <v>141</v>
      </c>
      <c r="N70" s="273" t="s">
        <v>119</v>
      </c>
    </row>
    <row r="71" spans="1:14" ht="12.95">
      <c r="A71" s="268">
        <f>$A$8</f>
        <v>2020</v>
      </c>
      <c r="B71" s="263" t="s">
        <v>142</v>
      </c>
      <c r="C71" s="18" t="s">
        <v>143</v>
      </c>
      <c r="D71" s="263" t="s">
        <v>142</v>
      </c>
      <c r="E71" s="18" t="s">
        <v>143</v>
      </c>
      <c r="F71" s="263" t="s">
        <v>142</v>
      </c>
      <c r="G71" s="18" t="s">
        <v>143</v>
      </c>
      <c r="H71" s="263" t="s">
        <v>142</v>
      </c>
      <c r="I71" s="18" t="s">
        <v>143</v>
      </c>
      <c r="J71" s="158"/>
      <c r="K71" s="262" t="str">
        <f>CONCATENATE(A71," - ",A76)</f>
        <v>2020 - 2025</v>
      </c>
      <c r="L71" s="261"/>
      <c r="M71" s="261"/>
    </row>
    <row r="72" spans="1:14">
      <c r="A72" s="258" t="s">
        <v>144</v>
      </c>
      <c r="B72" s="278">
        <f>'Ind T6'!L40</f>
        <v>211.12000000034024</v>
      </c>
      <c r="C72" s="275" t="str">
        <f>CONCATENATE("(",ROUND((B72/$H74)*100,1),")")</f>
        <v>(57.5)</v>
      </c>
      <c r="D72" s="278">
        <f>'Ind T6'!M40</f>
        <v>16.646999999884972</v>
      </c>
      <c r="E72" s="275" t="str">
        <f>CONCATENATE("(",ROUND((D72/$H74)*100,1),")")</f>
        <v>(4.5)</v>
      </c>
      <c r="F72" s="278">
        <f>'Ind T6'!N40</f>
        <v>5.140999999971438</v>
      </c>
      <c r="G72" s="275" t="str">
        <f>CONCATENATE("(",ROUND((F72/$H74)*100,1),")")</f>
        <v>(1.4)</v>
      </c>
      <c r="H72" s="278">
        <f>SUM(B72,D72,F72)</f>
        <v>232.90800000019664</v>
      </c>
      <c r="I72" s="275" t="str">
        <f>CONCATENATE("(",ROUND((H72/$H74)*100,1),")")</f>
        <v>(63.4)</v>
      </c>
      <c r="K72" s="278">
        <f>B77-B72</f>
        <v>-0.67299999985218051</v>
      </c>
      <c r="L72" s="278">
        <f>D77-D72</f>
        <v>0.31900000025192554</v>
      </c>
      <c r="M72" s="278">
        <f>F77-F72</f>
        <v>0.11699999998504218</v>
      </c>
      <c r="N72" s="278">
        <f>SUM(K72:M72)</f>
        <v>-0.23699999961521279</v>
      </c>
    </row>
    <row r="73" spans="1:14">
      <c r="A73" s="258" t="s">
        <v>145</v>
      </c>
      <c r="B73" s="278">
        <f>'Ind T6'!L39</f>
        <v>97.971999999566677</v>
      </c>
      <c r="C73" s="275" t="str">
        <f>CONCATENATE("(",ROUND((B73/$H74)*100,1),")")</f>
        <v>(26.7)</v>
      </c>
      <c r="D73" s="278">
        <f>'Ind T6'!M39</f>
        <v>29.131000000575121</v>
      </c>
      <c r="E73" s="275" t="str">
        <f>CONCATENATE("(",ROUND((D73/$H74)*100,1),")")</f>
        <v>(7.9)</v>
      </c>
      <c r="F73" s="278">
        <f>'Ind T6'!N39</f>
        <v>7.2979999998861995</v>
      </c>
      <c r="G73" s="275" t="str">
        <f>CONCATENATE("(",ROUND((F73/$H74)*100,1),")")</f>
        <v>(2)</v>
      </c>
      <c r="H73" s="278">
        <f t="shared" ref="H73" si="66">SUM(B73,D73,F73)</f>
        <v>134.40100000002801</v>
      </c>
      <c r="I73" s="275" t="str">
        <f>CONCATENATE("(",ROUND((H73/$H74)*100,1),")")</f>
        <v>(36.6)</v>
      </c>
      <c r="K73" s="278">
        <f t="shared" ref="K73:K74" si="67">B78-B73</f>
        <v>4.1990000028247181</v>
      </c>
      <c r="L73" s="278">
        <f t="shared" ref="L73:L74" si="68">D78-D73</f>
        <v>0.41900000045482599</v>
      </c>
      <c r="M73" s="278">
        <f t="shared" ref="M73:M74" si="69">F78-F73</f>
        <v>0.12200000012821555</v>
      </c>
      <c r="N73" s="278">
        <f t="shared" ref="N73:N74" si="70">SUM(K73:M73)</f>
        <v>4.7400000034077596</v>
      </c>
    </row>
    <row r="74" spans="1:14">
      <c r="A74" s="258" t="s">
        <v>146</v>
      </c>
      <c r="B74" s="278">
        <f>SUM(B72:B73)</f>
        <v>309.09199999990693</v>
      </c>
      <c r="C74" s="275" t="str">
        <f>CONCATENATE("(",ROUND((B74/$H74)*100,1),")")</f>
        <v>(84.2)</v>
      </c>
      <c r="D74" s="278">
        <f>SUM(D72:D73)</f>
        <v>45.778000000460096</v>
      </c>
      <c r="E74" s="275" t="str">
        <f>CONCATENATE("(",ROUND((D74/$H74)*100,1),")")</f>
        <v>(12.5)</v>
      </c>
      <c r="F74" s="278">
        <f>SUM(F72:F73)</f>
        <v>12.438999999857637</v>
      </c>
      <c r="G74" s="275" t="str">
        <f>CONCATENATE("(",ROUND((F74/$H74)*100,1),")")</f>
        <v>(3.4)</v>
      </c>
      <c r="H74" s="278">
        <f>SUM(H72:H73)</f>
        <v>367.30900000022461</v>
      </c>
      <c r="I74" s="275" t="str">
        <f>CONCATENATE("(",ROUND((H74/$H74)*100,1),")")</f>
        <v>(100)</v>
      </c>
      <c r="K74" s="278">
        <f t="shared" si="67"/>
        <v>3.5260000029725234</v>
      </c>
      <c r="L74" s="278">
        <f t="shared" si="68"/>
        <v>0.73800000070674798</v>
      </c>
      <c r="M74" s="278">
        <f t="shared" si="69"/>
        <v>0.23900000011325773</v>
      </c>
      <c r="N74" s="278">
        <f t="shared" si="70"/>
        <v>4.5030000037925291</v>
      </c>
    </row>
    <row r="75" spans="1:14">
      <c r="B75" s="278"/>
      <c r="C75" s="260"/>
      <c r="D75" s="278"/>
      <c r="E75" s="260"/>
      <c r="F75" s="278"/>
      <c r="G75" s="260"/>
      <c r="H75" s="278"/>
      <c r="I75" s="260"/>
    </row>
    <row r="76" spans="1:14" ht="12.95">
      <c r="A76" s="268">
        <f>$A$13</f>
        <v>2025</v>
      </c>
      <c r="B76" s="278"/>
      <c r="C76" s="260"/>
      <c r="D76" s="278"/>
      <c r="E76" s="260"/>
      <c r="F76" s="278"/>
      <c r="G76" s="260"/>
      <c r="H76" s="278"/>
      <c r="I76" s="260"/>
      <c r="K76" s="262" t="str">
        <f>CONCATENATE(A76," - ",A81)</f>
        <v>2025 - 2035</v>
      </c>
    </row>
    <row r="77" spans="1:14">
      <c r="A77" s="258" t="s">
        <v>144</v>
      </c>
      <c r="B77" s="278">
        <f>'Ind T6'!Q40</f>
        <v>210.44700000048806</v>
      </c>
      <c r="C77" s="275" t="str">
        <f>CONCATENATE("(",ROUND((B77/$H79)*100,1),")")</f>
        <v>(56.6)</v>
      </c>
      <c r="D77" s="278">
        <f>'Ind T6'!R40</f>
        <v>16.966000000136898</v>
      </c>
      <c r="E77" s="275" t="str">
        <f>CONCATENATE("(",ROUND((D77/$H79)*100,1),")")</f>
        <v>(4.6)</v>
      </c>
      <c r="F77" s="278">
        <f>'Ind T6'!S40</f>
        <v>5.2579999999564802</v>
      </c>
      <c r="G77" s="275" t="str">
        <f>CONCATENATE("(",ROUND((F77/$H79)*100,1),")")</f>
        <v>(1.4)</v>
      </c>
      <c r="H77" s="278">
        <f>SUM(B77,D77,F77)</f>
        <v>232.67100000058142</v>
      </c>
      <c r="I77" s="275" t="str">
        <f>CONCATENATE("(",ROUND((H77/$H79)*100,1),")")</f>
        <v>(62.6)</v>
      </c>
      <c r="K77" s="278">
        <f>B82-B77</f>
        <v>-11.460000000061626</v>
      </c>
      <c r="L77" s="278">
        <f>D82-D77</f>
        <v>-0.24400000002873412</v>
      </c>
      <c r="M77" s="278">
        <f>F82-F77</f>
        <v>5.6000000001578343E-2</v>
      </c>
      <c r="N77" s="278">
        <f>SUM(K77:M77)</f>
        <v>-11.648000000088782</v>
      </c>
    </row>
    <row r="78" spans="1:14">
      <c r="A78" s="258" t="s">
        <v>145</v>
      </c>
      <c r="B78" s="278">
        <f>'Ind T6'!Q39</f>
        <v>102.17100000239139</v>
      </c>
      <c r="C78" s="275" t="str">
        <f>CONCATENATE("(",ROUND((B78/$H79)*100,1),")")</f>
        <v>(27.5)</v>
      </c>
      <c r="D78" s="278">
        <f>'Ind T6'!R39</f>
        <v>29.550000001029947</v>
      </c>
      <c r="E78" s="275" t="str">
        <f>CONCATENATE("(",ROUND((D78/$H79)*100,1),")")</f>
        <v>(7.9)</v>
      </c>
      <c r="F78" s="278">
        <f>'Ind T6'!S39</f>
        <v>7.4200000000144151</v>
      </c>
      <c r="G78" s="275" t="str">
        <f>CONCATENATE("(",ROUND((F78/$H79)*100,1),")")</f>
        <v>(2)</v>
      </c>
      <c r="H78" s="278">
        <f t="shared" ref="H78" si="71">SUM(B78,D78,F78)</f>
        <v>139.14100000343578</v>
      </c>
      <c r="I78" s="275" t="str">
        <f>CONCATENATE("(",ROUND((H78/$H79)*100,1),")")</f>
        <v>(37.4)</v>
      </c>
      <c r="K78" s="278">
        <f t="shared" ref="K78:K79" si="72">B83-B78</f>
        <v>2.8880000005295727</v>
      </c>
      <c r="L78" s="278">
        <f t="shared" ref="L78:L79" si="73">D83-D78</f>
        <v>-0.76800000008105584</v>
      </c>
      <c r="M78" s="278">
        <f t="shared" ref="M78:M79" si="74">F83-F78</f>
        <v>-0.19100000003027695</v>
      </c>
      <c r="N78" s="278">
        <f t="shared" ref="N78:N79" si="75">SUM(K78:M78)</f>
        <v>1.9290000004182399</v>
      </c>
    </row>
    <row r="79" spans="1:14">
      <c r="A79" s="258" t="s">
        <v>146</v>
      </c>
      <c r="B79" s="278">
        <f>SUM(B77:B78)</f>
        <v>312.61800000287946</v>
      </c>
      <c r="C79" s="275" t="str">
        <f>CONCATENATE("(",ROUND((B79/$H79)*100,1),")")</f>
        <v>(84.1)</v>
      </c>
      <c r="D79" s="278">
        <f>SUM(D77:D78)</f>
        <v>46.516000001166844</v>
      </c>
      <c r="E79" s="275" t="str">
        <f>CONCATENATE("(",ROUND((D79/$H79)*100,1),")")</f>
        <v>(12.5)</v>
      </c>
      <c r="F79" s="278">
        <f>SUM(F77:F78)</f>
        <v>12.677999999970895</v>
      </c>
      <c r="G79" s="275" t="str">
        <f>CONCATENATE("(",ROUND((F79/$H79)*100,1),")")</f>
        <v>(3.4)</v>
      </c>
      <c r="H79" s="278">
        <f>SUM(H77:H78)</f>
        <v>371.81200000401719</v>
      </c>
      <c r="I79" s="275" t="str">
        <f>CONCATENATE("(",ROUND((H79/$H79)*100,1),")")</f>
        <v>(100)</v>
      </c>
      <c r="K79" s="278">
        <f t="shared" si="72"/>
        <v>-8.5719999995320677</v>
      </c>
      <c r="L79" s="278">
        <f t="shared" si="73"/>
        <v>-1.0120000001097935</v>
      </c>
      <c r="M79" s="278">
        <f t="shared" si="74"/>
        <v>-0.13500000002869861</v>
      </c>
      <c r="N79" s="278">
        <f t="shared" si="75"/>
        <v>-9.7189999996705598</v>
      </c>
    </row>
    <row r="80" spans="1:14">
      <c r="B80" s="278"/>
      <c r="C80" s="260"/>
      <c r="D80" s="278"/>
      <c r="E80" s="260"/>
      <c r="F80" s="278"/>
      <c r="G80" s="260"/>
      <c r="H80" s="278"/>
      <c r="I80" s="260"/>
    </row>
    <row r="81" spans="1:14" ht="12.95">
      <c r="A81" s="268">
        <f>$A$18</f>
        <v>2035</v>
      </c>
      <c r="B81" s="278"/>
      <c r="C81" s="260"/>
      <c r="D81" s="278"/>
      <c r="E81" s="260"/>
      <c r="F81" s="278"/>
      <c r="G81" s="260"/>
      <c r="H81" s="278"/>
      <c r="I81" s="260"/>
      <c r="K81" s="262" t="str">
        <f>CONCATENATE(A71," - ",A81)</f>
        <v>2020 - 2035</v>
      </c>
    </row>
    <row r="82" spans="1:14">
      <c r="A82" s="258" t="s">
        <v>144</v>
      </c>
      <c r="B82" s="278">
        <f>'Ind T6'!V40</f>
        <v>198.98700000042643</v>
      </c>
      <c r="C82" s="275" t="str">
        <f>CONCATENATE("(",ROUND((B82/$H84)*100,1),")")</f>
        <v>(55)</v>
      </c>
      <c r="D82" s="278">
        <f>'Ind T6'!W40</f>
        <v>16.722000000108164</v>
      </c>
      <c r="E82" s="275" t="str">
        <f>CONCATENATE("(",ROUND((D82/$H84)*100,1),")")</f>
        <v>(4.6)</v>
      </c>
      <c r="F82" s="278">
        <f>'Ind T6'!X40</f>
        <v>5.3139999999580585</v>
      </c>
      <c r="G82" s="275" t="str">
        <f>CONCATENATE("(",ROUND((F82/$H84)*100,1),")")</f>
        <v>(1.5)</v>
      </c>
      <c r="H82" s="278">
        <f>SUM(B82,D82,F82)</f>
        <v>221.02300000049266</v>
      </c>
      <c r="I82" s="275" t="str">
        <f>CONCATENATE("(",ROUND((H82/$H84)*100,1),")")</f>
        <v>(61)</v>
      </c>
      <c r="K82" s="278">
        <f>B82-B72</f>
        <v>-12.132999999913807</v>
      </c>
      <c r="L82" s="278">
        <f>D82-D72</f>
        <v>7.5000000223191421E-2</v>
      </c>
      <c r="M82" s="278">
        <f>F82-F72</f>
        <v>0.17299999998662052</v>
      </c>
      <c r="N82" s="278">
        <f>SUM(K82:M82)</f>
        <v>-11.884999999703995</v>
      </c>
    </row>
    <row r="83" spans="1:14">
      <c r="A83" s="258" t="s">
        <v>145</v>
      </c>
      <c r="B83" s="278">
        <f>'Ind T6'!V39</f>
        <v>105.05900000292097</v>
      </c>
      <c r="C83" s="275" t="str">
        <f>CONCATENATE("(",ROUND((B83/$H84)*100,1),")")</f>
        <v>(29)</v>
      </c>
      <c r="D83" s="278">
        <f>'Ind T6'!W39</f>
        <v>28.782000000948891</v>
      </c>
      <c r="E83" s="275" t="str">
        <f>CONCATENATE("(",ROUND((D83/$H84)*100,1),")")</f>
        <v>(7.9)</v>
      </c>
      <c r="F83" s="278">
        <f>'Ind T6'!X39</f>
        <v>7.2289999999841381</v>
      </c>
      <c r="G83" s="275" t="str">
        <f>CONCATENATE("(",ROUND((F83/$H84)*100,1),")")</f>
        <v>(2)</v>
      </c>
      <c r="H83" s="278">
        <f t="shared" ref="H83" si="76">SUM(B83,D83,F83)</f>
        <v>141.07000000385398</v>
      </c>
      <c r="I83" s="275" t="str">
        <f>CONCATENATE("(",ROUND((H83/$H84)*100,1),")")</f>
        <v>(39)</v>
      </c>
      <c r="K83" s="278">
        <f t="shared" ref="K83:K84" si="77">B83-B73</f>
        <v>7.0870000033542908</v>
      </c>
      <c r="L83" s="278">
        <f t="shared" ref="L83:L84" si="78">D83-D73</f>
        <v>-0.34899999962622985</v>
      </c>
      <c r="M83" s="278">
        <f t="shared" ref="M83:M84" si="79">F83-F73</f>
        <v>-6.8999999902061404E-2</v>
      </c>
      <c r="N83" s="278">
        <f t="shared" ref="N83:N84" si="80">SUM(K83:M83)</f>
        <v>6.6690000038259996</v>
      </c>
    </row>
    <row r="84" spans="1:14">
      <c r="A84" s="258" t="s">
        <v>146</v>
      </c>
      <c r="B84" s="278">
        <f>SUM(B82:B83)</f>
        <v>304.04600000334739</v>
      </c>
      <c r="C84" s="275" t="str">
        <f>CONCATENATE("(",ROUND((B84/$H84)*100,1),")")</f>
        <v>(84)</v>
      </c>
      <c r="D84" s="278">
        <f>SUM(D82:D83)</f>
        <v>45.504000001057051</v>
      </c>
      <c r="E84" s="275" t="str">
        <f>CONCATENATE("(",ROUND((D84/$H84)*100,1),")")</f>
        <v>(12.6)</v>
      </c>
      <c r="F84" s="278">
        <f>SUM(F82:F83)</f>
        <v>12.542999999942197</v>
      </c>
      <c r="G84" s="275" t="str">
        <f>CONCATENATE("(",ROUND((F84/$H84)*100,1),")")</f>
        <v>(3.5)</v>
      </c>
      <c r="H84" s="278">
        <f>SUM(H82:H83)</f>
        <v>362.09300000434666</v>
      </c>
      <c r="I84" s="275" t="str">
        <f>CONCATENATE("(",ROUND((H84/$H84)*100,1),")")</f>
        <v>(100)</v>
      </c>
      <c r="K84" s="278">
        <f t="shared" si="77"/>
        <v>-5.0459999965595443</v>
      </c>
      <c r="L84" s="278">
        <f t="shared" si="78"/>
        <v>-0.27399999940304554</v>
      </c>
      <c r="M84" s="278">
        <f t="shared" si="79"/>
        <v>0.10400000008455912</v>
      </c>
      <c r="N84" s="278">
        <f t="shared" si="80"/>
        <v>-5.2159999958780308</v>
      </c>
    </row>
    <row r="85" spans="1:14">
      <c r="A85" s="269"/>
      <c r="B85" s="270"/>
      <c r="C85" s="269"/>
      <c r="D85" s="270"/>
      <c r="E85" s="269"/>
      <c r="F85" s="270"/>
      <c r="G85" s="269"/>
      <c r="H85" s="270"/>
      <c r="I85" s="269"/>
      <c r="J85" s="269"/>
      <c r="K85" s="270"/>
      <c r="L85" s="270"/>
      <c r="M85" s="270"/>
      <c r="N85" s="270"/>
    </row>
    <row r="89" spans="1:14" ht="12.95">
      <c r="A89" s="264"/>
      <c r="B89" s="265" t="s">
        <v>133</v>
      </c>
      <c r="C89" s="264"/>
      <c r="D89" s="265"/>
      <c r="E89" s="264"/>
      <c r="F89" s="265" t="str">
        <f>name!B7</f>
        <v>Engineering</v>
      </c>
      <c r="G89" s="264"/>
      <c r="H89" s="267"/>
      <c r="I89" s="264"/>
      <c r="J89" s="266"/>
      <c r="K89" s="267"/>
      <c r="L89" s="267"/>
      <c r="M89" s="267"/>
      <c r="N89" s="267"/>
    </row>
    <row r="90" spans="1:14" ht="12.95">
      <c r="N90" s="263" t="s">
        <v>134</v>
      </c>
    </row>
    <row r="91" spans="1:14" ht="12.95">
      <c r="A91" s="158" t="s">
        <v>135</v>
      </c>
      <c r="B91" s="364" t="s">
        <v>136</v>
      </c>
      <c r="C91" s="364"/>
      <c r="D91" s="364" t="s">
        <v>137</v>
      </c>
      <c r="E91" s="364"/>
      <c r="F91" s="364" t="s">
        <v>138</v>
      </c>
      <c r="G91" s="364"/>
      <c r="H91" s="364" t="s">
        <v>119</v>
      </c>
      <c r="I91" s="364"/>
      <c r="J91" s="158"/>
      <c r="K91" s="273" t="s">
        <v>139</v>
      </c>
      <c r="L91" s="273" t="s">
        <v>140</v>
      </c>
      <c r="M91" s="273" t="s">
        <v>141</v>
      </c>
      <c r="N91" s="273" t="s">
        <v>119</v>
      </c>
    </row>
    <row r="92" spans="1:14" ht="12.95">
      <c r="A92" s="268">
        <f>$A$8</f>
        <v>2020</v>
      </c>
      <c r="B92" s="263" t="s">
        <v>142</v>
      </c>
      <c r="C92" s="18" t="s">
        <v>143</v>
      </c>
      <c r="D92" s="263" t="s">
        <v>142</v>
      </c>
      <c r="E92" s="18" t="s">
        <v>143</v>
      </c>
      <c r="F92" s="263" t="s">
        <v>142</v>
      </c>
      <c r="G92" s="18" t="s">
        <v>143</v>
      </c>
      <c r="H92" s="263" t="s">
        <v>142</v>
      </c>
      <c r="I92" s="18" t="s">
        <v>143</v>
      </c>
      <c r="J92" s="158"/>
      <c r="K92" s="262" t="str">
        <f>CONCATENATE(A92," - ",A97)</f>
        <v>2020 - 2025</v>
      </c>
      <c r="L92" s="261"/>
      <c r="M92" s="261"/>
    </row>
    <row r="93" spans="1:14">
      <c r="A93" s="258" t="s">
        <v>144</v>
      </c>
      <c r="B93" s="278">
        <f>'Ind T6'!L65</f>
        <v>225.09899999946526</v>
      </c>
      <c r="C93" s="275" t="str">
        <f>CONCATENATE("(",ROUND((B93/$H95)*100,1),")")</f>
        <v>(69.8)</v>
      </c>
      <c r="D93" s="278">
        <f>'Ind T6'!M65</f>
        <v>10.263999999973816</v>
      </c>
      <c r="E93" s="275" t="str">
        <f>CONCATENATE("(",ROUND((D93/$H95)*100,1),")")</f>
        <v>(3.2)</v>
      </c>
      <c r="F93" s="278">
        <f>'Ind T6'!N65</f>
        <v>9.5260000000169764</v>
      </c>
      <c r="G93" s="275" t="str">
        <f>CONCATENATE("(",ROUND((F93/$H95)*100,1),")")</f>
        <v>(3)</v>
      </c>
      <c r="H93" s="278">
        <f>SUM(B93,D93,F93)</f>
        <v>244.88899999945605</v>
      </c>
      <c r="I93" s="275" t="str">
        <f>CONCATENATE("(",ROUND((H93/$H95)*100,1),")")</f>
        <v>(75.9)</v>
      </c>
      <c r="K93" s="278">
        <f>B98-B93</f>
        <v>4.6770000006933401</v>
      </c>
      <c r="L93" s="278">
        <f>D98-D93</f>
        <v>0.47700000002474674</v>
      </c>
      <c r="M93" s="278">
        <f>F98-F93</f>
        <v>0.65099999997723934</v>
      </c>
      <c r="N93" s="278">
        <f>SUM(K93:M93)</f>
        <v>5.8050000006953262</v>
      </c>
    </row>
    <row r="94" spans="1:14">
      <c r="A94" s="258" t="s">
        <v>145</v>
      </c>
      <c r="B94" s="278">
        <f>'Ind T6'!L64</f>
        <v>56.690999999554244</v>
      </c>
      <c r="C94" s="275" t="str">
        <f>CONCATENATE("(",ROUND((B94/$H95)*100,1),")")</f>
        <v>(17.6)</v>
      </c>
      <c r="D94" s="278">
        <f>'Ind T6'!M64</f>
        <v>14.43300000012853</v>
      </c>
      <c r="E94" s="275" t="str">
        <f>CONCATENATE("(",ROUND((D94/$H95)*100,1),")")</f>
        <v>(4.5)</v>
      </c>
      <c r="F94" s="278">
        <f>'Ind T6'!N64</f>
        <v>6.642999999937981</v>
      </c>
      <c r="G94" s="275" t="str">
        <f>CONCATENATE("(",ROUND((F94/$H95)*100,1),")")</f>
        <v>(2.1)</v>
      </c>
      <c r="H94" s="278">
        <f t="shared" ref="H94" si="81">SUM(B94,D94,F94)</f>
        <v>77.766999999620765</v>
      </c>
      <c r="I94" s="275" t="str">
        <f>CONCATENATE("(",ROUND((H94/$H95)*100,1),")")</f>
        <v>(24.1)</v>
      </c>
      <c r="K94" s="278">
        <f t="shared" ref="K94:K95" si="82">B99-B94</f>
        <v>0.21700000148360488</v>
      </c>
      <c r="L94" s="278">
        <f t="shared" ref="L94:L95" si="83">D99-D94</f>
        <v>0.1820000000581139</v>
      </c>
      <c r="M94" s="278">
        <f t="shared" ref="M94:M95" si="84">F99-F94</f>
        <v>0.1250000000649969</v>
      </c>
      <c r="N94" s="278">
        <f t="shared" ref="N94:N95" si="85">SUM(K94:M94)</f>
        <v>0.52400000160671567</v>
      </c>
    </row>
    <row r="95" spans="1:14">
      <c r="A95" s="258" t="s">
        <v>146</v>
      </c>
      <c r="B95" s="278">
        <f>SUM(B93:B94)</f>
        <v>281.78999999901953</v>
      </c>
      <c r="C95" s="275" t="str">
        <f>CONCATENATE("(",ROUND((B95/$H95)*100,1),")")</f>
        <v>(87.3)</v>
      </c>
      <c r="D95" s="278">
        <f>SUM(D93:D94)</f>
        <v>24.697000000102346</v>
      </c>
      <c r="E95" s="275" t="str">
        <f>CONCATENATE("(",ROUND((D95/$H95)*100,1),")")</f>
        <v>(7.7)</v>
      </c>
      <c r="F95" s="278">
        <f>SUM(F93:F94)</f>
        <v>16.168999999954956</v>
      </c>
      <c r="G95" s="275" t="str">
        <f>CONCATENATE("(",ROUND((F95/$H95)*100,1),")")</f>
        <v>(5)</v>
      </c>
      <c r="H95" s="278">
        <f>SUM(H93:H94)</f>
        <v>322.65599999907681</v>
      </c>
      <c r="I95" s="275" t="str">
        <f>CONCATENATE("(",ROUND((H95/$H95)*100,1),")")</f>
        <v>(100)</v>
      </c>
      <c r="K95" s="278">
        <f t="shared" si="82"/>
        <v>4.8940000021769379</v>
      </c>
      <c r="L95" s="278">
        <f t="shared" si="83"/>
        <v>0.65900000008285886</v>
      </c>
      <c r="M95" s="278">
        <f t="shared" si="84"/>
        <v>0.77600000004223801</v>
      </c>
      <c r="N95" s="278">
        <f t="shared" si="85"/>
        <v>6.3290000023020347</v>
      </c>
    </row>
    <row r="96" spans="1:14">
      <c r="B96" s="278"/>
      <c r="C96" s="260"/>
      <c r="D96" s="278"/>
      <c r="E96" s="260"/>
      <c r="F96" s="278"/>
      <c r="G96" s="260"/>
      <c r="H96" s="278"/>
      <c r="I96" s="260"/>
    </row>
    <row r="97" spans="1:14" ht="12.95">
      <c r="A97" s="268">
        <f>$A$13</f>
        <v>2025</v>
      </c>
      <c r="B97" s="278"/>
      <c r="C97" s="260"/>
      <c r="D97" s="278"/>
      <c r="E97" s="260"/>
      <c r="F97" s="278"/>
      <c r="G97" s="260"/>
      <c r="H97" s="278"/>
      <c r="I97" s="260"/>
      <c r="K97" s="262" t="str">
        <f>CONCATENATE(A97," - ",A102)</f>
        <v>2025 - 2035</v>
      </c>
    </row>
    <row r="98" spans="1:14">
      <c r="A98" s="258" t="s">
        <v>144</v>
      </c>
      <c r="B98" s="278">
        <f>'Ind T6'!Q65</f>
        <v>229.7760000001586</v>
      </c>
      <c r="C98" s="275" t="str">
        <f>CONCATENATE("(",ROUND((B98/$H100)*100,1),")")</f>
        <v>(69.8)</v>
      </c>
      <c r="D98" s="278">
        <f>'Ind T6'!R65</f>
        <v>10.740999999998563</v>
      </c>
      <c r="E98" s="275" t="str">
        <f>CONCATENATE("(",ROUND((D98/$H100)*100,1),")")</f>
        <v>(3.3)</v>
      </c>
      <c r="F98" s="278">
        <f>'Ind T6'!S65</f>
        <v>10.176999999994216</v>
      </c>
      <c r="G98" s="275" t="str">
        <f>CONCATENATE("(",ROUND((F98/$H100)*100,1),")")</f>
        <v>(3.1)</v>
      </c>
      <c r="H98" s="278">
        <f>SUM(B98,D98,F98)</f>
        <v>250.69400000015139</v>
      </c>
      <c r="I98" s="275" t="str">
        <f>CONCATENATE("(",ROUND((H98/$H100)*100,1),")")</f>
        <v>(76.2)</v>
      </c>
      <c r="K98" s="278">
        <f>B103-B98</f>
        <v>-27.204999999871518</v>
      </c>
      <c r="L98" s="278">
        <f>D103-D98</f>
        <v>-0.68000000001450367</v>
      </c>
      <c r="M98" s="278">
        <f>F103-F98</f>
        <v>-0.62900000000949063</v>
      </c>
      <c r="N98" s="278">
        <f>SUM(K98:M98)</f>
        <v>-28.51399999989551</v>
      </c>
    </row>
    <row r="99" spans="1:14">
      <c r="A99" s="258" t="s">
        <v>145</v>
      </c>
      <c r="B99" s="278">
        <f>'Ind T6'!Q64</f>
        <v>56.908000001037848</v>
      </c>
      <c r="C99" s="275" t="str">
        <f>CONCATENATE("(",ROUND((B99/$H100)*100,1),")")</f>
        <v>(17.3)</v>
      </c>
      <c r="D99" s="278">
        <f>'Ind T6'!R64</f>
        <v>14.615000000186644</v>
      </c>
      <c r="E99" s="275" t="str">
        <f>CONCATENATE("(",ROUND((D99/$H100)*100,1),")")</f>
        <v>(4.4)</v>
      </c>
      <c r="F99" s="278">
        <f>'Ind T6'!S64</f>
        <v>6.7680000000029779</v>
      </c>
      <c r="G99" s="275" t="str">
        <f>CONCATENATE("(",ROUND((F99/$H100)*100,1),")")</f>
        <v>(2.1)</v>
      </c>
      <c r="H99" s="278">
        <f t="shared" ref="H99" si="86">SUM(B99,D99,F99)</f>
        <v>78.291000001227474</v>
      </c>
      <c r="I99" s="275" t="str">
        <f>CONCATENATE("(",ROUND((H99/$H100)*100,1),")")</f>
        <v>(23.8)</v>
      </c>
      <c r="K99" s="278">
        <f t="shared" ref="K99:K100" si="87">B104-B99</f>
        <v>-8.0569999998173145</v>
      </c>
      <c r="L99" s="278">
        <f t="shared" ref="L99:L100" si="88">D104-D99</f>
        <v>-1.7240000000128752</v>
      </c>
      <c r="M99" s="278">
        <f t="shared" ref="M99:M100" si="89">F104-F99</f>
        <v>-0.51400000003167357</v>
      </c>
      <c r="N99" s="278">
        <f t="shared" ref="N99:N100" si="90">SUM(K99:M99)</f>
        <v>-10.294999999861863</v>
      </c>
    </row>
    <row r="100" spans="1:14">
      <c r="A100" s="258" t="s">
        <v>146</v>
      </c>
      <c r="B100" s="278">
        <f>SUM(B98:B99)</f>
        <v>286.68400000119647</v>
      </c>
      <c r="C100" s="275" t="str">
        <f>CONCATENATE("(",ROUND((B100/$H100)*100,1),")")</f>
        <v>(87.1)</v>
      </c>
      <c r="D100" s="278">
        <f>SUM(D98:D99)</f>
        <v>25.356000000185205</v>
      </c>
      <c r="E100" s="275" t="str">
        <f>CONCATENATE("(",ROUND((D100/$H100)*100,1),")")</f>
        <v>(7.7)</v>
      </c>
      <c r="F100" s="278">
        <f>SUM(F98:F99)</f>
        <v>16.944999999997194</v>
      </c>
      <c r="G100" s="275" t="str">
        <f>CONCATENATE("(",ROUND((F100/$H100)*100,1),")")</f>
        <v>(5.2)</v>
      </c>
      <c r="H100" s="278">
        <f>SUM(H98:H99)</f>
        <v>328.98500000137886</v>
      </c>
      <c r="I100" s="275" t="str">
        <f>CONCATENATE("(",ROUND((H100/$H100)*100,1),")")</f>
        <v>(100)</v>
      </c>
      <c r="K100" s="278">
        <f t="shared" si="87"/>
        <v>-35.26199999968884</v>
      </c>
      <c r="L100" s="278">
        <f t="shared" si="88"/>
        <v>-2.4040000000273771</v>
      </c>
      <c r="M100" s="278">
        <f t="shared" si="89"/>
        <v>-1.1430000000411642</v>
      </c>
      <c r="N100" s="278">
        <f t="shared" si="90"/>
        <v>-38.808999999757383</v>
      </c>
    </row>
    <row r="101" spans="1:14">
      <c r="B101" s="278"/>
      <c r="C101" s="260"/>
      <c r="D101" s="278"/>
      <c r="E101" s="260"/>
      <c r="F101" s="278"/>
      <c r="G101" s="260"/>
      <c r="H101" s="278"/>
      <c r="I101" s="260"/>
    </row>
    <row r="102" spans="1:14" ht="12.95">
      <c r="A102" s="268">
        <f>$A$18</f>
        <v>2035</v>
      </c>
      <c r="B102" s="278"/>
      <c r="C102" s="260"/>
      <c r="D102" s="278"/>
      <c r="E102" s="260"/>
      <c r="F102" s="278"/>
      <c r="G102" s="260"/>
      <c r="H102" s="278"/>
      <c r="I102" s="260"/>
      <c r="K102" s="262" t="str">
        <f>CONCATENATE(A92," - ",A102)</f>
        <v>2020 - 2035</v>
      </c>
    </row>
    <row r="103" spans="1:14">
      <c r="A103" s="258" t="s">
        <v>144</v>
      </c>
      <c r="B103" s="278">
        <f>'Ind T6'!V65</f>
        <v>202.57100000028709</v>
      </c>
      <c r="C103" s="275" t="str">
        <f>CONCATENATE("(",ROUND((B103/$H105)*100,1),")")</f>
        <v>(69.8)</v>
      </c>
      <c r="D103" s="278">
        <f>'Ind T6'!W65</f>
        <v>10.060999999984059</v>
      </c>
      <c r="E103" s="275" t="str">
        <f>CONCATENATE("(",ROUND((D103/$H105)*100,1),")")</f>
        <v>(3.5)</v>
      </c>
      <c r="F103" s="278">
        <f>'Ind T6'!X65</f>
        <v>9.5479999999847252</v>
      </c>
      <c r="G103" s="275" t="str">
        <f>CONCATENATE("(",ROUND((F103/$H105)*100,1),")")</f>
        <v>(3.3)</v>
      </c>
      <c r="H103" s="278">
        <f>SUM(B103,D103,F103)</f>
        <v>222.18000000025586</v>
      </c>
      <c r="I103" s="275" t="str">
        <f>CONCATENATE("(",ROUND((H103/$H105)*100,1),")")</f>
        <v>(76.6)</v>
      </c>
      <c r="K103" s="278">
        <f>B103-B93</f>
        <v>-22.527999999178178</v>
      </c>
      <c r="L103" s="278">
        <f>D103-D93</f>
        <v>-0.20299999998975693</v>
      </c>
      <c r="M103" s="278">
        <f>F103-F93</f>
        <v>2.1999999967748707E-2</v>
      </c>
      <c r="N103" s="278">
        <f>SUM(K103:M103)</f>
        <v>-22.708999999200188</v>
      </c>
    </row>
    <row r="104" spans="1:14">
      <c r="A104" s="258" t="s">
        <v>145</v>
      </c>
      <c r="B104" s="278">
        <f>'Ind T6'!V64</f>
        <v>48.851000001220534</v>
      </c>
      <c r="C104" s="275" t="str">
        <f>CONCATENATE("(",ROUND((B104/$H105)*100,1),")")</f>
        <v>(16.8)</v>
      </c>
      <c r="D104" s="278">
        <f>'Ind T6'!W64</f>
        <v>12.891000000173769</v>
      </c>
      <c r="E104" s="275" t="str">
        <f>CONCATENATE("(",ROUND((D104/$H105)*100,1),")")</f>
        <v>(4.4)</v>
      </c>
      <c r="F104" s="278">
        <f>'Ind T6'!X64</f>
        <v>6.2539999999713043</v>
      </c>
      <c r="G104" s="275" t="str">
        <f>CONCATENATE("(",ROUND((F104/$H105)*100,1),")")</f>
        <v>(2.2)</v>
      </c>
      <c r="H104" s="278">
        <f t="shared" ref="H104" si="91">SUM(B104,D104,F104)</f>
        <v>67.996000001365601</v>
      </c>
      <c r="I104" s="275" t="str">
        <f>CONCATENATE("(",ROUND((H104/$H105)*100,1),")")</f>
        <v>(23.4)</v>
      </c>
      <c r="K104" s="278">
        <f t="shared" ref="K104:K105" si="92">B104-B94</f>
        <v>-7.8399999983337096</v>
      </c>
      <c r="L104" s="278">
        <f t="shared" ref="L104:L105" si="93">D104-D94</f>
        <v>-1.5419999999547613</v>
      </c>
      <c r="M104" s="278">
        <f t="shared" ref="M104:M105" si="94">F104-F94</f>
        <v>-0.38899999996667667</v>
      </c>
      <c r="N104" s="278">
        <f t="shared" ref="N104:N105" si="95">SUM(K104:M104)</f>
        <v>-9.7709999982551476</v>
      </c>
    </row>
    <row r="105" spans="1:14">
      <c r="A105" s="258" t="s">
        <v>146</v>
      </c>
      <c r="B105" s="278">
        <f>SUM(B103:B104)</f>
        <v>251.42200000150763</v>
      </c>
      <c r="C105" s="275" t="str">
        <f>CONCATENATE("(",ROUND((B105/$H105)*100,1),")")</f>
        <v>(86.6)</v>
      </c>
      <c r="D105" s="278">
        <f>SUM(D103:D104)</f>
        <v>22.952000000157827</v>
      </c>
      <c r="E105" s="275" t="str">
        <f>CONCATENATE("(",ROUND((D105/$H105)*100,1),")")</f>
        <v>(7.9)</v>
      </c>
      <c r="F105" s="278">
        <f>SUM(F103:F104)</f>
        <v>15.801999999956029</v>
      </c>
      <c r="G105" s="275" t="str">
        <f>CONCATENATE("(",ROUND((F105/$H105)*100,1),")")</f>
        <v>(5.4)</v>
      </c>
      <c r="H105" s="278">
        <f>SUM(H103:H104)</f>
        <v>290.17600000162145</v>
      </c>
      <c r="I105" s="275" t="str">
        <f>CONCATENATE("(",ROUND((H105/$H105)*100,1),")")</f>
        <v>(100)</v>
      </c>
      <c r="K105" s="278">
        <f t="shared" si="92"/>
        <v>-30.367999997511902</v>
      </c>
      <c r="L105" s="278">
        <f t="shared" si="93"/>
        <v>-1.7449999999445183</v>
      </c>
      <c r="M105" s="278">
        <f t="shared" si="94"/>
        <v>-0.36699999999892619</v>
      </c>
      <c r="N105" s="278">
        <f t="shared" si="95"/>
        <v>-32.479999997455344</v>
      </c>
    </row>
    <row r="106" spans="1:14">
      <c r="A106" s="269"/>
      <c r="B106" s="270"/>
      <c r="C106" s="269"/>
      <c r="D106" s="270"/>
      <c r="E106" s="269"/>
      <c r="F106" s="270"/>
      <c r="G106" s="269"/>
      <c r="H106" s="270"/>
      <c r="I106" s="269"/>
      <c r="J106" s="269"/>
      <c r="K106" s="270"/>
      <c r="L106" s="270"/>
      <c r="M106" s="270"/>
      <c r="N106" s="270"/>
    </row>
    <row r="107" spans="1:14">
      <c r="A107" s="271"/>
    </row>
    <row r="109" spans="1:14" ht="12.95">
      <c r="C109" s="158"/>
      <c r="E109" s="158"/>
      <c r="G109" s="158"/>
      <c r="I109" s="158"/>
    </row>
    <row r="110" spans="1:14" ht="12.95">
      <c r="A110" s="264"/>
      <c r="B110" s="265" t="s">
        <v>133</v>
      </c>
      <c r="C110" s="264"/>
      <c r="D110" s="265"/>
      <c r="E110" s="264"/>
      <c r="F110" s="265" t="str">
        <f>name!B8</f>
        <v>Rest of manufacturing</v>
      </c>
      <c r="G110" s="264"/>
      <c r="H110" s="267"/>
      <c r="I110" s="264"/>
      <c r="J110" s="266"/>
      <c r="K110" s="267"/>
      <c r="L110" s="267"/>
      <c r="M110" s="267"/>
      <c r="N110" s="267"/>
    </row>
    <row r="111" spans="1:14" ht="12.95">
      <c r="N111" s="263" t="s">
        <v>134</v>
      </c>
    </row>
    <row r="112" spans="1:14" ht="12.95">
      <c r="A112" s="158" t="s">
        <v>135</v>
      </c>
      <c r="B112" s="364" t="s">
        <v>136</v>
      </c>
      <c r="C112" s="364"/>
      <c r="D112" s="364" t="s">
        <v>137</v>
      </c>
      <c r="E112" s="364"/>
      <c r="F112" s="364" t="s">
        <v>138</v>
      </c>
      <c r="G112" s="364"/>
      <c r="H112" s="364" t="s">
        <v>119</v>
      </c>
      <c r="I112" s="364"/>
      <c r="J112" s="158"/>
      <c r="K112" s="273" t="s">
        <v>139</v>
      </c>
      <c r="L112" s="273" t="s">
        <v>140</v>
      </c>
      <c r="M112" s="273" t="s">
        <v>141</v>
      </c>
      <c r="N112" s="273" t="s">
        <v>119</v>
      </c>
    </row>
    <row r="113" spans="1:14" ht="12.95">
      <c r="A113" s="268">
        <f>$A$8</f>
        <v>2020</v>
      </c>
      <c r="B113" s="263" t="s">
        <v>142</v>
      </c>
      <c r="C113" s="18" t="s">
        <v>143</v>
      </c>
      <c r="D113" s="263" t="s">
        <v>142</v>
      </c>
      <c r="E113" s="18" t="s">
        <v>143</v>
      </c>
      <c r="F113" s="263" t="s">
        <v>142</v>
      </c>
      <c r="G113" s="18" t="s">
        <v>143</v>
      </c>
      <c r="H113" s="263" t="s">
        <v>142</v>
      </c>
      <c r="I113" s="18" t="s">
        <v>143</v>
      </c>
      <c r="J113" s="158"/>
      <c r="K113" s="262" t="str">
        <f>CONCATENATE(A113," - ",A118)</f>
        <v>2020 - 2025</v>
      </c>
      <c r="L113" s="261"/>
      <c r="M113" s="261"/>
    </row>
    <row r="114" spans="1:14">
      <c r="A114" s="258" t="s">
        <v>144</v>
      </c>
      <c r="B114" s="278">
        <f>'Ind T6'!L155</f>
        <v>1026.1039999986008</v>
      </c>
      <c r="C114" s="275" t="str">
        <f>CONCATENATE("(",ROUND((B114/$H116)*100,1),")")</f>
        <v>(67.6)</v>
      </c>
      <c r="D114" s="278">
        <f>'Ind T6'!M155</f>
        <v>57.249000000076677</v>
      </c>
      <c r="E114" s="275" t="str">
        <f>CONCATENATE("(",ROUND((D114/$H116)*100,1),")")</f>
        <v>(3.8)</v>
      </c>
      <c r="F114" s="278">
        <f>'Ind T6'!N155</f>
        <v>87.686999999705932</v>
      </c>
      <c r="G114" s="275" t="str">
        <f>CONCATENATE("(",ROUND((F114/$H116)*100,1),")")</f>
        <v>(5.8)</v>
      </c>
      <c r="H114" s="278">
        <f>SUM(B114,D114,F114)</f>
        <v>1171.0399999983833</v>
      </c>
      <c r="I114" s="275" t="str">
        <f>CONCATENATE("(",ROUND((H114/$H116)*100,1),")")</f>
        <v>(77.1)</v>
      </c>
      <c r="K114" s="278">
        <f>B119-B114</f>
        <v>-59.686999997605312</v>
      </c>
      <c r="L114" s="278">
        <f>D119-D114</f>
        <v>-3.592999999857355</v>
      </c>
      <c r="M114" s="278">
        <f>F119-F114</f>
        <v>-5.7610000008135103</v>
      </c>
      <c r="N114" s="278">
        <f>SUM(K114:M114)</f>
        <v>-69.040999998276178</v>
      </c>
    </row>
    <row r="115" spans="1:14">
      <c r="A115" s="258" t="s">
        <v>145</v>
      </c>
      <c r="B115" s="278">
        <f>'Ind T6'!L154</f>
        <v>235.42299999794756</v>
      </c>
      <c r="C115" s="275" t="str">
        <f>CONCATENATE("(",ROUND((B115/$H116)*100,1),")")</f>
        <v>(15.5)</v>
      </c>
      <c r="D115" s="278">
        <f>'Ind T6'!M154</f>
        <v>75.219000000993134</v>
      </c>
      <c r="E115" s="275" t="str">
        <f>CONCATENATE("(",ROUND((D115/$H116)*100,1),")")</f>
        <v>(5)</v>
      </c>
      <c r="F115" s="278">
        <f>'Ind T6'!N154</f>
        <v>36.762999999572685</v>
      </c>
      <c r="G115" s="275" t="str">
        <f>CONCATENATE("(",ROUND((F115/$H116)*100,1),")")</f>
        <v>(2.4)</v>
      </c>
      <c r="H115" s="278">
        <f t="shared" ref="H115" si="96">SUM(B115,D115,F115)</f>
        <v>347.4049999985134</v>
      </c>
      <c r="I115" s="275" t="str">
        <f>CONCATENATE("(",ROUND((H115/$H116)*100,1),")")</f>
        <v>(22.9)</v>
      </c>
      <c r="K115" s="278">
        <f t="shared" ref="K115:K116" si="97">B120-B115</f>
        <v>-11.361999993530759</v>
      </c>
      <c r="L115" s="278">
        <f t="shared" ref="L115:L116" si="98">D120-D115</f>
        <v>-4.5259999998440748</v>
      </c>
      <c r="M115" s="278">
        <f t="shared" ref="M115:M116" si="99">F120-F115</f>
        <v>-3.5899999994016341</v>
      </c>
      <c r="N115" s="278">
        <f t="shared" ref="N115:N116" si="100">SUM(K115:M115)</f>
        <v>-19.477999992776468</v>
      </c>
    </row>
    <row r="116" spans="1:14">
      <c r="A116" s="258" t="s">
        <v>146</v>
      </c>
      <c r="B116" s="278">
        <f>SUM(B114:B115)</f>
        <v>1261.5269999965483</v>
      </c>
      <c r="C116" s="275" t="str">
        <f>CONCATENATE("(",ROUND((B116/$H116)*100,1),")")</f>
        <v>(83.1)</v>
      </c>
      <c r="D116" s="278">
        <f>SUM(D114:D115)</f>
        <v>132.46800000106981</v>
      </c>
      <c r="E116" s="275" t="str">
        <f>CONCATENATE("(",ROUND((D116/$H116)*100,1),")")</f>
        <v>(8.7)</v>
      </c>
      <c r="F116" s="278">
        <f>SUM(F114:F115)</f>
        <v>124.44999999927862</v>
      </c>
      <c r="G116" s="275" t="str">
        <f>CONCATENATE("(",ROUND((F116/$H116)*100,1),")")</f>
        <v>(8.2)</v>
      </c>
      <c r="H116" s="278">
        <f>SUM(H114:H115)</f>
        <v>1518.4449999968967</v>
      </c>
      <c r="I116" s="275" t="str">
        <f>CONCATENATE("(",ROUND((H116/$H116)*100,1),")")</f>
        <v>(100)</v>
      </c>
      <c r="K116" s="278">
        <f t="shared" si="97"/>
        <v>-71.048999991136043</v>
      </c>
      <c r="L116" s="278">
        <f t="shared" si="98"/>
        <v>-8.1189999997014297</v>
      </c>
      <c r="M116" s="278">
        <f t="shared" si="99"/>
        <v>-9.3510000002151514</v>
      </c>
      <c r="N116" s="278">
        <f t="shared" si="100"/>
        <v>-88.518999991052624</v>
      </c>
    </row>
    <row r="117" spans="1:14">
      <c r="B117" s="278"/>
      <c r="C117" s="260"/>
      <c r="D117" s="278"/>
      <c r="E117" s="260"/>
      <c r="F117" s="278"/>
      <c r="G117" s="260"/>
      <c r="H117" s="278"/>
      <c r="I117" s="260"/>
    </row>
    <row r="118" spans="1:14" ht="12.95">
      <c r="A118" s="268">
        <f>$A$13</f>
        <v>2025</v>
      </c>
      <c r="B118" s="278"/>
      <c r="C118" s="260"/>
      <c r="D118" s="278"/>
      <c r="E118" s="260"/>
      <c r="F118" s="278"/>
      <c r="G118" s="260"/>
      <c r="H118" s="278"/>
      <c r="I118" s="260"/>
      <c r="K118" s="262" t="str">
        <f>CONCATENATE(A118," - ",A123)</f>
        <v>2025 - 2035</v>
      </c>
    </row>
    <row r="119" spans="1:14">
      <c r="A119" s="258" t="s">
        <v>144</v>
      </c>
      <c r="B119" s="278">
        <f>'Ind T6'!Q155</f>
        <v>966.41700000099547</v>
      </c>
      <c r="C119" s="275" t="str">
        <f>CONCATENATE("(",ROUND((B119/$H121)*100,1),")")</f>
        <v>(67.6)</v>
      </c>
      <c r="D119" s="278">
        <f>'Ind T6'!R155</f>
        <v>53.656000000219322</v>
      </c>
      <c r="E119" s="275" t="str">
        <f>CONCATENATE("(",ROUND((D119/$H121)*100,1),")")</f>
        <v>(3.8)</v>
      </c>
      <c r="F119" s="278">
        <f>'Ind T6'!S155</f>
        <v>81.925999998892422</v>
      </c>
      <c r="G119" s="275" t="str">
        <f>CONCATENATE("(",ROUND((F119/$H121)*100,1),")")</f>
        <v>(5.7)</v>
      </c>
      <c r="H119" s="278">
        <f>SUM(B119,D119,F119)</f>
        <v>1101.9990000001073</v>
      </c>
      <c r="I119" s="275" t="str">
        <f>CONCATENATE("(",ROUND((H119/$H121)*100,1),")")</f>
        <v>(77.1)</v>
      </c>
      <c r="K119" s="278">
        <f>B124-B119</f>
        <v>-89.371000000107074</v>
      </c>
      <c r="L119" s="278">
        <f>D124-D119</f>
        <v>-4.601999999986667</v>
      </c>
      <c r="M119" s="278">
        <f>F124-F119</f>
        <v>-4.6159999997573493</v>
      </c>
      <c r="N119" s="278">
        <f>SUM(K119:M119)</f>
        <v>-98.588999999851097</v>
      </c>
    </row>
    <row r="120" spans="1:14">
      <c r="A120" s="258" t="s">
        <v>145</v>
      </c>
      <c r="B120" s="278">
        <f>'Ind T6'!Q154</f>
        <v>224.0610000044168</v>
      </c>
      <c r="C120" s="275" t="str">
        <f>CONCATENATE("(",ROUND((B120/$H121)*100,1),")")</f>
        <v>(15.7)</v>
      </c>
      <c r="D120" s="278">
        <f>'Ind T6'!R154</f>
        <v>70.693000001149059</v>
      </c>
      <c r="E120" s="275" t="str">
        <f>CONCATENATE("(",ROUND((D120/$H121)*100,1),")")</f>
        <v>(4.9)</v>
      </c>
      <c r="F120" s="278">
        <f>'Ind T6'!S154</f>
        <v>33.173000000171051</v>
      </c>
      <c r="G120" s="275" t="str">
        <f>CONCATENATE("(",ROUND((F120/$H121)*100,1),")")</f>
        <v>(2.3)</v>
      </c>
      <c r="H120" s="278">
        <f t="shared" ref="H120" si="101">SUM(B120,D120,F120)</f>
        <v>327.92700000573689</v>
      </c>
      <c r="I120" s="275" t="str">
        <f>CONCATENATE("(",ROUND((H120/$H121)*100,1),")")</f>
        <v>(22.9)</v>
      </c>
      <c r="K120" s="278">
        <f t="shared" ref="K120:K121" si="102">B125-B120</f>
        <v>-15.100999998630328</v>
      </c>
      <c r="L120" s="278">
        <f t="shared" ref="L120:L121" si="103">D125-D120</f>
        <v>-5.6209999998083475</v>
      </c>
      <c r="M120" s="278">
        <f t="shared" ref="M120:M121" si="104">F125-F120</f>
        <v>-3.7229999999198142</v>
      </c>
      <c r="N120" s="278">
        <f t="shared" ref="N120:N121" si="105">SUM(K120:M120)</f>
        <v>-24.44499999835849</v>
      </c>
    </row>
    <row r="121" spans="1:14">
      <c r="A121" s="258" t="s">
        <v>146</v>
      </c>
      <c r="B121" s="278">
        <f>SUM(B119:B120)</f>
        <v>1190.4780000054122</v>
      </c>
      <c r="C121" s="275" t="str">
        <f>CONCATENATE("(",ROUND((B121/$H121)*100,1),")")</f>
        <v>(83.3)</v>
      </c>
      <c r="D121" s="278">
        <f>SUM(D119:D120)</f>
        <v>124.34900000136838</v>
      </c>
      <c r="E121" s="275" t="str">
        <f>CONCATENATE("(",ROUND((D121/$H121)*100,1),")")</f>
        <v>(8.7)</v>
      </c>
      <c r="F121" s="278">
        <f>SUM(F119:F120)</f>
        <v>115.09899999906347</v>
      </c>
      <c r="G121" s="275" t="str">
        <f>CONCATENATE("(",ROUND((F121/$H121)*100,1),")")</f>
        <v>(8)</v>
      </c>
      <c r="H121" s="278">
        <f>SUM(H119:H120)</f>
        <v>1429.9260000058443</v>
      </c>
      <c r="I121" s="275" t="str">
        <f>CONCATENATE("(",ROUND((H121/$H121)*100,1),")")</f>
        <v>(100)</v>
      </c>
      <c r="K121" s="278">
        <f t="shared" si="102"/>
        <v>-104.47199999873737</v>
      </c>
      <c r="L121" s="278">
        <f t="shared" si="103"/>
        <v>-10.222999999795007</v>
      </c>
      <c r="M121" s="278">
        <f t="shared" si="104"/>
        <v>-8.3389999996771564</v>
      </c>
      <c r="N121" s="278">
        <f t="shared" si="105"/>
        <v>-123.03399999820954</v>
      </c>
    </row>
    <row r="122" spans="1:14">
      <c r="B122" s="278"/>
      <c r="C122" s="260"/>
      <c r="D122" s="278"/>
      <c r="E122" s="260"/>
      <c r="F122" s="278"/>
      <c r="G122" s="260"/>
      <c r="H122" s="278"/>
      <c r="I122" s="260"/>
    </row>
    <row r="123" spans="1:14" ht="12.95">
      <c r="A123" s="268">
        <f>$A$18</f>
        <v>2035</v>
      </c>
      <c r="B123" s="278"/>
      <c r="C123" s="260"/>
      <c r="D123" s="278"/>
      <c r="E123" s="260"/>
      <c r="F123" s="278"/>
      <c r="G123" s="260"/>
      <c r="H123" s="278"/>
      <c r="I123" s="260"/>
      <c r="K123" s="262" t="str">
        <f>CONCATENATE(A113," - ",A123)</f>
        <v>2020 - 2035</v>
      </c>
    </row>
    <row r="124" spans="1:14">
      <c r="A124" s="258" t="s">
        <v>144</v>
      </c>
      <c r="B124" s="278">
        <f>'Ind T6'!V155</f>
        <v>877.0460000008884</v>
      </c>
      <c r="C124" s="275" t="str">
        <f>CONCATENATE("(",ROUND((B124/$H126)*100,1),")")</f>
        <v>(67.1)</v>
      </c>
      <c r="D124" s="278">
        <f>'Ind T6'!W155</f>
        <v>49.054000000232655</v>
      </c>
      <c r="E124" s="275" t="str">
        <f>CONCATENATE("(",ROUND((D124/$H126)*100,1),")")</f>
        <v>(3.8)</v>
      </c>
      <c r="F124" s="278">
        <f>'Ind T6'!X155</f>
        <v>77.309999999135073</v>
      </c>
      <c r="G124" s="275" t="str">
        <f>CONCATENATE("(",ROUND((F124/$H126)*100,1),")")</f>
        <v>(5.9)</v>
      </c>
      <c r="H124" s="278">
        <f>SUM(B124,D124,F124)</f>
        <v>1003.4100000002561</v>
      </c>
      <c r="I124" s="275" t="str">
        <f>CONCATENATE("(",ROUND((H124/$H126)*100,1),")")</f>
        <v>(76.8)</v>
      </c>
      <c r="K124" s="278">
        <f>B124-B114</f>
        <v>-149.05799999771239</v>
      </c>
      <c r="L124" s="278">
        <f>D124-D114</f>
        <v>-8.1949999998440219</v>
      </c>
      <c r="M124" s="278">
        <f>F124-F114</f>
        <v>-10.37700000057086</v>
      </c>
      <c r="N124" s="278">
        <f>SUM(K124:M124)</f>
        <v>-167.62999999812726</v>
      </c>
    </row>
    <row r="125" spans="1:14">
      <c r="A125" s="258" t="s">
        <v>145</v>
      </c>
      <c r="B125" s="278">
        <f>'Ind T6'!V154</f>
        <v>208.96000000578647</v>
      </c>
      <c r="C125" s="275" t="str">
        <f>CONCATENATE("(",ROUND((B125/$H126)*100,1),")")</f>
        <v>(16)</v>
      </c>
      <c r="D125" s="278">
        <f>'Ind T6'!W154</f>
        <v>65.072000001340712</v>
      </c>
      <c r="E125" s="275" t="str">
        <f>CONCATENATE("(",ROUND((D125/$H126)*100,1),")")</f>
        <v>(5)</v>
      </c>
      <c r="F125" s="278">
        <f>'Ind T6'!X154</f>
        <v>29.450000000251237</v>
      </c>
      <c r="G125" s="275" t="str">
        <f>CONCATENATE("(",ROUND((F125/$H126)*100,1),")")</f>
        <v>(2.3)</v>
      </c>
      <c r="H125" s="278">
        <f t="shared" ref="H125" si="106">SUM(B125,D125,F125)</f>
        <v>303.48200000737842</v>
      </c>
      <c r="I125" s="275" t="str">
        <f>CONCATENATE("(",ROUND((H125/$H126)*100,1),")")</f>
        <v>(23.2)</v>
      </c>
      <c r="K125" s="278">
        <f t="shared" ref="K125:K126" si="107">B125-B115</f>
        <v>-26.462999992161087</v>
      </c>
      <c r="L125" s="278">
        <f t="shared" ref="L125:L126" si="108">D125-D115</f>
        <v>-10.146999999652422</v>
      </c>
      <c r="M125" s="278">
        <f t="shared" ref="M125:M126" si="109">F125-F115</f>
        <v>-7.3129999993214483</v>
      </c>
      <c r="N125" s="278">
        <f t="shared" ref="N125:N126" si="110">SUM(K125:M125)</f>
        <v>-43.922999991134958</v>
      </c>
    </row>
    <row r="126" spans="1:14">
      <c r="A126" s="258" t="s">
        <v>146</v>
      </c>
      <c r="B126" s="278">
        <f>SUM(B124:B125)</f>
        <v>1086.0060000066749</v>
      </c>
      <c r="C126" s="275" t="str">
        <f>CONCATENATE("(",ROUND((B126/$H126)*100,1),")")</f>
        <v>(83.1)</v>
      </c>
      <c r="D126" s="278">
        <f>SUM(D124:D125)</f>
        <v>114.12600000157337</v>
      </c>
      <c r="E126" s="275" t="str">
        <f>CONCATENATE("(",ROUND((D126/$H126)*100,1),")")</f>
        <v>(8.7)</v>
      </c>
      <c r="F126" s="278">
        <f>SUM(F124:F125)</f>
        <v>106.75999999938631</v>
      </c>
      <c r="G126" s="275" t="str">
        <f>CONCATENATE("(",ROUND((F126/$H126)*100,1),")")</f>
        <v>(8.2)</v>
      </c>
      <c r="H126" s="278">
        <f>SUM(H124:H125)</f>
        <v>1306.8920000076346</v>
      </c>
      <c r="I126" s="275" t="str">
        <f>CONCATENATE("(",ROUND((H126/$H126)*100,1),")")</f>
        <v>(100)</v>
      </c>
      <c r="K126" s="278">
        <f t="shared" si="107"/>
        <v>-175.52099998987342</v>
      </c>
      <c r="L126" s="278">
        <f t="shared" si="108"/>
        <v>-18.341999999496437</v>
      </c>
      <c r="M126" s="278">
        <f t="shared" si="109"/>
        <v>-17.689999999892308</v>
      </c>
      <c r="N126" s="278">
        <f t="shared" si="110"/>
        <v>-211.55299998926216</v>
      </c>
    </row>
    <row r="127" spans="1:14">
      <c r="A127" s="269"/>
      <c r="B127" s="270"/>
      <c r="C127" s="269"/>
      <c r="D127" s="270"/>
      <c r="E127" s="269"/>
      <c r="F127" s="270"/>
      <c r="G127" s="269"/>
      <c r="H127" s="270"/>
      <c r="I127" s="269"/>
      <c r="J127" s="269"/>
      <c r="K127" s="270"/>
      <c r="L127" s="270"/>
      <c r="M127" s="270"/>
      <c r="N127" s="270"/>
    </row>
    <row r="131" spans="1:14" ht="12.95">
      <c r="A131" s="264"/>
      <c r="B131" s="265" t="s">
        <v>133</v>
      </c>
      <c r="C131" s="264"/>
      <c r="D131" s="265"/>
      <c r="E131" s="264"/>
      <c r="F131" s="265" t="str">
        <f>name!B9</f>
        <v>Electricity and gas</v>
      </c>
      <c r="G131" s="264"/>
      <c r="H131" s="267"/>
      <c r="I131" s="264"/>
      <c r="J131" s="266"/>
      <c r="K131" s="267"/>
      <c r="L131" s="267"/>
      <c r="M131" s="267"/>
      <c r="N131" s="267"/>
    </row>
    <row r="132" spans="1:14" ht="12.95">
      <c r="N132" s="263" t="s">
        <v>134</v>
      </c>
    </row>
    <row r="133" spans="1:14" ht="12.95">
      <c r="A133" s="158" t="s">
        <v>135</v>
      </c>
      <c r="B133" s="364" t="s">
        <v>136</v>
      </c>
      <c r="C133" s="364"/>
      <c r="D133" s="364" t="s">
        <v>137</v>
      </c>
      <c r="E133" s="364"/>
      <c r="F133" s="364" t="s">
        <v>138</v>
      </c>
      <c r="G133" s="364"/>
      <c r="H133" s="364" t="s">
        <v>119</v>
      </c>
      <c r="I133" s="364"/>
      <c r="J133" s="158"/>
      <c r="K133" s="273" t="s">
        <v>139</v>
      </c>
      <c r="L133" s="273" t="s">
        <v>140</v>
      </c>
      <c r="M133" s="273" t="s">
        <v>141</v>
      </c>
      <c r="N133" s="273" t="s">
        <v>119</v>
      </c>
    </row>
    <row r="134" spans="1:14" ht="12.95">
      <c r="A134" s="268">
        <f>$A$8</f>
        <v>2020</v>
      </c>
      <c r="B134" s="263" t="s">
        <v>142</v>
      </c>
      <c r="C134" s="18" t="s">
        <v>143</v>
      </c>
      <c r="D134" s="263" t="s">
        <v>142</v>
      </c>
      <c r="E134" s="18" t="s">
        <v>143</v>
      </c>
      <c r="F134" s="263" t="s">
        <v>142</v>
      </c>
      <c r="G134" s="18" t="s">
        <v>143</v>
      </c>
      <c r="H134" s="263" t="s">
        <v>142</v>
      </c>
      <c r="I134" s="18" t="s">
        <v>143</v>
      </c>
      <c r="J134" s="158"/>
      <c r="K134" s="262" t="str">
        <f>CONCATENATE(A134," - ",A139)</f>
        <v>2020 - 2025</v>
      </c>
      <c r="L134" s="261"/>
      <c r="M134" s="261"/>
    </row>
    <row r="135" spans="1:14">
      <c r="A135" s="258" t="s">
        <v>144</v>
      </c>
      <c r="B135" s="278">
        <f>'Ind T6'!L165</f>
        <v>78.405999999480656</v>
      </c>
      <c r="C135" s="275" t="str">
        <f>CONCATENATE("(",ROUND((B135/$H137)*100,1),")")</f>
        <v>(66)</v>
      </c>
      <c r="D135" s="278">
        <f>'Ind T6'!M165</f>
        <v>1.6989999999984808</v>
      </c>
      <c r="E135" s="275" t="str">
        <f>CONCATENATE("(",ROUND((D135/$H137)*100,1),")")</f>
        <v>(1.4)</v>
      </c>
      <c r="F135" s="278">
        <f>'Ind T6'!N165</f>
        <v>4.6020000000059955</v>
      </c>
      <c r="G135" s="275" t="str">
        <f>CONCATENATE("(",ROUND((F135/$H137)*100,1),")")</f>
        <v>(3.9)</v>
      </c>
      <c r="H135" s="278">
        <f>SUM(B135,D135,F135)</f>
        <v>84.706999999485134</v>
      </c>
      <c r="I135" s="275" t="str">
        <f>CONCATENATE("(",ROUND((H135/$H137)*100,1),")")</f>
        <v>(71.3)</v>
      </c>
      <c r="K135" s="278">
        <f>B140-B135</f>
        <v>-3.3289999995346164</v>
      </c>
      <c r="L135" s="278">
        <f>D140-D135</f>
        <v>-4.6999999984181695E-2</v>
      </c>
      <c r="M135" s="278">
        <f>F140-F135</f>
        <v>-0.12699999993453304</v>
      </c>
      <c r="N135" s="278">
        <f>SUM(K135:M135)</f>
        <v>-3.5029999994533312</v>
      </c>
    </row>
    <row r="136" spans="1:14">
      <c r="A136" s="258" t="s">
        <v>145</v>
      </c>
      <c r="B136" s="278">
        <f>'Ind T6'!L164</f>
        <v>25.3449999998865</v>
      </c>
      <c r="C136" s="275" t="str">
        <f>CONCATENATE("(",ROUND((B136/$H137)*100,1),")")</f>
        <v>(21.3)</v>
      </c>
      <c r="D136" s="278">
        <f>'Ind T6'!M164</f>
        <v>6.6830000001048333</v>
      </c>
      <c r="E136" s="275" t="str">
        <f>CONCATENATE("(",ROUND((D136/$H137)*100,1),")")</f>
        <v>(5.6)</v>
      </c>
      <c r="F136" s="278">
        <f>'Ind T6'!N164</f>
        <v>1.9959999999938931</v>
      </c>
      <c r="G136" s="275" t="str">
        <f>CONCATENATE("(",ROUND((F136/$H137)*100,1),")")</f>
        <v>(1.7)</v>
      </c>
      <c r="H136" s="278">
        <f t="shared" ref="H136" si="111">SUM(B136,D136,F136)</f>
        <v>34.023999999985229</v>
      </c>
      <c r="I136" s="275" t="str">
        <f>CONCATENATE("(",ROUND((H136/$H137)*100,1),")")</f>
        <v>(28.7)</v>
      </c>
      <c r="K136" s="278">
        <f t="shared" ref="K136:K137" si="112">B141-B136</f>
        <v>-0.65999999934785336</v>
      </c>
      <c r="L136" s="278">
        <f t="shared" ref="L136:L137" si="113">D141-D136</f>
        <v>-0.24499999994592248</v>
      </c>
      <c r="M136" s="278">
        <f t="shared" ref="M136:M137" si="114">F141-F136</f>
        <v>-7.3999999971216646E-2</v>
      </c>
      <c r="N136" s="278">
        <f t="shared" ref="N136:N137" si="115">SUM(K136:M136)</f>
        <v>-0.97899999926499248</v>
      </c>
    </row>
    <row r="137" spans="1:14">
      <c r="A137" s="258" t="s">
        <v>146</v>
      </c>
      <c r="B137" s="278">
        <f>SUM(B135:B136)</f>
        <v>103.75099999936715</v>
      </c>
      <c r="C137" s="275" t="str">
        <f>CONCATENATE("(",ROUND((B137/$H137)*100,1),")")</f>
        <v>(87.4)</v>
      </c>
      <c r="D137" s="278">
        <f>SUM(D135:D136)</f>
        <v>8.3820000001033144</v>
      </c>
      <c r="E137" s="275" t="str">
        <f>CONCATENATE("(",ROUND((D137/$H137)*100,1),")")</f>
        <v>(7.1)</v>
      </c>
      <c r="F137" s="278">
        <f>SUM(F135:F136)</f>
        <v>6.5979999999998888</v>
      </c>
      <c r="G137" s="275" t="str">
        <f>CONCATENATE("(",ROUND((F137/$H137)*100,1),")")</f>
        <v>(5.6)</v>
      </c>
      <c r="H137" s="278">
        <f>SUM(H135:H136)</f>
        <v>118.73099999947036</v>
      </c>
      <c r="I137" s="275" t="str">
        <f>CONCATENATE("(",ROUND((H137/$H137)*100,1),")")</f>
        <v>(100)</v>
      </c>
      <c r="K137" s="278">
        <f t="shared" si="112"/>
        <v>-3.9889999988824627</v>
      </c>
      <c r="L137" s="278">
        <f t="shared" si="113"/>
        <v>-0.29199999993010373</v>
      </c>
      <c r="M137" s="278">
        <f t="shared" si="114"/>
        <v>-0.20099999990574968</v>
      </c>
      <c r="N137" s="278">
        <f t="shared" si="115"/>
        <v>-4.4819999987183161</v>
      </c>
    </row>
    <row r="138" spans="1:14">
      <c r="B138" s="278"/>
      <c r="C138" s="260"/>
      <c r="D138" s="278"/>
      <c r="E138" s="260"/>
      <c r="F138" s="278"/>
      <c r="G138" s="260"/>
      <c r="H138" s="278"/>
      <c r="I138" s="260"/>
    </row>
    <row r="139" spans="1:14" ht="12.95">
      <c r="A139" s="268">
        <f>$A$13</f>
        <v>2025</v>
      </c>
      <c r="B139" s="278"/>
      <c r="C139" s="260"/>
      <c r="D139" s="278"/>
      <c r="E139" s="260"/>
      <c r="F139" s="278"/>
      <c r="G139" s="260"/>
      <c r="H139" s="278"/>
      <c r="I139" s="260"/>
      <c r="K139" s="262" t="str">
        <f>CONCATENATE(A139," - ",A144)</f>
        <v>2025 - 2035</v>
      </c>
    </row>
    <row r="140" spans="1:14">
      <c r="A140" s="258" t="s">
        <v>144</v>
      </c>
      <c r="B140" s="278">
        <f>'Ind T6'!Q165</f>
        <v>75.07699999994604</v>
      </c>
      <c r="C140" s="275" t="str">
        <f>CONCATENATE("(",ROUND((B140/$H142)*100,1),")")</f>
        <v>(65.7)</v>
      </c>
      <c r="D140" s="278">
        <f>'Ind T6'!R165</f>
        <v>1.6520000000142991</v>
      </c>
      <c r="E140" s="275" t="str">
        <f>CONCATENATE("(",ROUND((D140/$H142)*100,1),")")</f>
        <v>(1.4)</v>
      </c>
      <c r="F140" s="278">
        <f>'Ind T6'!S165</f>
        <v>4.4750000000714625</v>
      </c>
      <c r="G140" s="275" t="str">
        <f>CONCATENATE("(",ROUND((F140/$H142)*100,1),")")</f>
        <v>(3.9)</v>
      </c>
      <c r="H140" s="278">
        <f>SUM(B140,D140,F140)</f>
        <v>81.204000000031797</v>
      </c>
      <c r="I140" s="275" t="str">
        <f>CONCATENATE("(",ROUND((H140/$H142)*100,1),")")</f>
        <v>(71.1)</v>
      </c>
      <c r="K140" s="278">
        <f>B145-B140</f>
        <v>-1.2260000001569153</v>
      </c>
      <c r="L140" s="278">
        <f>D145-D140</f>
        <v>2.9000000001577986E-2</v>
      </c>
      <c r="M140" s="278">
        <f>F145-F140</f>
        <v>5.7000000001612428E-2</v>
      </c>
      <c r="N140" s="278">
        <f>SUM(K140:M140)</f>
        <v>-1.1400000001537249</v>
      </c>
    </row>
    <row r="141" spans="1:14">
      <c r="A141" s="258" t="s">
        <v>145</v>
      </c>
      <c r="B141" s="278">
        <f>'Ind T6'!Q164</f>
        <v>24.685000000538647</v>
      </c>
      <c r="C141" s="275" t="str">
        <f>CONCATENATE("(",ROUND((B141/$H142)*100,1),")")</f>
        <v>(21.6)</v>
      </c>
      <c r="D141" s="278">
        <f>'Ind T6'!R164</f>
        <v>6.4380000001589108</v>
      </c>
      <c r="E141" s="275" t="str">
        <f>CONCATENATE("(",ROUND((D141/$H142)*100,1),")")</f>
        <v>(5.6)</v>
      </c>
      <c r="F141" s="278">
        <f>'Ind T6'!S164</f>
        <v>1.9220000000226765</v>
      </c>
      <c r="G141" s="275" t="str">
        <f>CONCATENATE("(",ROUND((F141/$H142)*100,1),")")</f>
        <v>(1.7)</v>
      </c>
      <c r="H141" s="278">
        <f t="shared" ref="H141" si="116">SUM(B141,D141,F141)</f>
        <v>33.045000000720236</v>
      </c>
      <c r="I141" s="275" t="str">
        <f>CONCATENATE("(",ROUND((H141/$H142)*100,1),")")</f>
        <v>(28.9)</v>
      </c>
      <c r="K141" s="278">
        <f t="shared" ref="K141:K142" si="117">B146-B141</f>
        <v>0.41999999989474546</v>
      </c>
      <c r="L141" s="278">
        <f t="shared" ref="L141:L142" si="118">D146-D141</f>
        <v>-2.7000000064063556E-2</v>
      </c>
      <c r="M141" s="278">
        <f t="shared" ref="M141:M142" si="119">F146-F141</f>
        <v>-7.9999999176614267E-3</v>
      </c>
      <c r="N141" s="278">
        <f t="shared" ref="N141:N142" si="120">SUM(K141:M141)</f>
        <v>0.38499999991302047</v>
      </c>
    </row>
    <row r="142" spans="1:14">
      <c r="A142" s="258" t="s">
        <v>146</v>
      </c>
      <c r="B142" s="278">
        <f>SUM(B140:B141)</f>
        <v>99.76200000048469</v>
      </c>
      <c r="C142" s="275" t="str">
        <f>CONCATENATE("(",ROUND((B142/$H142)*100,1),")")</f>
        <v>(87.3)</v>
      </c>
      <c r="D142" s="278">
        <f>SUM(D140:D141)</f>
        <v>8.0900000001732106</v>
      </c>
      <c r="E142" s="275" t="str">
        <f>CONCATENATE("(",ROUND((D142/$H142)*100,1),")")</f>
        <v>(7.1)</v>
      </c>
      <c r="F142" s="278">
        <f>SUM(F140:F141)</f>
        <v>6.3970000000941392</v>
      </c>
      <c r="G142" s="275" t="str">
        <f>CONCATENATE("(",ROUND((F142/$H142)*100,1),")")</f>
        <v>(5.6)</v>
      </c>
      <c r="H142" s="278">
        <f>SUM(H140:H141)</f>
        <v>114.24900000075203</v>
      </c>
      <c r="I142" s="275" t="str">
        <f>CONCATENATE("(",ROUND((H142/$H142)*100,1),")")</f>
        <v>(100)</v>
      </c>
      <c r="K142" s="278">
        <f t="shared" si="117"/>
        <v>-0.80600000026217344</v>
      </c>
      <c r="L142" s="278">
        <f t="shared" si="118"/>
        <v>1.9999999375137634E-3</v>
      </c>
      <c r="M142" s="278">
        <f t="shared" si="119"/>
        <v>4.9000000083951001E-2</v>
      </c>
      <c r="N142" s="278">
        <f t="shared" si="120"/>
        <v>-0.75500000024070868</v>
      </c>
    </row>
    <row r="143" spans="1:14">
      <c r="B143" s="278"/>
      <c r="C143" s="260"/>
      <c r="D143" s="278"/>
      <c r="E143" s="260"/>
      <c r="F143" s="278"/>
      <c r="G143" s="260"/>
      <c r="H143" s="278"/>
      <c r="I143" s="260"/>
    </row>
    <row r="144" spans="1:14" ht="12.95">
      <c r="A144" s="268">
        <f>$A$18</f>
        <v>2035</v>
      </c>
      <c r="B144" s="278"/>
      <c r="C144" s="260"/>
      <c r="D144" s="278"/>
      <c r="E144" s="260"/>
      <c r="F144" s="278"/>
      <c r="G144" s="260"/>
      <c r="H144" s="278"/>
      <c r="I144" s="260"/>
      <c r="K144" s="262" t="str">
        <f>CONCATENATE(A134," - ",A144)</f>
        <v>2020 - 2035</v>
      </c>
    </row>
    <row r="145" spans="1:14">
      <c r="A145" s="258" t="s">
        <v>144</v>
      </c>
      <c r="B145" s="278">
        <f>'Ind T6'!V165</f>
        <v>73.850999999789124</v>
      </c>
      <c r="C145" s="275" t="str">
        <f>CONCATENATE("(",ROUND((B145/$H147)*100,1),")")</f>
        <v>(65.1)</v>
      </c>
      <c r="D145" s="278">
        <f>'Ind T6'!W165</f>
        <v>1.6810000000158771</v>
      </c>
      <c r="E145" s="275" t="str">
        <f>CONCATENATE("(",ROUND((D145/$H147)*100,1),")")</f>
        <v>(1.5)</v>
      </c>
      <c r="F145" s="278">
        <f>'Ind T6'!X165</f>
        <v>4.5320000000730749</v>
      </c>
      <c r="G145" s="275" t="str">
        <f>CONCATENATE("(",ROUND((F145/$H147)*100,1),")")</f>
        <v>(4)</v>
      </c>
      <c r="H145" s="278">
        <f>SUM(B145,D145,F145)</f>
        <v>80.063999999878064</v>
      </c>
      <c r="I145" s="275" t="str">
        <f>CONCATENATE("(",ROUND((H145/$H147)*100,1),")")</f>
        <v>(70.5)</v>
      </c>
      <c r="K145" s="278">
        <f>B145-B135</f>
        <v>-4.5549999996915318</v>
      </c>
      <c r="L145" s="278">
        <f>D145-D135</f>
        <v>-1.7999999982603709E-2</v>
      </c>
      <c r="M145" s="278">
        <f>F145-F135</f>
        <v>-6.9999999932920609E-2</v>
      </c>
      <c r="N145" s="278">
        <f>SUM(K145:M145)</f>
        <v>-4.6429999996070563</v>
      </c>
    </row>
    <row r="146" spans="1:14">
      <c r="A146" s="258" t="s">
        <v>145</v>
      </c>
      <c r="B146" s="278">
        <f>'Ind T6'!V164</f>
        <v>25.105000000433392</v>
      </c>
      <c r="C146" s="275" t="str">
        <f>CONCATENATE("(",ROUND((B146/$H147)*100,1),")")</f>
        <v>(22.1)</v>
      </c>
      <c r="D146" s="278">
        <f>'Ind T6'!W164</f>
        <v>6.4110000000948473</v>
      </c>
      <c r="E146" s="275" t="str">
        <f>CONCATENATE("(",ROUND((D146/$H147)*100,1),")")</f>
        <v>(5.6)</v>
      </c>
      <c r="F146" s="278">
        <f>'Ind T6'!X164</f>
        <v>1.914000000105015</v>
      </c>
      <c r="G146" s="275" t="str">
        <f>CONCATENATE("(",ROUND((F146/$H147)*100,1),")")</f>
        <v>(1.7)</v>
      </c>
      <c r="H146" s="278">
        <f t="shared" ref="H146" si="121">SUM(B146,D146,F146)</f>
        <v>33.430000000633257</v>
      </c>
      <c r="I146" s="275" t="str">
        <f>CONCATENATE("(",ROUND((H146/$H147)*100,1),")")</f>
        <v>(29.5)</v>
      </c>
      <c r="K146" s="278">
        <f t="shared" ref="K146:K147" si="122">B146-B136</f>
        <v>-0.2399999994531079</v>
      </c>
      <c r="L146" s="278">
        <f t="shared" ref="L146:L147" si="123">D146-D136</f>
        <v>-0.27200000000998603</v>
      </c>
      <c r="M146" s="278">
        <f t="shared" ref="M146:M147" si="124">F146-F136</f>
        <v>-8.1999999888878072E-2</v>
      </c>
      <c r="N146" s="278">
        <f t="shared" ref="N146:N147" si="125">SUM(K146:M146)</f>
        <v>-0.59399999935197201</v>
      </c>
    </row>
    <row r="147" spans="1:14">
      <c r="A147" s="258" t="s">
        <v>146</v>
      </c>
      <c r="B147" s="278">
        <f>SUM(B145:B146)</f>
        <v>98.956000000222517</v>
      </c>
      <c r="C147" s="275" t="str">
        <f>CONCATENATE("(",ROUND((B147/$H147)*100,1),")")</f>
        <v>(87.2)</v>
      </c>
      <c r="D147" s="278">
        <f>SUM(D145:D146)</f>
        <v>8.0920000001107244</v>
      </c>
      <c r="E147" s="275" t="str">
        <f>CONCATENATE("(",ROUND((D147/$H147)*100,1),")")</f>
        <v>(7.1)</v>
      </c>
      <c r="F147" s="278">
        <f>SUM(F145:F146)</f>
        <v>6.4460000001780902</v>
      </c>
      <c r="G147" s="275" t="str">
        <f>CONCATENATE("(",ROUND((F147/$H147)*100,1),")")</f>
        <v>(5.7)</v>
      </c>
      <c r="H147" s="278">
        <f>SUM(H145:H146)</f>
        <v>113.49400000051132</v>
      </c>
      <c r="I147" s="275" t="str">
        <f>CONCATENATE("(",ROUND((H147/$H147)*100,1),")")</f>
        <v>(100)</v>
      </c>
      <c r="K147" s="278">
        <f t="shared" si="122"/>
        <v>-4.7949999991446361</v>
      </c>
      <c r="L147" s="278">
        <f t="shared" si="123"/>
        <v>-0.28999999999258996</v>
      </c>
      <c r="M147" s="278">
        <f t="shared" si="124"/>
        <v>-0.15199999982179868</v>
      </c>
      <c r="N147" s="278">
        <f t="shared" si="125"/>
        <v>-5.2369999989590248</v>
      </c>
    </row>
    <row r="148" spans="1:14">
      <c r="A148" s="269"/>
      <c r="B148" s="270"/>
      <c r="C148" s="269"/>
      <c r="D148" s="270"/>
      <c r="E148" s="269"/>
      <c r="F148" s="270"/>
      <c r="G148" s="269"/>
      <c r="H148" s="270"/>
      <c r="I148" s="269"/>
      <c r="J148" s="269"/>
      <c r="K148" s="270"/>
      <c r="L148" s="270"/>
      <c r="M148" s="270"/>
      <c r="N148" s="270"/>
    </row>
    <row r="151" spans="1:14" ht="12.95">
      <c r="C151" s="158"/>
      <c r="E151" s="158"/>
      <c r="G151" s="158"/>
      <c r="I151" s="158"/>
    </row>
    <row r="152" spans="1:14" ht="12.95">
      <c r="A152" s="264"/>
      <c r="B152" s="265" t="s">
        <v>133</v>
      </c>
      <c r="C152" s="264"/>
      <c r="D152" s="265"/>
      <c r="E152" s="264"/>
      <c r="F152" s="265" t="str">
        <f>name!B10</f>
        <v>Water and sewerage</v>
      </c>
      <c r="G152" s="264"/>
      <c r="H152" s="267"/>
      <c r="I152" s="264"/>
      <c r="J152" s="266"/>
      <c r="K152" s="267"/>
      <c r="L152" s="267"/>
      <c r="M152" s="267"/>
      <c r="N152" s="267"/>
    </row>
    <row r="153" spans="1:14" ht="12.95">
      <c r="N153" s="263" t="s">
        <v>134</v>
      </c>
    </row>
    <row r="154" spans="1:14" ht="12.95">
      <c r="A154" s="158" t="s">
        <v>135</v>
      </c>
      <c r="B154" s="364" t="s">
        <v>136</v>
      </c>
      <c r="C154" s="364"/>
      <c r="D154" s="364" t="s">
        <v>137</v>
      </c>
      <c r="E154" s="364"/>
      <c r="F154" s="364" t="s">
        <v>138</v>
      </c>
      <c r="G154" s="364"/>
      <c r="H154" s="364" t="s">
        <v>119</v>
      </c>
      <c r="I154" s="364"/>
      <c r="J154" s="158"/>
      <c r="K154" s="273" t="s">
        <v>139</v>
      </c>
      <c r="L154" s="273" t="s">
        <v>140</v>
      </c>
      <c r="M154" s="273" t="s">
        <v>141</v>
      </c>
      <c r="N154" s="273" t="s">
        <v>119</v>
      </c>
    </row>
    <row r="155" spans="1:14" ht="12.95">
      <c r="A155" s="268">
        <f>$A$8</f>
        <v>2020</v>
      </c>
      <c r="B155" s="263" t="s">
        <v>142</v>
      </c>
      <c r="C155" s="18" t="s">
        <v>143</v>
      </c>
      <c r="D155" s="263" t="s">
        <v>142</v>
      </c>
      <c r="E155" s="18" t="s">
        <v>143</v>
      </c>
      <c r="F155" s="263" t="s">
        <v>142</v>
      </c>
      <c r="G155" s="18" t="s">
        <v>143</v>
      </c>
      <c r="H155" s="263" t="s">
        <v>142</v>
      </c>
      <c r="I155" s="18" t="s">
        <v>143</v>
      </c>
      <c r="J155" s="158"/>
      <c r="K155" s="262" t="str">
        <f>CONCATENATE(A155," - ",A160)</f>
        <v>2020 - 2025</v>
      </c>
      <c r="L155" s="261"/>
      <c r="M155" s="261"/>
    </row>
    <row r="156" spans="1:14">
      <c r="A156" s="258" t="s">
        <v>144</v>
      </c>
      <c r="B156" s="278">
        <f>'Ind T6'!L190</f>
        <v>114.98400000010585</v>
      </c>
      <c r="C156" s="275" t="str">
        <f>CONCATENATE("(",ROUND((B156/$H158)*100,1),")")</f>
        <v>(67)</v>
      </c>
      <c r="D156" s="278">
        <f>'Ind T6'!M190</f>
        <v>10.29499999995604</v>
      </c>
      <c r="E156" s="275" t="str">
        <f>CONCATENATE("(",ROUND((D156/$H158)*100,1),")")</f>
        <v>(6)</v>
      </c>
      <c r="F156" s="278">
        <f>'Ind T6'!N190</f>
        <v>5.8199999999217464</v>
      </c>
      <c r="G156" s="275" t="str">
        <f>CONCATENATE("(",ROUND((F156/$H158)*100,1),")")</f>
        <v>(3.4)</v>
      </c>
      <c r="H156" s="278">
        <f>SUM(B156,D156,F156)</f>
        <v>131.09899999998365</v>
      </c>
      <c r="I156" s="275" t="str">
        <f>CONCATENATE("(",ROUND((H156/$H158)*100,1),")")</f>
        <v>(76.4)</v>
      </c>
      <c r="K156" s="278">
        <f>B161-B156</f>
        <v>4.9300000003022006</v>
      </c>
      <c r="L156" s="278">
        <f>D161-D156</f>
        <v>0.53900000011172722</v>
      </c>
      <c r="M156" s="278">
        <f>F161-F156</f>
        <v>9.6999999898227607E-2</v>
      </c>
      <c r="N156" s="278">
        <f>SUM(K156:M156)</f>
        <v>5.5660000003121555</v>
      </c>
    </row>
    <row r="157" spans="1:14">
      <c r="A157" s="258" t="s">
        <v>145</v>
      </c>
      <c r="B157" s="278">
        <f>'Ind T6'!L189</f>
        <v>28.013999999795054</v>
      </c>
      <c r="C157" s="275" t="str">
        <f>CONCATENATE("(",ROUND((B157/$H158)*100,1),")")</f>
        <v>(16.3)</v>
      </c>
      <c r="D157" s="278">
        <f>'Ind T6'!M189</f>
        <v>11.782000000048441</v>
      </c>
      <c r="E157" s="275" t="str">
        <f>CONCATENATE("(",ROUND((D157/$H158)*100,1),")")</f>
        <v>(6.9)</v>
      </c>
      <c r="F157" s="278">
        <f>'Ind T6'!N189</f>
        <v>0.71799999999334363</v>
      </c>
      <c r="G157" s="275" t="str">
        <f>CONCATENATE("(",ROUND((F157/$H158)*100,1),")")</f>
        <v>(0.4)</v>
      </c>
      <c r="H157" s="278">
        <f t="shared" ref="H157" si="126">SUM(B157,D157,F157)</f>
        <v>40.513999999836841</v>
      </c>
      <c r="I157" s="275" t="str">
        <f>CONCATENATE("(",ROUND((H157/$H158)*100,1),")")</f>
        <v>(23.6)</v>
      </c>
      <c r="K157" s="278">
        <f t="shared" ref="K157:K158" si="127">B162-B157</f>
        <v>2.498000000712473</v>
      </c>
      <c r="L157" s="278">
        <f t="shared" ref="L157:L158" si="128">D162-D157</f>
        <v>0.69000000007802598</v>
      </c>
      <c r="M157" s="278">
        <f t="shared" ref="M157:M158" si="129">F162-F157</f>
        <v>2.400000001007474E-2</v>
      </c>
      <c r="N157" s="278">
        <f t="shared" ref="N157:N158" si="130">SUM(K157:M157)</f>
        <v>3.2120000008005736</v>
      </c>
    </row>
    <row r="158" spans="1:14">
      <c r="A158" s="258" t="s">
        <v>146</v>
      </c>
      <c r="B158" s="278">
        <f>SUM(B156:B157)</f>
        <v>142.99799999990091</v>
      </c>
      <c r="C158" s="275" t="str">
        <f>CONCATENATE("(",ROUND((B158/$H158)*100,1),")")</f>
        <v>(83.3)</v>
      </c>
      <c r="D158" s="278">
        <f>SUM(D156:D157)</f>
        <v>22.077000000004482</v>
      </c>
      <c r="E158" s="275" t="str">
        <f>CONCATENATE("(",ROUND((D158/$H158)*100,1),")")</f>
        <v>(12.9)</v>
      </c>
      <c r="F158" s="278">
        <f>SUM(F156:F157)</f>
        <v>6.5379999999150904</v>
      </c>
      <c r="G158" s="275" t="str">
        <f>CONCATENATE("(",ROUND((F158/$H158)*100,1),")")</f>
        <v>(3.8)</v>
      </c>
      <c r="H158" s="278">
        <f>SUM(H156:H157)</f>
        <v>171.61299999982049</v>
      </c>
      <c r="I158" s="275" t="str">
        <f>CONCATENATE("(",ROUND((H158/$H158)*100,1),")")</f>
        <v>(100)</v>
      </c>
      <c r="K158" s="278">
        <f t="shared" si="127"/>
        <v>7.4280000010146523</v>
      </c>
      <c r="L158" s="278">
        <f t="shared" si="128"/>
        <v>1.2290000001897532</v>
      </c>
      <c r="M158" s="278">
        <f t="shared" si="129"/>
        <v>0.12099999990830224</v>
      </c>
      <c r="N158" s="278">
        <f t="shared" si="130"/>
        <v>8.7780000011127086</v>
      </c>
    </row>
    <row r="159" spans="1:14">
      <c r="B159" s="278"/>
      <c r="C159" s="260"/>
      <c r="D159" s="278"/>
      <c r="E159" s="260"/>
      <c r="F159" s="278"/>
      <c r="G159" s="260"/>
      <c r="H159" s="278"/>
      <c r="I159" s="260"/>
    </row>
    <row r="160" spans="1:14" ht="12.95">
      <c r="A160" s="268">
        <f>$A$13</f>
        <v>2025</v>
      </c>
      <c r="B160" s="278"/>
      <c r="C160" s="260"/>
      <c r="D160" s="278"/>
      <c r="E160" s="260"/>
      <c r="F160" s="278"/>
      <c r="G160" s="260"/>
      <c r="H160" s="278"/>
      <c r="I160" s="260"/>
      <c r="K160" s="262" t="str">
        <f>CONCATENATE(A160," - ",A165)</f>
        <v>2025 - 2035</v>
      </c>
    </row>
    <row r="161" spans="1:14">
      <c r="A161" s="258" t="s">
        <v>144</v>
      </c>
      <c r="B161" s="278">
        <f>'Ind T6'!Q190</f>
        <v>119.91400000040805</v>
      </c>
      <c r="C161" s="275" t="str">
        <f>CONCATENATE("(",ROUND((B161/$H163)*100,1),")")</f>
        <v>(66.5)</v>
      </c>
      <c r="D161" s="278">
        <f>'Ind T6'!R190</f>
        <v>10.834000000067768</v>
      </c>
      <c r="E161" s="275" t="str">
        <f>CONCATENATE("(",ROUND((D161/$H163)*100,1),")")</f>
        <v>(6)</v>
      </c>
      <c r="F161" s="278">
        <f>'Ind T6'!S190</f>
        <v>5.916999999819974</v>
      </c>
      <c r="G161" s="275" t="str">
        <f>CONCATENATE("(",ROUND((F161/$H163)*100,1),")")</f>
        <v>(3.3)</v>
      </c>
      <c r="H161" s="278">
        <f>SUM(B161,D161,F161)</f>
        <v>136.66500000029581</v>
      </c>
      <c r="I161" s="275" t="str">
        <f>CONCATENATE("(",ROUND((H161/$H163)*100,1),")")</f>
        <v>(75.8)</v>
      </c>
      <c r="K161" s="278">
        <f>B166-B161</f>
        <v>7.3479999999679251</v>
      </c>
      <c r="L161" s="278">
        <f>D166-D161</f>
        <v>0.80000000004674732</v>
      </c>
      <c r="M161" s="278">
        <f>F166-F161</f>
        <v>5.0000000380370224E-3</v>
      </c>
      <c r="N161" s="278">
        <f>SUM(K161:M161)</f>
        <v>8.1530000000527103</v>
      </c>
    </row>
    <row r="162" spans="1:14">
      <c r="A162" s="258" t="s">
        <v>145</v>
      </c>
      <c r="B162" s="278">
        <f>'Ind T6'!Q189</f>
        <v>30.512000000507527</v>
      </c>
      <c r="C162" s="275" t="str">
        <f>CONCATENATE("(",ROUND((B162/$H163)*100,1),")")</f>
        <v>(16.9)</v>
      </c>
      <c r="D162" s="278">
        <f>'Ind T6'!R189</f>
        <v>12.472000000126467</v>
      </c>
      <c r="E162" s="275" t="str">
        <f>CONCATENATE("(",ROUND((D162/$H163)*100,1),")")</f>
        <v>(6.9)</v>
      </c>
      <c r="F162" s="278">
        <f>'Ind T6'!S189</f>
        <v>0.74200000000341837</v>
      </c>
      <c r="G162" s="275" t="str">
        <f>CONCATENATE("(",ROUND((F162/$H163)*100,1),")")</f>
        <v>(0.4)</v>
      </c>
      <c r="H162" s="278">
        <f t="shared" ref="H162" si="131">SUM(B162,D162,F162)</f>
        <v>43.726000000637413</v>
      </c>
      <c r="I162" s="275" t="str">
        <f>CONCATENATE("(",ROUND((H162/$H163)*100,1),")")</f>
        <v>(24.2)</v>
      </c>
      <c r="K162" s="278">
        <f t="shared" ref="K162:K163" si="132">B167-B162</f>
        <v>4.7300000003593254</v>
      </c>
      <c r="L162" s="278">
        <f t="shared" ref="L162:L163" si="133">D167-D162</f>
        <v>1.1350000000789002</v>
      </c>
      <c r="M162" s="278">
        <f t="shared" ref="M162:M163" si="134">F167-F162</f>
        <v>3.5000000003814868E-2</v>
      </c>
      <c r="N162" s="278">
        <f t="shared" ref="N162:N163" si="135">SUM(K162:M162)</f>
        <v>5.9000000004420405</v>
      </c>
    </row>
    <row r="163" spans="1:14">
      <c r="A163" s="258" t="s">
        <v>146</v>
      </c>
      <c r="B163" s="278">
        <f>SUM(B161:B162)</f>
        <v>150.42600000091556</v>
      </c>
      <c r="C163" s="275" t="str">
        <f>CONCATENATE("(",ROUND((B163/$H163)*100,1),")")</f>
        <v>(83.4)</v>
      </c>
      <c r="D163" s="278">
        <f>SUM(D161:D162)</f>
        <v>23.306000000194235</v>
      </c>
      <c r="E163" s="275" t="str">
        <f>CONCATENATE("(",ROUND((D163/$H163)*100,1),")")</f>
        <v>(12.9)</v>
      </c>
      <c r="F163" s="278">
        <f>SUM(F161:F162)</f>
        <v>6.6589999998233926</v>
      </c>
      <c r="G163" s="275" t="str">
        <f>CONCATENATE("(",ROUND((F163/$H163)*100,1),")")</f>
        <v>(3.7)</v>
      </c>
      <c r="H163" s="278">
        <f>SUM(H161:H162)</f>
        <v>180.39100000093322</v>
      </c>
      <c r="I163" s="275" t="str">
        <f>CONCATENATE("(",ROUND((H163/$H163)*100,1),")")</f>
        <v>(100)</v>
      </c>
      <c r="K163" s="278">
        <f t="shared" si="132"/>
        <v>12.078000000327279</v>
      </c>
      <c r="L163" s="278">
        <f t="shared" si="133"/>
        <v>1.9350000001256475</v>
      </c>
      <c r="M163" s="278">
        <f t="shared" si="134"/>
        <v>4.0000000041851891E-2</v>
      </c>
      <c r="N163" s="278">
        <f t="shared" si="135"/>
        <v>14.053000000494778</v>
      </c>
    </row>
    <row r="164" spans="1:14">
      <c r="B164" s="278"/>
      <c r="C164" s="260"/>
      <c r="D164" s="278"/>
      <c r="E164" s="260"/>
      <c r="F164" s="278"/>
      <c r="G164" s="260"/>
      <c r="H164" s="278"/>
      <c r="I164" s="260"/>
    </row>
    <row r="165" spans="1:14" ht="12.95">
      <c r="A165" s="268">
        <f>$A$18</f>
        <v>2035</v>
      </c>
      <c r="B165" s="278"/>
      <c r="C165" s="260"/>
      <c r="D165" s="278"/>
      <c r="E165" s="260"/>
      <c r="F165" s="278"/>
      <c r="G165" s="260"/>
      <c r="H165" s="278"/>
      <c r="I165" s="260"/>
      <c r="K165" s="262" t="str">
        <f>CONCATENATE(A155," - ",A165)</f>
        <v>2020 - 2035</v>
      </c>
    </row>
    <row r="166" spans="1:14">
      <c r="A166" s="258" t="s">
        <v>144</v>
      </c>
      <c r="B166" s="278">
        <f>'Ind T6'!V190</f>
        <v>127.26200000037598</v>
      </c>
      <c r="C166" s="275" t="str">
        <f>CONCATENATE("(",ROUND((B166/$H168)*100,1),")")</f>
        <v>(65.4)</v>
      </c>
      <c r="D166" s="278">
        <f>'Ind T6'!W190</f>
        <v>11.634000000114515</v>
      </c>
      <c r="E166" s="275" t="str">
        <f>CONCATENATE("(",ROUND((D166/$H168)*100,1),")")</f>
        <v>(6)</v>
      </c>
      <c r="F166" s="278">
        <f>'Ind T6'!X190</f>
        <v>5.9219999998580111</v>
      </c>
      <c r="G166" s="275" t="str">
        <f>CONCATENATE("(",ROUND((F166/$H168)*100,1),")")</f>
        <v>(3)</v>
      </c>
      <c r="H166" s="278">
        <f>SUM(B166,D166,F166)</f>
        <v>144.81800000034849</v>
      </c>
      <c r="I166" s="275" t="str">
        <f>CONCATENATE("(",ROUND((H166/$H168)*100,1),")")</f>
        <v>(74.5)</v>
      </c>
      <c r="K166" s="278">
        <f>B166-B156</f>
        <v>12.278000000270126</v>
      </c>
      <c r="L166" s="278">
        <f>D166-D156</f>
        <v>1.3390000001584745</v>
      </c>
      <c r="M166" s="278">
        <f>F166-F156</f>
        <v>0.10199999993626463</v>
      </c>
      <c r="N166" s="278">
        <f>SUM(K166:M166)</f>
        <v>13.719000000364865</v>
      </c>
    </row>
    <row r="167" spans="1:14">
      <c r="A167" s="258" t="s">
        <v>145</v>
      </c>
      <c r="B167" s="278">
        <f>'Ind T6'!V189</f>
        <v>35.242000000866852</v>
      </c>
      <c r="C167" s="275" t="str">
        <f>CONCATENATE("(",ROUND((B167/$H168)*100,1),")")</f>
        <v>(18.1)</v>
      </c>
      <c r="D167" s="278">
        <f>'Ind T6'!W189</f>
        <v>13.607000000205367</v>
      </c>
      <c r="E167" s="275" t="str">
        <f>CONCATENATE("(",ROUND((D167/$H168)*100,1),")")</f>
        <v>(7)</v>
      </c>
      <c r="F167" s="278">
        <f>'Ind T6'!X189</f>
        <v>0.77700000000723324</v>
      </c>
      <c r="G167" s="275" t="str">
        <f>CONCATENATE("(",ROUND((F167/$H168)*100,1),")")</f>
        <v>(0.4)</v>
      </c>
      <c r="H167" s="278">
        <f t="shared" ref="H167" si="136">SUM(B167,D167,F167)</f>
        <v>49.626000001079454</v>
      </c>
      <c r="I167" s="275" t="str">
        <f>CONCATENATE("(",ROUND((H167/$H168)*100,1),")")</f>
        <v>(25.5)</v>
      </c>
      <c r="K167" s="278">
        <f t="shared" ref="K167:K168" si="137">B167-B157</f>
        <v>7.2280000010717984</v>
      </c>
      <c r="L167" s="278">
        <f t="shared" ref="L167:L168" si="138">D167-D157</f>
        <v>1.8250000001569262</v>
      </c>
      <c r="M167" s="278">
        <f t="shared" ref="M167:M168" si="139">F167-F157</f>
        <v>5.9000000013889609E-2</v>
      </c>
      <c r="N167" s="278">
        <f t="shared" ref="N167:N168" si="140">SUM(K167:M167)</f>
        <v>9.112000001242615</v>
      </c>
    </row>
    <row r="168" spans="1:14">
      <c r="A168" s="258" t="s">
        <v>146</v>
      </c>
      <c r="B168" s="278">
        <f>SUM(B166:B167)</f>
        <v>162.50400000124284</v>
      </c>
      <c r="C168" s="275" t="str">
        <f>CONCATENATE("(",ROUND((B168/$H168)*100,1),")")</f>
        <v>(83.6)</v>
      </c>
      <c r="D168" s="278">
        <f>SUM(D166:D167)</f>
        <v>25.241000000319882</v>
      </c>
      <c r="E168" s="275" t="str">
        <f>CONCATENATE("(",ROUND((D168/$H168)*100,1),")")</f>
        <v>(13)</v>
      </c>
      <c r="F168" s="278">
        <f>SUM(F166:F167)</f>
        <v>6.6989999998652445</v>
      </c>
      <c r="G168" s="275" t="str">
        <f>CONCATENATE("(",ROUND((F168/$H168)*100,1),")")</f>
        <v>(3.4)</v>
      </c>
      <c r="H168" s="278">
        <f>SUM(H166:H167)</f>
        <v>194.44400000142795</v>
      </c>
      <c r="I168" s="275" t="str">
        <f>CONCATENATE("(",ROUND((H168/$H168)*100,1),")")</f>
        <v>(100)</v>
      </c>
      <c r="K168" s="278">
        <f t="shared" si="137"/>
        <v>19.506000001341931</v>
      </c>
      <c r="L168" s="278">
        <f t="shared" si="138"/>
        <v>3.1640000003154007</v>
      </c>
      <c r="M168" s="278">
        <f t="shared" si="139"/>
        <v>0.16099999995015413</v>
      </c>
      <c r="N168" s="278">
        <f t="shared" si="140"/>
        <v>22.831000001607485</v>
      </c>
    </row>
    <row r="169" spans="1:14">
      <c r="A169" s="269"/>
      <c r="B169" s="270"/>
      <c r="C169" s="269"/>
      <c r="D169" s="270"/>
      <c r="E169" s="269"/>
      <c r="F169" s="270"/>
      <c r="G169" s="269"/>
      <c r="H169" s="270"/>
      <c r="I169" s="269"/>
      <c r="J169" s="269"/>
      <c r="K169" s="270"/>
      <c r="L169" s="270"/>
      <c r="M169" s="270"/>
      <c r="N169" s="270"/>
    </row>
    <row r="173" spans="1:14" ht="12.95">
      <c r="A173" s="264"/>
      <c r="B173" s="265" t="s">
        <v>133</v>
      </c>
      <c r="C173" s="264"/>
      <c r="D173" s="265"/>
      <c r="E173" s="264"/>
      <c r="F173" s="265" t="str">
        <f>name!B11</f>
        <v>Construction</v>
      </c>
      <c r="G173" s="264"/>
      <c r="H173" s="267"/>
      <c r="I173" s="264"/>
      <c r="J173" s="266"/>
      <c r="K173" s="267"/>
      <c r="L173" s="267"/>
      <c r="M173" s="267"/>
      <c r="N173" s="267"/>
    </row>
    <row r="174" spans="1:14" ht="12.95">
      <c r="N174" s="263" t="s">
        <v>134</v>
      </c>
    </row>
    <row r="175" spans="1:14" ht="12.95">
      <c r="A175" s="158" t="s">
        <v>135</v>
      </c>
      <c r="B175" s="364" t="s">
        <v>136</v>
      </c>
      <c r="C175" s="364"/>
      <c r="D175" s="364" t="s">
        <v>137</v>
      </c>
      <c r="E175" s="364"/>
      <c r="F175" s="364" t="s">
        <v>138</v>
      </c>
      <c r="G175" s="364"/>
      <c r="H175" s="364" t="s">
        <v>119</v>
      </c>
      <c r="I175" s="364"/>
      <c r="J175" s="158"/>
      <c r="K175" s="273" t="s">
        <v>139</v>
      </c>
      <c r="L175" s="273" t="s">
        <v>140</v>
      </c>
      <c r="M175" s="273" t="s">
        <v>141</v>
      </c>
      <c r="N175" s="273" t="s">
        <v>119</v>
      </c>
    </row>
    <row r="176" spans="1:14" ht="12.95">
      <c r="A176" s="268">
        <f>$A$8</f>
        <v>2020</v>
      </c>
      <c r="B176" s="263" t="s">
        <v>142</v>
      </c>
      <c r="C176" s="18" t="s">
        <v>143</v>
      </c>
      <c r="D176" s="263" t="s">
        <v>142</v>
      </c>
      <c r="E176" s="18" t="s">
        <v>143</v>
      </c>
      <c r="F176" s="263" t="s">
        <v>142</v>
      </c>
      <c r="G176" s="18" t="s">
        <v>143</v>
      </c>
      <c r="H176" s="263" t="s">
        <v>142</v>
      </c>
      <c r="I176" s="18" t="s">
        <v>143</v>
      </c>
      <c r="J176" s="158"/>
      <c r="K176" s="262" t="str">
        <f>CONCATENATE(A176," - ",A181)</f>
        <v>2020 - 2025</v>
      </c>
      <c r="L176" s="261"/>
      <c r="M176" s="261"/>
    </row>
    <row r="177" spans="1:14">
      <c r="A177" s="258" t="s">
        <v>144</v>
      </c>
      <c r="B177" s="278">
        <f>'Ind T6'!L215</f>
        <v>934.13899999943033</v>
      </c>
      <c r="C177" s="275" t="str">
        <f>CONCATENATE("(",ROUND((B177/$H179)*100,1),")")</f>
        <v>(46.7)</v>
      </c>
      <c r="D177" s="278">
        <f>'Ind T6'!M215</f>
        <v>69.881999999876527</v>
      </c>
      <c r="E177" s="275" t="str">
        <f>CONCATENATE("(",ROUND((D177/$H179)*100,1),")")</f>
        <v>(3.5)</v>
      </c>
      <c r="F177" s="278">
        <f>'Ind T6'!N215</f>
        <v>680.71399997478898</v>
      </c>
      <c r="G177" s="275" t="str">
        <f>CONCATENATE("(",ROUND((F177/$H179)*100,1),")")</f>
        <v>(34)</v>
      </c>
      <c r="H177" s="278">
        <f>SUM(B177,D177,F177)</f>
        <v>1684.7349999740959</v>
      </c>
      <c r="I177" s="275" t="str">
        <f>CONCATENATE("(",ROUND((H177/$H179)*100,1),")")</f>
        <v>(84.2)</v>
      </c>
      <c r="K177" s="278">
        <f>B182-B177</f>
        <v>33.30100000193147</v>
      </c>
      <c r="L177" s="278">
        <f>D182-D177</f>
        <v>5.0880000005434596</v>
      </c>
      <c r="M177" s="278">
        <f>F182-F177</f>
        <v>40.562999942003103</v>
      </c>
      <c r="N177" s="278">
        <f>SUM(K177:M177)</f>
        <v>78.951999944478032</v>
      </c>
    </row>
    <row r="178" spans="1:14">
      <c r="A178" s="258" t="s">
        <v>145</v>
      </c>
      <c r="B178" s="278">
        <f>'Ind T6'!L214</f>
        <v>165.64699999808767</v>
      </c>
      <c r="C178" s="275" t="str">
        <f>CONCATENATE("(",ROUND((B178/$H179)*100,1),")")</f>
        <v>(8.3)</v>
      </c>
      <c r="D178" s="278">
        <f>'Ind T6'!M214</f>
        <v>111.00100000058184</v>
      </c>
      <c r="E178" s="275" t="str">
        <f>CONCATENATE("(",ROUND((D178/$H179)*100,1),")")</f>
        <v>(5.6)</v>
      </c>
      <c r="F178" s="278">
        <f>'Ind T6'!N214</f>
        <v>38.41199999963591</v>
      </c>
      <c r="G178" s="275" t="str">
        <f>CONCATENATE("(",ROUND((F178/$H179)*100,1),")")</f>
        <v>(1.9)</v>
      </c>
      <c r="H178" s="278">
        <f t="shared" ref="H178" si="141">SUM(B178,D178,F178)</f>
        <v>315.05999999830539</v>
      </c>
      <c r="I178" s="275" t="str">
        <f>CONCATENATE("(",ROUND((H178/$H179)*100,1),")")</f>
        <v>(15.8)</v>
      </c>
      <c r="K178" s="278">
        <f t="shared" ref="K178:K179" si="142">B183-B178</f>
        <v>9.5090000053897938</v>
      </c>
      <c r="L178" s="278">
        <f t="shared" ref="L178:L179" si="143">D183-D178</f>
        <v>7.1530000001485945</v>
      </c>
      <c r="M178" s="278">
        <f t="shared" ref="M178:M179" si="144">F183-F178</f>
        <v>2.5420000004183052</v>
      </c>
      <c r="N178" s="278">
        <f t="shared" ref="N178:N179" si="145">SUM(K178:M178)</f>
        <v>19.204000005956694</v>
      </c>
    </row>
    <row r="179" spans="1:14">
      <c r="A179" s="258" t="s">
        <v>146</v>
      </c>
      <c r="B179" s="278">
        <f>SUM(B177:B178)</f>
        <v>1099.785999997518</v>
      </c>
      <c r="C179" s="275" t="str">
        <f>CONCATENATE("(",ROUND((B179/$H179)*100,1),")")</f>
        <v>(55)</v>
      </c>
      <c r="D179" s="278">
        <f>SUM(D177:D178)</f>
        <v>180.88300000045837</v>
      </c>
      <c r="E179" s="275" t="str">
        <f>CONCATENATE("(",ROUND((D179/$H179)*100,1),")")</f>
        <v>(9)</v>
      </c>
      <c r="F179" s="278">
        <f>SUM(F177:F178)</f>
        <v>719.12599997442487</v>
      </c>
      <c r="G179" s="275" t="str">
        <f>CONCATENATE("(",ROUND((F179/$H179)*100,1),")")</f>
        <v>(36)</v>
      </c>
      <c r="H179" s="278">
        <f>SUM(H177:H178)</f>
        <v>1999.7949999724012</v>
      </c>
      <c r="I179" s="275" t="str">
        <f>CONCATENATE("(",ROUND((H179/$H179)*100,1),")")</f>
        <v>(100)</v>
      </c>
      <c r="K179" s="278">
        <f t="shared" si="142"/>
        <v>42.81000000732115</v>
      </c>
      <c r="L179" s="278">
        <f t="shared" si="143"/>
        <v>12.241000000692054</v>
      </c>
      <c r="M179" s="278">
        <f t="shared" si="144"/>
        <v>43.104999942421387</v>
      </c>
      <c r="N179" s="278">
        <f t="shared" si="145"/>
        <v>98.155999950434591</v>
      </c>
    </row>
    <row r="180" spans="1:14">
      <c r="B180" s="278"/>
      <c r="C180" s="260"/>
      <c r="D180" s="278"/>
      <c r="E180" s="260"/>
      <c r="F180" s="278"/>
      <c r="G180" s="260"/>
      <c r="H180" s="278"/>
      <c r="I180" s="260"/>
    </row>
    <row r="181" spans="1:14" ht="12.95">
      <c r="A181" s="268">
        <f>$A$13</f>
        <v>2025</v>
      </c>
      <c r="B181" s="278"/>
      <c r="C181" s="260"/>
      <c r="D181" s="278"/>
      <c r="E181" s="260"/>
      <c r="F181" s="278"/>
      <c r="G181" s="260"/>
      <c r="H181" s="278"/>
      <c r="I181" s="260"/>
      <c r="K181" s="262" t="str">
        <f>CONCATENATE(A181," - ",A186)</f>
        <v>2025 - 2035</v>
      </c>
    </row>
    <row r="182" spans="1:14">
      <c r="A182" s="258" t="s">
        <v>144</v>
      </c>
      <c r="B182" s="278">
        <f>'Ind T6'!Q215</f>
        <v>967.4400000013618</v>
      </c>
      <c r="C182" s="275" t="str">
        <f>CONCATENATE("(",ROUND((B182/$H184)*100,1),")")</f>
        <v>(46.1)</v>
      </c>
      <c r="D182" s="278">
        <f>'Ind T6'!R215</f>
        <v>74.970000000419986</v>
      </c>
      <c r="E182" s="275" t="str">
        <f>CONCATENATE("(",ROUND((D182/$H184)*100,1),")")</f>
        <v>(3.6)</v>
      </c>
      <c r="F182" s="278">
        <f>'Ind T6'!S215</f>
        <v>721.27699991679208</v>
      </c>
      <c r="G182" s="275" t="str">
        <f>CONCATENATE("(",ROUND((F182/$H184)*100,1),")")</f>
        <v>(34.4)</v>
      </c>
      <c r="H182" s="278">
        <f>SUM(B182,D182,F182)</f>
        <v>1763.6869999185737</v>
      </c>
      <c r="I182" s="275" t="str">
        <f>CONCATENATE("(",ROUND((H182/$H184)*100,1),")")</f>
        <v>(84.1)</v>
      </c>
      <c r="K182" s="278">
        <f>B187-B182</f>
        <v>39.975000000819819</v>
      </c>
      <c r="L182" s="278">
        <f>D187-D182</f>
        <v>9.0059999999467948</v>
      </c>
      <c r="M182" s="278">
        <f>F187-F182</f>
        <v>70.747000005692371</v>
      </c>
      <c r="N182" s="278">
        <f>SUM(K182:M182)</f>
        <v>119.72800000645898</v>
      </c>
    </row>
    <row r="183" spans="1:14">
      <c r="A183" s="258" t="s">
        <v>145</v>
      </c>
      <c r="B183" s="278">
        <f>'Ind T6'!Q214</f>
        <v>175.15600000347746</v>
      </c>
      <c r="C183" s="275" t="str">
        <f>CONCATENATE("(",ROUND((B183/$H184)*100,1),")")</f>
        <v>(8.3)</v>
      </c>
      <c r="D183" s="278">
        <f>'Ind T6'!R214</f>
        <v>118.15400000073043</v>
      </c>
      <c r="E183" s="275" t="str">
        <f>CONCATENATE("(",ROUND((D183/$H184)*100,1),")")</f>
        <v>(5.6)</v>
      </c>
      <c r="F183" s="278">
        <f>'Ind T6'!S214</f>
        <v>40.954000000054215</v>
      </c>
      <c r="G183" s="275" t="str">
        <f>CONCATENATE("(",ROUND((F183/$H184)*100,1),")")</f>
        <v>(2)</v>
      </c>
      <c r="H183" s="278">
        <f t="shared" ref="H183" si="146">SUM(B183,D183,F183)</f>
        <v>334.26400000426213</v>
      </c>
      <c r="I183" s="275" t="str">
        <f>CONCATENATE("(",ROUND((H183/$H184)*100,1),")")</f>
        <v>(15.9)</v>
      </c>
      <c r="K183" s="278">
        <f t="shared" ref="K183:K184" si="147">B188-B183</f>
        <v>16.57200000268179</v>
      </c>
      <c r="L183" s="278">
        <f t="shared" ref="L183:L184" si="148">D188-D183</f>
        <v>12.474000000692541</v>
      </c>
      <c r="M183" s="278">
        <f t="shared" ref="M183:M184" si="149">F188-F183</f>
        <v>5.1920000000200517</v>
      </c>
      <c r="N183" s="278">
        <f t="shared" ref="N183:N184" si="150">SUM(K183:M183)</f>
        <v>34.238000003394383</v>
      </c>
    </row>
    <row r="184" spans="1:14">
      <c r="A184" s="258" t="s">
        <v>146</v>
      </c>
      <c r="B184" s="278">
        <f>SUM(B182:B183)</f>
        <v>1142.5960000048392</v>
      </c>
      <c r="C184" s="275" t="str">
        <f>CONCATENATE("(",ROUND((B184/$H184)*100,1),")")</f>
        <v>(54.5)</v>
      </c>
      <c r="D184" s="278">
        <f>SUM(D182:D183)</f>
        <v>193.12400000115042</v>
      </c>
      <c r="E184" s="275" t="str">
        <f>CONCATENATE("(",ROUND((D184/$H184)*100,1),")")</f>
        <v>(9.2)</v>
      </c>
      <c r="F184" s="278">
        <f>SUM(F182:F183)</f>
        <v>762.23099991684626</v>
      </c>
      <c r="G184" s="275" t="str">
        <f>CONCATENATE("(",ROUND((F184/$H184)*100,1),")")</f>
        <v>(36.3)</v>
      </c>
      <c r="H184" s="278">
        <f>SUM(H182:H183)</f>
        <v>2097.9509999228358</v>
      </c>
      <c r="I184" s="275" t="str">
        <f>CONCATENATE("(",ROUND((H184/$H184)*100,1),")")</f>
        <v>(100)</v>
      </c>
      <c r="K184" s="278">
        <f t="shared" si="147"/>
        <v>56.54700000350158</v>
      </c>
      <c r="L184" s="278">
        <f t="shared" si="148"/>
        <v>21.480000000639336</v>
      </c>
      <c r="M184" s="278">
        <f t="shared" si="149"/>
        <v>75.939000005712501</v>
      </c>
      <c r="N184" s="278">
        <f t="shared" si="150"/>
        <v>153.96600000985342</v>
      </c>
    </row>
    <row r="185" spans="1:14">
      <c r="B185" s="278"/>
      <c r="C185" s="260"/>
      <c r="D185" s="278"/>
      <c r="E185" s="260"/>
      <c r="F185" s="278"/>
      <c r="G185" s="260"/>
      <c r="H185" s="278"/>
      <c r="I185" s="260"/>
    </row>
    <row r="186" spans="1:14" ht="12.95">
      <c r="A186" s="268">
        <f>$A$18</f>
        <v>2035</v>
      </c>
      <c r="B186" s="278"/>
      <c r="C186" s="260"/>
      <c r="D186" s="278"/>
      <c r="E186" s="260"/>
      <c r="F186" s="278"/>
      <c r="G186" s="260"/>
      <c r="H186" s="278"/>
      <c r="I186" s="260"/>
      <c r="K186" s="262" t="str">
        <f>CONCATENATE(A176," - ",A186)</f>
        <v>2020 - 2035</v>
      </c>
    </row>
    <row r="187" spans="1:14">
      <c r="A187" s="258" t="s">
        <v>144</v>
      </c>
      <c r="B187" s="278">
        <f>'Ind T6'!V215</f>
        <v>1007.4150000021816</v>
      </c>
      <c r="C187" s="275" t="str">
        <f>CONCATENATE("(",ROUND((B187/$H189)*100,1),")")</f>
        <v>(44.7)</v>
      </c>
      <c r="D187" s="278">
        <f>'Ind T6'!W215</f>
        <v>83.976000000366781</v>
      </c>
      <c r="E187" s="275" t="str">
        <f>CONCATENATE("(",ROUND((D187/$H189)*100,1),")")</f>
        <v>(3.7)</v>
      </c>
      <c r="F187" s="278">
        <f>'Ind T6'!X215</f>
        <v>792.02399992248445</v>
      </c>
      <c r="G187" s="275" t="str">
        <f>CONCATENATE("(",ROUND((F187/$H189)*100,1),")")</f>
        <v>(35.2)</v>
      </c>
      <c r="H187" s="278">
        <f>SUM(B187,D187,F187)</f>
        <v>1883.414999925033</v>
      </c>
      <c r="I187" s="275" t="str">
        <f>CONCATENATE("(",ROUND((H187/$H189)*100,1),")")</f>
        <v>(83.6)</v>
      </c>
      <c r="K187" s="278">
        <f>B187-B177</f>
        <v>73.276000002751289</v>
      </c>
      <c r="L187" s="278">
        <f>D187-D177</f>
        <v>14.094000000490254</v>
      </c>
      <c r="M187" s="278">
        <f>F187-F177</f>
        <v>111.30999994769547</v>
      </c>
      <c r="N187" s="278">
        <f>SUM(K187:M187)</f>
        <v>198.67999995093703</v>
      </c>
    </row>
    <row r="188" spans="1:14">
      <c r="A188" s="258" t="s">
        <v>145</v>
      </c>
      <c r="B188" s="278">
        <f>'Ind T6'!V214</f>
        <v>191.72800000615925</v>
      </c>
      <c r="C188" s="275" t="str">
        <f>CONCATENATE("(",ROUND((B188/$H189)*100,1),")")</f>
        <v>(8.5)</v>
      </c>
      <c r="D188" s="278">
        <f>'Ind T6'!W214</f>
        <v>130.62800000142298</v>
      </c>
      <c r="E188" s="275" t="str">
        <f>CONCATENATE("(",ROUND((D188/$H189)*100,1),")")</f>
        <v>(5.8)</v>
      </c>
      <c r="F188" s="278">
        <f>'Ind T6'!X214</f>
        <v>46.146000000074267</v>
      </c>
      <c r="G188" s="275" t="str">
        <f>CONCATENATE("(",ROUND((F188/$H189)*100,1),")")</f>
        <v>(2)</v>
      </c>
      <c r="H188" s="278">
        <f t="shared" ref="H188" si="151">SUM(B188,D188,F188)</f>
        <v>368.50200000765648</v>
      </c>
      <c r="I188" s="275" t="str">
        <f>CONCATENATE("(",ROUND((H188/$H189)*100,1),")")</f>
        <v>(16.4)</v>
      </c>
      <c r="K188" s="278">
        <f t="shared" ref="K188:K189" si="152">B188-B178</f>
        <v>26.081000008071584</v>
      </c>
      <c r="L188" s="278">
        <f t="shared" ref="L188:L189" si="153">D188-D178</f>
        <v>19.627000000841136</v>
      </c>
      <c r="M188" s="278">
        <f t="shared" ref="M188:M189" si="154">F188-F178</f>
        <v>7.7340000004383569</v>
      </c>
      <c r="N188" s="278">
        <f t="shared" ref="N188:N189" si="155">SUM(K188:M188)</f>
        <v>53.442000009351077</v>
      </c>
    </row>
    <row r="189" spans="1:14">
      <c r="A189" s="258" t="s">
        <v>146</v>
      </c>
      <c r="B189" s="278">
        <f>SUM(B187:B188)</f>
        <v>1199.1430000083408</v>
      </c>
      <c r="C189" s="275" t="str">
        <f>CONCATENATE("(",ROUND((B189/$H189)*100,1),")")</f>
        <v>(53.2)</v>
      </c>
      <c r="D189" s="278">
        <f>SUM(D187:D188)</f>
        <v>214.60400000178976</v>
      </c>
      <c r="E189" s="275" t="str">
        <f>CONCATENATE("(",ROUND((D189/$H189)*100,1),")")</f>
        <v>(9.5)</v>
      </c>
      <c r="F189" s="278">
        <f>SUM(F187:F188)</f>
        <v>838.16999992255876</v>
      </c>
      <c r="G189" s="275" t="str">
        <f>CONCATENATE("(",ROUND((F189/$H189)*100,1),")")</f>
        <v>(37.2)</v>
      </c>
      <c r="H189" s="278">
        <f>SUM(H187:H188)</f>
        <v>2251.9169999326896</v>
      </c>
      <c r="I189" s="275" t="str">
        <f>CONCATENATE("(",ROUND((H189/$H189)*100,1),")")</f>
        <v>(100)</v>
      </c>
      <c r="K189" s="278">
        <f t="shared" si="152"/>
        <v>99.35700001082273</v>
      </c>
      <c r="L189" s="278">
        <f t="shared" si="153"/>
        <v>33.72100000133139</v>
      </c>
      <c r="M189" s="278">
        <f t="shared" si="154"/>
        <v>119.04399994813389</v>
      </c>
      <c r="N189" s="278">
        <f t="shared" si="155"/>
        <v>252.12199996028801</v>
      </c>
    </row>
    <row r="190" spans="1:14">
      <c r="A190" s="269"/>
      <c r="B190" s="270"/>
      <c r="C190" s="269"/>
      <c r="D190" s="270"/>
      <c r="E190" s="269"/>
      <c r="F190" s="270"/>
      <c r="G190" s="269"/>
      <c r="H190" s="270"/>
      <c r="I190" s="269"/>
      <c r="J190" s="269"/>
      <c r="K190" s="270"/>
      <c r="L190" s="270"/>
      <c r="M190" s="270"/>
      <c r="N190" s="270"/>
    </row>
    <row r="194" spans="1:14" ht="12.95">
      <c r="A194" s="264"/>
      <c r="B194" s="265" t="s">
        <v>133</v>
      </c>
      <c r="C194" s="264"/>
      <c r="D194" s="265"/>
      <c r="E194" s="264"/>
      <c r="F194" s="265" t="str">
        <f>name!B12</f>
        <v>Wholesale and retail trade</v>
      </c>
      <c r="G194" s="264"/>
      <c r="H194" s="267"/>
      <c r="I194" s="264"/>
      <c r="J194" s="266"/>
      <c r="K194" s="267"/>
      <c r="L194" s="267"/>
      <c r="M194" s="267"/>
      <c r="N194" s="267"/>
    </row>
    <row r="195" spans="1:14" ht="12.95">
      <c r="N195" s="263" t="s">
        <v>134</v>
      </c>
    </row>
    <row r="196" spans="1:14" ht="12.95">
      <c r="A196" s="158" t="s">
        <v>135</v>
      </c>
      <c r="B196" s="364" t="s">
        <v>136</v>
      </c>
      <c r="C196" s="364"/>
      <c r="D196" s="364" t="s">
        <v>137</v>
      </c>
      <c r="E196" s="364"/>
      <c r="F196" s="364" t="s">
        <v>138</v>
      </c>
      <c r="G196" s="364"/>
      <c r="H196" s="364" t="s">
        <v>119</v>
      </c>
      <c r="I196" s="364"/>
      <c r="J196" s="158"/>
      <c r="K196" s="273" t="s">
        <v>139</v>
      </c>
      <c r="L196" s="273" t="s">
        <v>140</v>
      </c>
      <c r="M196" s="273" t="s">
        <v>141</v>
      </c>
      <c r="N196" s="273" t="s">
        <v>119</v>
      </c>
    </row>
    <row r="197" spans="1:14" ht="12.95">
      <c r="A197" s="268">
        <f>$A$8</f>
        <v>2020</v>
      </c>
      <c r="B197" s="263" t="s">
        <v>142</v>
      </c>
      <c r="C197" s="18" t="s">
        <v>143</v>
      </c>
      <c r="D197" s="263" t="s">
        <v>142</v>
      </c>
      <c r="E197" s="18" t="s">
        <v>143</v>
      </c>
      <c r="F197" s="263" t="s">
        <v>142</v>
      </c>
      <c r="G197" s="18" t="s">
        <v>143</v>
      </c>
      <c r="H197" s="263" t="s">
        <v>142</v>
      </c>
      <c r="I197" s="18" t="s">
        <v>143</v>
      </c>
      <c r="J197" s="158"/>
      <c r="K197" s="262" t="str">
        <f>CONCATENATE(A197," - ",A202)</f>
        <v>2020 - 2025</v>
      </c>
      <c r="L197" s="261"/>
      <c r="M197" s="261"/>
    </row>
    <row r="198" spans="1:14">
      <c r="A198" s="258" t="s">
        <v>144</v>
      </c>
      <c r="B198" s="278">
        <f>'Ind T6'!L240</f>
        <v>1539.8580000003353</v>
      </c>
      <c r="C198" s="275" t="str">
        <f>CONCATENATE("(",ROUND((B198/$H200)*100,1),")")</f>
        <v>(36.2)</v>
      </c>
      <c r="D198" s="278">
        <f>'Ind T6'!M240</f>
        <v>520.81299999791179</v>
      </c>
      <c r="E198" s="275" t="str">
        <f>CONCATENATE("(",ROUND((D198/$H200)*100,1),")")</f>
        <v>(12.2)</v>
      </c>
      <c r="F198" s="278">
        <f>'Ind T6'!N240</f>
        <v>167.12300000137884</v>
      </c>
      <c r="G198" s="275" t="str">
        <f>CONCATENATE("(",ROUND((F198/$H200)*100,1),")")</f>
        <v>(3.9)</v>
      </c>
      <c r="H198" s="278">
        <f>SUM(B198,D198,F198)</f>
        <v>2227.7939999996261</v>
      </c>
      <c r="I198" s="275" t="str">
        <f>CONCATENATE("(",ROUND((H198/$H200)*100,1),")")</f>
        <v>(52.3)</v>
      </c>
      <c r="K198" s="278">
        <f>B203-B198</f>
        <v>22.247000002977074</v>
      </c>
      <c r="L198" s="278">
        <f>D203-D198</f>
        <v>0.4370000110283172</v>
      </c>
      <c r="M198" s="278">
        <f>F203-F198</f>
        <v>2.3899999995255712</v>
      </c>
      <c r="N198" s="278">
        <f>SUM(K198:M198)</f>
        <v>25.074000013530963</v>
      </c>
    </row>
    <row r="199" spans="1:14">
      <c r="A199" s="258" t="s">
        <v>145</v>
      </c>
      <c r="B199" s="278">
        <f>'Ind T6'!L239</f>
        <v>869.93599999448361</v>
      </c>
      <c r="C199" s="275" t="str">
        <f>CONCATENATE("(",ROUND((B199/$H200)*100,1),")")</f>
        <v>(20.4)</v>
      </c>
      <c r="D199" s="278">
        <f>'Ind T6'!M239</f>
        <v>1053.1610000398373</v>
      </c>
      <c r="E199" s="275" t="str">
        <f>CONCATENATE("(",ROUND((D199/$H200)*100,1),")")</f>
        <v>(24.7)</v>
      </c>
      <c r="F199" s="278">
        <f>'Ind T6'!N239</f>
        <v>108.73599999844173</v>
      </c>
      <c r="G199" s="275" t="str">
        <f>CONCATENATE("(",ROUND((F199/$H200)*100,1),")")</f>
        <v>(2.6)</v>
      </c>
      <c r="H199" s="278">
        <f t="shared" ref="H199" si="156">SUM(B199,D199,F199)</f>
        <v>2031.8330000327626</v>
      </c>
      <c r="I199" s="275" t="str">
        <f>CONCATENATE("(",ROUND((H199/$H200)*100,1),")")</f>
        <v>(47.7)</v>
      </c>
      <c r="K199" s="278">
        <f t="shared" ref="K199:K200" si="157">B204-B199</f>
        <v>33.996000025935132</v>
      </c>
      <c r="L199" s="278">
        <f t="shared" ref="L199:L200" si="158">D204-D199</f>
        <v>-38.633999977712165</v>
      </c>
      <c r="M199" s="278">
        <f t="shared" ref="M199:M200" si="159">F204-F199</f>
        <v>3.5670000017687613</v>
      </c>
      <c r="N199" s="278">
        <f t="shared" ref="N199:N200" si="160">SUM(K199:M199)</f>
        <v>-1.0709999500082716</v>
      </c>
    </row>
    <row r="200" spans="1:14">
      <c r="A200" s="258" t="s">
        <v>146</v>
      </c>
      <c r="B200" s="278">
        <f>SUM(B198:B199)</f>
        <v>2409.7939999948189</v>
      </c>
      <c r="C200" s="275" t="str">
        <f>CONCATENATE("(",ROUND((B200/$H200)*100,1),")")</f>
        <v>(56.6)</v>
      </c>
      <c r="D200" s="278">
        <f>SUM(D198:D199)</f>
        <v>1573.9740000377492</v>
      </c>
      <c r="E200" s="275" t="str">
        <f>CONCATENATE("(",ROUND((D200/$H200)*100,1),")")</f>
        <v>(37)</v>
      </c>
      <c r="F200" s="278">
        <f>SUM(F198:F199)</f>
        <v>275.85899999982058</v>
      </c>
      <c r="G200" s="275" t="str">
        <f>CONCATENATE("(",ROUND((F200/$H200)*100,1),")")</f>
        <v>(6.5)</v>
      </c>
      <c r="H200" s="278">
        <f>SUM(H198:H199)</f>
        <v>4259.6270000323884</v>
      </c>
      <c r="I200" s="275" t="str">
        <f>CONCATENATE("(",ROUND((H200/$H200)*100,1),")")</f>
        <v>(100)</v>
      </c>
      <c r="K200" s="278">
        <f t="shared" si="157"/>
        <v>56.24300002891232</v>
      </c>
      <c r="L200" s="278">
        <f t="shared" si="158"/>
        <v>-38.196999966683961</v>
      </c>
      <c r="M200" s="278">
        <f t="shared" si="159"/>
        <v>5.9570000012943183</v>
      </c>
      <c r="N200" s="278">
        <f t="shared" si="160"/>
        <v>24.003000063522677</v>
      </c>
    </row>
    <row r="201" spans="1:14">
      <c r="B201" s="278"/>
      <c r="C201" s="260"/>
      <c r="D201" s="278"/>
      <c r="E201" s="260"/>
      <c r="F201" s="278"/>
      <c r="G201" s="260"/>
      <c r="H201" s="278"/>
      <c r="I201" s="260"/>
    </row>
    <row r="202" spans="1:14" ht="12.95">
      <c r="A202" s="268">
        <f>$A$13</f>
        <v>2025</v>
      </c>
      <c r="B202" s="278"/>
      <c r="C202" s="260"/>
      <c r="D202" s="278"/>
      <c r="E202" s="260"/>
      <c r="F202" s="278"/>
      <c r="G202" s="260"/>
      <c r="H202" s="278"/>
      <c r="I202" s="260"/>
      <c r="K202" s="262" t="str">
        <f>CONCATENATE(A202," - ",A207)</f>
        <v>2025 - 2035</v>
      </c>
    </row>
    <row r="203" spans="1:14">
      <c r="A203" s="258" t="s">
        <v>144</v>
      </c>
      <c r="B203" s="278">
        <f>'Ind T6'!Q240</f>
        <v>1562.1050000033124</v>
      </c>
      <c r="C203" s="275" t="str">
        <f>CONCATENATE("(",ROUND((B203/$H205)*100,1),")")</f>
        <v>(36.5)</v>
      </c>
      <c r="D203" s="278">
        <f>'Ind T6'!R240</f>
        <v>521.25000000894011</v>
      </c>
      <c r="E203" s="275" t="str">
        <f>CONCATENATE("(",ROUND((D203/$H205)*100,1),")")</f>
        <v>(12.2)</v>
      </c>
      <c r="F203" s="278">
        <f>'Ind T6'!S240</f>
        <v>169.51300000090441</v>
      </c>
      <c r="G203" s="275" t="str">
        <f>CONCATENATE("(",ROUND((F203/$H205)*100,1),")")</f>
        <v>(4)</v>
      </c>
      <c r="H203" s="278">
        <f>SUM(B203,D203,F203)</f>
        <v>2252.8680000131567</v>
      </c>
      <c r="I203" s="275" t="str">
        <f>CONCATENATE("(",ROUND((H203/$H205)*100,1),")")</f>
        <v>(52.6)</v>
      </c>
      <c r="K203" s="278">
        <f>B208-B203</f>
        <v>32.44000000179426</v>
      </c>
      <c r="L203" s="278">
        <f>D208-D203</f>
        <v>3.826999999523423</v>
      </c>
      <c r="M203" s="278">
        <f>F208-F203</f>
        <v>3.9330000001255598</v>
      </c>
      <c r="N203" s="278">
        <f>SUM(K203:M203)</f>
        <v>40.200000001443243</v>
      </c>
    </row>
    <row r="204" spans="1:14">
      <c r="A204" s="258" t="s">
        <v>145</v>
      </c>
      <c r="B204" s="278">
        <f>'Ind T6'!Q239</f>
        <v>903.93200002041874</v>
      </c>
      <c r="C204" s="275" t="str">
        <f>CONCATENATE("(",ROUND((B204/$H205)*100,1),")")</f>
        <v>(21.1)</v>
      </c>
      <c r="D204" s="278">
        <f>'Ind T6'!R239</f>
        <v>1014.5270000621251</v>
      </c>
      <c r="E204" s="275" t="str">
        <f>CONCATENATE("(",ROUND((D204/$H205)*100,1),")")</f>
        <v>(23.7)</v>
      </c>
      <c r="F204" s="278">
        <f>'Ind T6'!S239</f>
        <v>112.30300000021049</v>
      </c>
      <c r="G204" s="275" t="str">
        <f>CONCATENATE("(",ROUND((F204/$H205)*100,1),")")</f>
        <v>(2.6)</v>
      </c>
      <c r="H204" s="278">
        <f t="shared" ref="H204" si="161">SUM(B204,D204,F204)</f>
        <v>2030.7620000827542</v>
      </c>
      <c r="I204" s="275" t="str">
        <f>CONCATENATE("(",ROUND((H204/$H205)*100,1),")")</f>
        <v>(47.4)</v>
      </c>
      <c r="K204" s="278">
        <f t="shared" ref="K204:K205" si="162">B209-B204</f>
        <v>67.680999999317692</v>
      </c>
      <c r="L204" s="278">
        <f t="shared" ref="L204:L205" si="163">D209-D204</f>
        <v>-70.72900001377559</v>
      </c>
      <c r="M204" s="278">
        <f t="shared" ref="M204:M205" si="164">F209-F204</f>
        <v>7.6860000009754543</v>
      </c>
      <c r="N204" s="278">
        <f t="shared" ref="N204:N205" si="165">SUM(K204:M204)</f>
        <v>4.6379999865175563</v>
      </c>
    </row>
    <row r="205" spans="1:14">
      <c r="A205" s="258" t="s">
        <v>146</v>
      </c>
      <c r="B205" s="278">
        <f>SUM(B203:B204)</f>
        <v>2466.0370000237313</v>
      </c>
      <c r="C205" s="275" t="str">
        <f>CONCATENATE("(",ROUND((B205/$H205)*100,1),")")</f>
        <v>(57.6)</v>
      </c>
      <c r="D205" s="278">
        <f>SUM(D203:D204)</f>
        <v>1535.7770000710652</v>
      </c>
      <c r="E205" s="275" t="str">
        <f>CONCATENATE("(",ROUND((D205/$H205)*100,1),")")</f>
        <v>(35.9)</v>
      </c>
      <c r="F205" s="278">
        <f>SUM(F203:F204)</f>
        <v>281.8160000011149</v>
      </c>
      <c r="G205" s="275" t="str">
        <f>CONCATENATE("(",ROUND((F205/$H205)*100,1),")")</f>
        <v>(6.6)</v>
      </c>
      <c r="H205" s="278">
        <f>SUM(H203:H204)</f>
        <v>4283.6300000959109</v>
      </c>
      <c r="I205" s="275" t="str">
        <f>CONCATENATE("(",ROUND((H205/$H205)*100,1),")")</f>
        <v>(100)</v>
      </c>
      <c r="K205" s="278">
        <f t="shared" si="162"/>
        <v>100.12100000111195</v>
      </c>
      <c r="L205" s="278">
        <f t="shared" si="163"/>
        <v>-66.90200001425228</v>
      </c>
      <c r="M205" s="278">
        <f t="shared" si="164"/>
        <v>11.619000001101028</v>
      </c>
      <c r="N205" s="278">
        <f t="shared" si="165"/>
        <v>44.8379999879607</v>
      </c>
    </row>
    <row r="206" spans="1:14">
      <c r="B206" s="278"/>
      <c r="C206" s="260"/>
      <c r="D206" s="278"/>
      <c r="E206" s="260"/>
      <c r="F206" s="278"/>
      <c r="G206" s="260"/>
      <c r="H206" s="278"/>
      <c r="I206" s="260"/>
    </row>
    <row r="207" spans="1:14" ht="12.95">
      <c r="A207" s="268">
        <f>$A$18</f>
        <v>2035</v>
      </c>
      <c r="B207" s="278"/>
      <c r="C207" s="260"/>
      <c r="D207" s="278"/>
      <c r="E207" s="260"/>
      <c r="F207" s="278"/>
      <c r="G207" s="260"/>
      <c r="H207" s="278"/>
      <c r="I207" s="260"/>
      <c r="K207" s="262" t="str">
        <f>CONCATENATE(A197," - ",A207)</f>
        <v>2020 - 2035</v>
      </c>
    </row>
    <row r="208" spans="1:14">
      <c r="A208" s="258" t="s">
        <v>144</v>
      </c>
      <c r="B208" s="278">
        <f>'Ind T6'!V240</f>
        <v>1594.5450000051067</v>
      </c>
      <c r="C208" s="275" t="str">
        <f>CONCATENATE("(",ROUND((B208/$H210)*100,1),")")</f>
        <v>(36.8)</v>
      </c>
      <c r="D208" s="278">
        <f>'Ind T6'!W240</f>
        <v>525.07700000846353</v>
      </c>
      <c r="E208" s="275" t="str">
        <f>CONCATENATE("(",ROUND((D208/$H210)*100,1),")")</f>
        <v>(12.1)</v>
      </c>
      <c r="F208" s="278">
        <f>'Ind T6'!X240</f>
        <v>173.44600000102997</v>
      </c>
      <c r="G208" s="275" t="str">
        <f>CONCATENATE("(",ROUND((F208/$H210)*100,1),")")</f>
        <v>(4)</v>
      </c>
      <c r="H208" s="278">
        <f>SUM(B208,D208,F208)</f>
        <v>2293.0680000145999</v>
      </c>
      <c r="I208" s="275" t="str">
        <f>CONCATENATE("(",ROUND((H208/$H210)*100,1),")")</f>
        <v>(53)</v>
      </c>
      <c r="K208" s="278">
        <f>B208-B198</f>
        <v>54.687000004771335</v>
      </c>
      <c r="L208" s="278">
        <f>D208-D198</f>
        <v>4.2640000105517402</v>
      </c>
      <c r="M208" s="278">
        <f>F208-F198</f>
        <v>6.322999999651131</v>
      </c>
      <c r="N208" s="278">
        <f>SUM(K208:M208)</f>
        <v>65.274000014974206</v>
      </c>
    </row>
    <row r="209" spans="1:14">
      <c r="A209" s="258" t="s">
        <v>145</v>
      </c>
      <c r="B209" s="278">
        <f>'Ind T6'!V239</f>
        <v>971.61300001973643</v>
      </c>
      <c r="C209" s="275" t="str">
        <f>CONCATENATE("(",ROUND((B209/$H210)*100,1),")")</f>
        <v>(22.4)</v>
      </c>
      <c r="D209" s="278">
        <f>'Ind T6'!W239</f>
        <v>943.79800004834954</v>
      </c>
      <c r="E209" s="275" t="str">
        <f>CONCATENATE("(",ROUND((D209/$H210)*100,1),")")</f>
        <v>(21.8)</v>
      </c>
      <c r="F209" s="278">
        <f>'Ind T6'!X239</f>
        <v>119.98900000118594</v>
      </c>
      <c r="G209" s="275" t="str">
        <f>CONCATENATE("(",ROUND((F209/$H210)*100,1),")")</f>
        <v>(2.8)</v>
      </c>
      <c r="H209" s="278">
        <f t="shared" ref="H209" si="166">SUM(B209,D209,F209)</f>
        <v>2035.400000069272</v>
      </c>
      <c r="I209" s="275" t="str">
        <f>CONCATENATE("(",ROUND((H209/$H210)*100,1),")")</f>
        <v>(47)</v>
      </c>
      <c r="K209" s="278">
        <f t="shared" ref="K209:K210" si="167">B209-B199</f>
        <v>101.67700002525282</v>
      </c>
      <c r="L209" s="278">
        <f t="shared" ref="L209:L210" si="168">D209-D199</f>
        <v>-109.36299999148775</v>
      </c>
      <c r="M209" s="278">
        <f t="shared" ref="M209:M210" si="169">F209-F199</f>
        <v>11.253000002744216</v>
      </c>
      <c r="N209" s="278">
        <f t="shared" ref="N209:N210" si="170">SUM(K209:M209)</f>
        <v>3.5670000365092847</v>
      </c>
    </row>
    <row r="210" spans="1:14">
      <c r="A210" s="258" t="s">
        <v>146</v>
      </c>
      <c r="B210" s="278">
        <f>SUM(B208:B209)</f>
        <v>2566.1580000248432</v>
      </c>
      <c r="C210" s="275" t="str">
        <f>CONCATENATE("(",ROUND((B210/$H210)*100,1),")")</f>
        <v>(59.3)</v>
      </c>
      <c r="D210" s="278">
        <f>SUM(D208:D209)</f>
        <v>1468.875000056813</v>
      </c>
      <c r="E210" s="275" t="str">
        <f>CONCATENATE("(",ROUND((D210/$H210)*100,1),")")</f>
        <v>(33.9)</v>
      </c>
      <c r="F210" s="278">
        <f>SUM(F208:F209)</f>
        <v>293.43500000221593</v>
      </c>
      <c r="G210" s="275" t="str">
        <f>CONCATENATE("(",ROUND((F210/$H210)*100,1),")")</f>
        <v>(6.8)</v>
      </c>
      <c r="H210" s="278">
        <f>SUM(H208:H209)</f>
        <v>4328.4680000838716</v>
      </c>
      <c r="I210" s="275" t="str">
        <f>CONCATENATE("(",ROUND((H210/$H210)*100,1),")")</f>
        <v>(100)</v>
      </c>
      <c r="K210" s="278">
        <f t="shared" si="167"/>
        <v>156.36400003002427</v>
      </c>
      <c r="L210" s="278">
        <f t="shared" si="168"/>
        <v>-105.09899998093624</v>
      </c>
      <c r="M210" s="278">
        <f t="shared" si="169"/>
        <v>17.576000002395347</v>
      </c>
      <c r="N210" s="278">
        <f t="shared" si="170"/>
        <v>68.841000051483377</v>
      </c>
    </row>
    <row r="211" spans="1:14">
      <c r="A211" s="269"/>
      <c r="B211" s="270"/>
      <c r="C211" s="269"/>
      <c r="D211" s="270"/>
      <c r="E211" s="269"/>
      <c r="F211" s="270"/>
      <c r="G211" s="269"/>
      <c r="H211" s="270"/>
      <c r="I211" s="269"/>
      <c r="J211" s="269"/>
      <c r="K211" s="270"/>
      <c r="L211" s="270"/>
      <c r="M211" s="270"/>
      <c r="N211" s="270"/>
    </row>
    <row r="215" spans="1:14" ht="12.95">
      <c r="A215" s="264"/>
      <c r="B215" s="265" t="s">
        <v>133</v>
      </c>
      <c r="C215" s="264"/>
      <c r="D215" s="265"/>
      <c r="E215" s="264"/>
      <c r="F215" s="265" t="str">
        <f>name!B13</f>
        <v>Transport and storage</v>
      </c>
      <c r="G215" s="264"/>
      <c r="H215" s="267"/>
      <c r="I215" s="264"/>
      <c r="J215" s="266"/>
      <c r="K215" s="267"/>
      <c r="L215" s="267"/>
      <c r="M215" s="267"/>
      <c r="N215" s="267"/>
    </row>
    <row r="216" spans="1:14" ht="12.95">
      <c r="N216" s="263" t="s">
        <v>134</v>
      </c>
    </row>
    <row r="217" spans="1:14" ht="12.95">
      <c r="A217" s="158" t="s">
        <v>135</v>
      </c>
      <c r="B217" s="364" t="s">
        <v>136</v>
      </c>
      <c r="C217" s="364"/>
      <c r="D217" s="364" t="s">
        <v>137</v>
      </c>
      <c r="E217" s="364"/>
      <c r="F217" s="364" t="s">
        <v>138</v>
      </c>
      <c r="G217" s="364"/>
      <c r="H217" s="364" t="s">
        <v>119</v>
      </c>
      <c r="I217" s="364"/>
      <c r="J217" s="158"/>
      <c r="K217" s="273" t="s">
        <v>139</v>
      </c>
      <c r="L217" s="273" t="s">
        <v>140</v>
      </c>
      <c r="M217" s="273" t="s">
        <v>141</v>
      </c>
      <c r="N217" s="273" t="s">
        <v>119</v>
      </c>
    </row>
    <row r="218" spans="1:14" ht="12.95">
      <c r="A218" s="268">
        <f>$A$8</f>
        <v>2020</v>
      </c>
      <c r="B218" s="263" t="s">
        <v>142</v>
      </c>
      <c r="C218" s="18" t="s">
        <v>143</v>
      </c>
      <c r="D218" s="263" t="s">
        <v>142</v>
      </c>
      <c r="E218" s="18" t="s">
        <v>143</v>
      </c>
      <c r="F218" s="263" t="s">
        <v>142</v>
      </c>
      <c r="G218" s="18" t="s">
        <v>143</v>
      </c>
      <c r="H218" s="263" t="s">
        <v>142</v>
      </c>
      <c r="I218" s="18" t="s">
        <v>143</v>
      </c>
      <c r="J218" s="158"/>
      <c r="K218" s="262" t="str">
        <f>CONCATENATE(A218," - ",A223)</f>
        <v>2020 - 2025</v>
      </c>
      <c r="L218" s="261"/>
      <c r="M218" s="261"/>
    </row>
    <row r="219" spans="1:14">
      <c r="A219" s="258" t="s">
        <v>144</v>
      </c>
      <c r="B219" s="278">
        <f>'Ind T6'!L275</f>
        <v>863.67899999938857</v>
      </c>
      <c r="C219" s="275" t="str">
        <f>CONCATENATE("(",ROUND((B219/$H221)*100,1),")")</f>
        <v>(54.6)</v>
      </c>
      <c r="D219" s="278">
        <f>'Ind T6'!M275</f>
        <v>134.54199999975421</v>
      </c>
      <c r="E219" s="275" t="str">
        <f>CONCATENATE("(",ROUND((D219/$H221)*100,1),")")</f>
        <v>(8.5)</v>
      </c>
      <c r="F219" s="278">
        <f>'Ind T6'!N275</f>
        <v>207.89600000398258</v>
      </c>
      <c r="G219" s="275" t="str">
        <f>CONCATENATE("(",ROUND((F219/$H221)*100,1),")")</f>
        <v>(13.1)</v>
      </c>
      <c r="H219" s="278">
        <f>SUM(B219,D219,F219)</f>
        <v>1206.1170000031254</v>
      </c>
      <c r="I219" s="275" t="str">
        <f>CONCATENATE("(",ROUND((H219/$H221)*100,1),")")</f>
        <v>(76.2)</v>
      </c>
      <c r="K219" s="278">
        <f>B224-B219</f>
        <v>45.630000001556368</v>
      </c>
      <c r="L219" s="278">
        <f>D224-D219</f>
        <v>8.4210000014358002</v>
      </c>
      <c r="M219" s="278">
        <f>F224-F219</f>
        <v>17.774000017718066</v>
      </c>
      <c r="N219" s="278">
        <f>SUM(K219:M219)</f>
        <v>71.825000020710235</v>
      </c>
    </row>
    <row r="220" spans="1:14">
      <c r="A220" s="258" t="s">
        <v>145</v>
      </c>
      <c r="B220" s="278">
        <f>'Ind T6'!L274</f>
        <v>218.22199999825324</v>
      </c>
      <c r="C220" s="275" t="str">
        <f>CONCATENATE("(",ROUND((B220/$H221)*100,1),")")</f>
        <v>(13.8)</v>
      </c>
      <c r="D220" s="278">
        <f>'Ind T6'!M274</f>
        <v>137.9480000018014</v>
      </c>
      <c r="E220" s="275" t="str">
        <f>CONCATENATE("(",ROUND((D220/$H221)*100,1),")")</f>
        <v>(8.7)</v>
      </c>
      <c r="F220" s="278">
        <f>'Ind T6'!N274</f>
        <v>20.491999999795922</v>
      </c>
      <c r="G220" s="275" t="str">
        <f>CONCATENATE("(",ROUND((F220/$H221)*100,1),")")</f>
        <v>(1.3)</v>
      </c>
      <c r="H220" s="278">
        <f t="shared" ref="H220" si="171">SUM(B220,D220,F220)</f>
        <v>376.66199999985054</v>
      </c>
      <c r="I220" s="275" t="str">
        <f>CONCATENATE("(",ROUND((H220/$H221)*100,1),")")</f>
        <v>(23.8)</v>
      </c>
      <c r="K220" s="278">
        <f t="shared" ref="K220:K221" si="172">B225-B220</f>
        <v>18.6070000065979</v>
      </c>
      <c r="L220" s="278">
        <f t="shared" ref="L220:L221" si="173">D225-D220</f>
        <v>13.874000000637977</v>
      </c>
      <c r="M220" s="278">
        <f t="shared" ref="M220:M221" si="174">F225-F220</f>
        <v>0.90500000016483995</v>
      </c>
      <c r="N220" s="278">
        <f t="shared" ref="N220:N221" si="175">SUM(K220:M220)</f>
        <v>33.386000007400717</v>
      </c>
    </row>
    <row r="221" spans="1:14">
      <c r="A221" s="258" t="s">
        <v>146</v>
      </c>
      <c r="B221" s="278">
        <f>SUM(B219:B220)</f>
        <v>1081.9009999976417</v>
      </c>
      <c r="C221" s="275" t="str">
        <f>CONCATENATE("(",ROUND((B221/$H221)*100,1),")")</f>
        <v>(68.4)</v>
      </c>
      <c r="D221" s="278">
        <f>SUM(D219:D220)</f>
        <v>272.49000000155559</v>
      </c>
      <c r="E221" s="275" t="str">
        <f>CONCATENATE("(",ROUND((D221/$H221)*100,1),")")</f>
        <v>(17.2)</v>
      </c>
      <c r="F221" s="278">
        <f>SUM(F219:F220)</f>
        <v>228.3880000037785</v>
      </c>
      <c r="G221" s="275" t="str">
        <f>CONCATENATE("(",ROUND((F221/$H221)*100,1),")")</f>
        <v>(14.4)</v>
      </c>
      <c r="H221" s="278">
        <f>SUM(H219:H220)</f>
        <v>1582.7790000029759</v>
      </c>
      <c r="I221" s="275" t="str">
        <f>CONCATENATE("(",ROUND((H221/$H221)*100,1),")")</f>
        <v>(100)</v>
      </c>
      <c r="K221" s="278">
        <f t="shared" si="172"/>
        <v>64.237000008154382</v>
      </c>
      <c r="L221" s="278">
        <f t="shared" si="173"/>
        <v>22.295000002073834</v>
      </c>
      <c r="M221" s="278">
        <f t="shared" si="174"/>
        <v>18.679000017882913</v>
      </c>
      <c r="N221" s="278">
        <f t="shared" si="175"/>
        <v>105.21100002811113</v>
      </c>
    </row>
    <row r="222" spans="1:14">
      <c r="B222" s="278"/>
      <c r="C222" s="260"/>
      <c r="D222" s="278"/>
      <c r="E222" s="260"/>
      <c r="F222" s="278"/>
      <c r="G222" s="260"/>
      <c r="H222" s="278"/>
      <c r="I222" s="260"/>
    </row>
    <row r="223" spans="1:14" ht="12.95">
      <c r="A223" s="268">
        <f>$A$13</f>
        <v>2025</v>
      </c>
      <c r="B223" s="278"/>
      <c r="C223" s="260"/>
      <c r="D223" s="278"/>
      <c r="E223" s="260"/>
      <c r="F223" s="278"/>
      <c r="G223" s="260"/>
      <c r="H223" s="278"/>
      <c r="I223" s="260"/>
      <c r="K223" s="262" t="str">
        <f>CONCATENATE(A223," - ",A228)</f>
        <v>2025 - 2035</v>
      </c>
    </row>
    <row r="224" spans="1:14">
      <c r="A224" s="258" t="s">
        <v>144</v>
      </c>
      <c r="B224" s="278">
        <f>'Ind T6'!Q275</f>
        <v>909.30900000094493</v>
      </c>
      <c r="C224" s="275" t="str">
        <f>CONCATENATE("(",ROUND((B224/$H226)*100,1),")")</f>
        <v>(53.9)</v>
      </c>
      <c r="D224" s="278">
        <f>'Ind T6'!R275</f>
        <v>142.96300000119001</v>
      </c>
      <c r="E224" s="275" t="str">
        <f>CONCATENATE("(",ROUND((D224/$H226)*100,1),")")</f>
        <v>(8.5)</v>
      </c>
      <c r="F224" s="278">
        <f>'Ind T6'!S275</f>
        <v>225.67000002170064</v>
      </c>
      <c r="G224" s="275" t="str">
        <f>CONCATENATE("(",ROUND((F224/$H226)*100,1),")")</f>
        <v>(13.4)</v>
      </c>
      <c r="H224" s="278">
        <f>SUM(B224,D224,F224)</f>
        <v>1277.9420000238356</v>
      </c>
      <c r="I224" s="275" t="str">
        <f>CONCATENATE("(",ROUND((H224/$H226)*100,1),")")</f>
        <v>(75.7)</v>
      </c>
      <c r="K224" s="278">
        <f>B229-B224</f>
        <v>-11.147999999849389</v>
      </c>
      <c r="L224" s="278">
        <f>D229-D224</f>
        <v>6.2880000001732128</v>
      </c>
      <c r="M224" s="278">
        <f>F229-F224</f>
        <v>12.074000001754001</v>
      </c>
      <c r="N224" s="278">
        <f>SUM(K224:M224)</f>
        <v>7.2140000020778245</v>
      </c>
    </row>
    <row r="225" spans="1:14">
      <c r="A225" s="258" t="s">
        <v>145</v>
      </c>
      <c r="B225" s="278">
        <f>'Ind T6'!Q274</f>
        <v>236.82900000485114</v>
      </c>
      <c r="C225" s="275" t="str">
        <f>CONCATENATE("(",ROUND((B225/$H226)*100,1),")")</f>
        <v>(14)</v>
      </c>
      <c r="D225" s="278">
        <f>'Ind T6'!R274</f>
        <v>151.82200000243938</v>
      </c>
      <c r="E225" s="275" t="str">
        <f>CONCATENATE("(",ROUND((D225/$H226)*100,1),")")</f>
        <v>(9)</v>
      </c>
      <c r="F225" s="278">
        <f>'Ind T6'!S274</f>
        <v>21.396999999960762</v>
      </c>
      <c r="G225" s="275" t="str">
        <f>CONCATENATE("(",ROUND((F225/$H226)*100,1),")")</f>
        <v>(1.3)</v>
      </c>
      <c r="H225" s="278">
        <f t="shared" ref="H225" si="176">SUM(B225,D225,F225)</f>
        <v>410.04800000725129</v>
      </c>
      <c r="I225" s="275" t="str">
        <f>CONCATENATE("(",ROUND((H225/$H226)*100,1),")")</f>
        <v>(24.3)</v>
      </c>
      <c r="K225" s="278">
        <f t="shared" ref="K225:K226" si="177">B230-B225</f>
        <v>12.120000001035123</v>
      </c>
      <c r="L225" s="278">
        <f t="shared" ref="L225:L226" si="178">D230-D225</f>
        <v>13.646000000162019</v>
      </c>
      <c r="M225" s="278">
        <f t="shared" ref="M225:M226" si="179">F230-F225</f>
        <v>-2.9999999548877554E-3</v>
      </c>
      <c r="N225" s="278">
        <f t="shared" ref="N225:N226" si="180">SUM(K225:M225)</f>
        <v>25.763000001242254</v>
      </c>
    </row>
    <row r="226" spans="1:14">
      <c r="A226" s="258" t="s">
        <v>146</v>
      </c>
      <c r="B226" s="278">
        <f>SUM(B224:B225)</f>
        <v>1146.1380000057961</v>
      </c>
      <c r="C226" s="275" t="str">
        <f>CONCATENATE("(",ROUND((B226/$H226)*100,1),")")</f>
        <v>(67.9)</v>
      </c>
      <c r="D226" s="278">
        <f>SUM(D224:D225)</f>
        <v>294.78500000362942</v>
      </c>
      <c r="E226" s="275" t="str">
        <f>CONCATENATE("(",ROUND((D226/$H226)*100,1),")")</f>
        <v>(17.5)</v>
      </c>
      <c r="F226" s="278">
        <f>SUM(F224:F225)</f>
        <v>247.06700002166141</v>
      </c>
      <c r="G226" s="275" t="str">
        <f>CONCATENATE("(",ROUND((F226/$H226)*100,1),")")</f>
        <v>(14.6)</v>
      </c>
      <c r="H226" s="278">
        <f>SUM(H224:H225)</f>
        <v>1687.9900000310868</v>
      </c>
      <c r="I226" s="275" t="str">
        <f>CONCATENATE("(",ROUND((H226/$H226)*100,1),")")</f>
        <v>(100)</v>
      </c>
      <c r="K226" s="278">
        <f t="shared" si="177"/>
        <v>0.97200000118573371</v>
      </c>
      <c r="L226" s="278">
        <f t="shared" si="178"/>
        <v>19.934000000335232</v>
      </c>
      <c r="M226" s="278">
        <f t="shared" si="179"/>
        <v>12.071000001799092</v>
      </c>
      <c r="N226" s="278">
        <f t="shared" si="180"/>
        <v>32.977000003320057</v>
      </c>
    </row>
    <row r="227" spans="1:14">
      <c r="B227" s="278"/>
      <c r="C227" s="260"/>
      <c r="D227" s="278"/>
      <c r="E227" s="260"/>
      <c r="F227" s="278"/>
      <c r="G227" s="260"/>
      <c r="H227" s="278"/>
      <c r="I227" s="260"/>
    </row>
    <row r="228" spans="1:14" ht="12.95">
      <c r="A228" s="268">
        <f>$A$18</f>
        <v>2035</v>
      </c>
      <c r="B228" s="278"/>
      <c r="C228" s="260"/>
      <c r="D228" s="278"/>
      <c r="E228" s="260"/>
      <c r="F228" s="278"/>
      <c r="G228" s="260"/>
      <c r="H228" s="278"/>
      <c r="I228" s="260"/>
      <c r="K228" s="262" t="str">
        <f>CONCATENATE(A218," - ",A228)</f>
        <v>2020 - 2035</v>
      </c>
    </row>
    <row r="229" spans="1:14">
      <c r="A229" s="258" t="s">
        <v>144</v>
      </c>
      <c r="B229" s="278">
        <f>'Ind T6'!V275</f>
        <v>898.16100000109554</v>
      </c>
      <c r="C229" s="275" t="str">
        <f>CONCATENATE("(",ROUND((B229/$H231)*100,1),")")</f>
        <v>(52.2)</v>
      </c>
      <c r="D229" s="278">
        <f>'Ind T6'!W275</f>
        <v>149.25100000136322</v>
      </c>
      <c r="E229" s="275" t="str">
        <f>CONCATENATE("(",ROUND((D229/$H231)*100,1),")")</f>
        <v>(8.7)</v>
      </c>
      <c r="F229" s="278">
        <f>'Ind T6'!X275</f>
        <v>237.74400002345465</v>
      </c>
      <c r="G229" s="275" t="str">
        <f>CONCATENATE("(",ROUND((F229/$H231)*100,1),")")</f>
        <v>(13.8)</v>
      </c>
      <c r="H229" s="278">
        <f>SUM(B229,D229,F229)</f>
        <v>1285.1560000259135</v>
      </c>
      <c r="I229" s="275" t="str">
        <f>CONCATENATE("(",ROUND((H229/$H231)*100,1),")")</f>
        <v>(74.7)</v>
      </c>
      <c r="K229" s="278">
        <f>B229-B219</f>
        <v>34.482000001706979</v>
      </c>
      <c r="L229" s="278">
        <f>D229-D219</f>
        <v>14.709000001609013</v>
      </c>
      <c r="M229" s="278">
        <f>F229-F219</f>
        <v>29.848000019472067</v>
      </c>
      <c r="N229" s="278">
        <f>SUM(K229:M229)</f>
        <v>79.039000022788059</v>
      </c>
    </row>
    <row r="230" spans="1:14">
      <c r="A230" s="258" t="s">
        <v>145</v>
      </c>
      <c r="B230" s="278">
        <f>'Ind T6'!V274</f>
        <v>248.94900000588626</v>
      </c>
      <c r="C230" s="275" t="str">
        <f>CONCATENATE("(",ROUND((B230/$H231)*100,1),")")</f>
        <v>(14.5)</v>
      </c>
      <c r="D230" s="278">
        <f>'Ind T6'!W274</f>
        <v>165.4680000026014</v>
      </c>
      <c r="E230" s="275" t="str">
        <f>CONCATENATE("(",ROUND((D230/$H231)*100,1),")")</f>
        <v>(9.6)</v>
      </c>
      <c r="F230" s="278">
        <f>'Ind T6'!X274</f>
        <v>21.394000000005875</v>
      </c>
      <c r="G230" s="275" t="str">
        <f>CONCATENATE("(",ROUND((F230/$H231)*100,1),")")</f>
        <v>(1.2)</v>
      </c>
      <c r="H230" s="278">
        <f t="shared" ref="H230" si="181">SUM(B230,D230,F230)</f>
        <v>435.81100000849352</v>
      </c>
      <c r="I230" s="275" t="str">
        <f>CONCATENATE("(",ROUND((H230/$H231)*100,1),")")</f>
        <v>(25.3)</v>
      </c>
      <c r="K230" s="278">
        <f t="shared" ref="K230:K231" si="182">B230-B220</f>
        <v>30.727000007633023</v>
      </c>
      <c r="L230" s="278">
        <f t="shared" ref="L230:L231" si="183">D230-D220</f>
        <v>27.520000000799996</v>
      </c>
      <c r="M230" s="278">
        <f t="shared" ref="M230:M231" si="184">F230-F220</f>
        <v>0.90200000020995219</v>
      </c>
      <c r="N230" s="278">
        <f t="shared" ref="N230:N231" si="185">SUM(K230:M230)</f>
        <v>59.149000008642972</v>
      </c>
    </row>
    <row r="231" spans="1:14">
      <c r="A231" s="258" t="s">
        <v>146</v>
      </c>
      <c r="B231" s="278">
        <f>SUM(B229:B230)</f>
        <v>1147.1100000069819</v>
      </c>
      <c r="C231" s="275" t="str">
        <f>CONCATENATE("(",ROUND((B231/$H231)*100,1),")")</f>
        <v>(66.7)</v>
      </c>
      <c r="D231" s="278">
        <f>SUM(D229:D230)</f>
        <v>314.71900000396465</v>
      </c>
      <c r="E231" s="275" t="str">
        <f>CONCATENATE("(",ROUND((D231/$H231)*100,1),")")</f>
        <v>(18.3)</v>
      </c>
      <c r="F231" s="278">
        <f>SUM(F229:F230)</f>
        <v>259.13800002346051</v>
      </c>
      <c r="G231" s="275" t="str">
        <f>CONCATENATE("(",ROUND((F231/$H231)*100,1),")")</f>
        <v>(15.1)</v>
      </c>
      <c r="H231" s="278">
        <f>SUM(H229:H230)</f>
        <v>1720.967000034407</v>
      </c>
      <c r="I231" s="275" t="str">
        <f>CONCATENATE("(",ROUND((H231/$H231)*100,1),")")</f>
        <v>(100)</v>
      </c>
      <c r="K231" s="278">
        <f t="shared" si="182"/>
        <v>65.209000009340116</v>
      </c>
      <c r="L231" s="278">
        <f t="shared" si="183"/>
        <v>42.229000002409066</v>
      </c>
      <c r="M231" s="278">
        <f t="shared" si="184"/>
        <v>30.750000019682005</v>
      </c>
      <c r="N231" s="278">
        <f t="shared" si="185"/>
        <v>138.18800003143119</v>
      </c>
    </row>
    <row r="232" spans="1:14">
      <c r="A232" s="269"/>
      <c r="B232" s="270"/>
      <c r="C232" s="269"/>
      <c r="D232" s="270"/>
      <c r="E232" s="269"/>
      <c r="F232" s="270"/>
      <c r="G232" s="269"/>
      <c r="H232" s="270"/>
      <c r="I232" s="269"/>
      <c r="J232" s="269"/>
      <c r="K232" s="270"/>
      <c r="L232" s="270"/>
      <c r="M232" s="270"/>
      <c r="N232" s="270"/>
    </row>
    <row r="236" spans="1:14" ht="12.95">
      <c r="A236" s="264"/>
      <c r="B236" s="265" t="s">
        <v>133</v>
      </c>
      <c r="C236" s="264"/>
      <c r="D236" s="265"/>
      <c r="E236" s="264"/>
      <c r="F236" s="265" t="str">
        <f>name!B14</f>
        <v>Accommodation and food</v>
      </c>
      <c r="G236" s="264"/>
      <c r="H236" s="267"/>
      <c r="I236" s="264"/>
      <c r="J236" s="266"/>
      <c r="K236" s="267"/>
      <c r="L236" s="267"/>
      <c r="M236" s="267"/>
      <c r="N236" s="267"/>
    </row>
    <row r="237" spans="1:14" ht="12.95">
      <c r="N237" s="263" t="s">
        <v>134</v>
      </c>
    </row>
    <row r="238" spans="1:14" ht="12.95">
      <c r="A238" s="158" t="s">
        <v>135</v>
      </c>
      <c r="B238" s="364" t="s">
        <v>136</v>
      </c>
      <c r="C238" s="364"/>
      <c r="D238" s="364" t="s">
        <v>137</v>
      </c>
      <c r="E238" s="364"/>
      <c r="F238" s="364" t="s">
        <v>138</v>
      </c>
      <c r="G238" s="364"/>
      <c r="H238" s="364" t="s">
        <v>119</v>
      </c>
      <c r="I238" s="364"/>
      <c r="J238" s="158"/>
      <c r="K238" s="273" t="s">
        <v>139</v>
      </c>
      <c r="L238" s="273" t="s">
        <v>140</v>
      </c>
      <c r="M238" s="273" t="s">
        <v>141</v>
      </c>
      <c r="N238" s="273" t="s">
        <v>119</v>
      </c>
    </row>
    <row r="239" spans="1:14" ht="12.95">
      <c r="A239" s="268">
        <f>$A$8</f>
        <v>2020</v>
      </c>
      <c r="B239" s="263" t="s">
        <v>142</v>
      </c>
      <c r="C239" s="18" t="s">
        <v>143</v>
      </c>
      <c r="D239" s="263" t="s">
        <v>142</v>
      </c>
      <c r="E239" s="18" t="s">
        <v>143</v>
      </c>
      <c r="F239" s="263" t="s">
        <v>142</v>
      </c>
      <c r="G239" s="18" t="s">
        <v>143</v>
      </c>
      <c r="H239" s="263" t="s">
        <v>142</v>
      </c>
      <c r="I239" s="18" t="s">
        <v>143</v>
      </c>
      <c r="J239" s="158"/>
      <c r="K239" s="262" t="str">
        <f>CONCATENATE(A239," - ",A244)</f>
        <v>2020 - 2025</v>
      </c>
      <c r="L239" s="261"/>
      <c r="M239" s="261"/>
    </row>
    <row r="240" spans="1:14">
      <c r="A240" s="258" t="s">
        <v>144</v>
      </c>
      <c r="B240" s="278">
        <f>'Ind T6'!L295</f>
        <v>452.37999999778754</v>
      </c>
      <c r="C240" s="275" t="str">
        <f>CONCATENATE("(",ROUND((B240/$H242)*100,1),")")</f>
        <v>(22.2)</v>
      </c>
      <c r="D240" s="278">
        <f>'Ind T6'!M295</f>
        <v>447.03399999795676</v>
      </c>
      <c r="E240" s="275" t="str">
        <f>CONCATENATE("(",ROUND((D240/$H242)*100,1),")")</f>
        <v>(22)</v>
      </c>
      <c r="F240" s="278">
        <f>'Ind T6'!N295</f>
        <v>43.774000000493118</v>
      </c>
      <c r="G240" s="275" t="str">
        <f>CONCATENATE("(",ROUND((F240/$H242)*100,1),")")</f>
        <v>(2.1)</v>
      </c>
      <c r="H240" s="278">
        <f>SUM(B240,D240,F240)</f>
        <v>943.18799999623729</v>
      </c>
      <c r="I240" s="275" t="str">
        <f>CONCATENATE("(",ROUND((H240/$H242)*100,1),")")</f>
        <v>(46.3)</v>
      </c>
      <c r="K240" s="278">
        <f>B245-B240</f>
        <v>25.343000002068266</v>
      </c>
      <c r="L240" s="278">
        <f>D245-D240</f>
        <v>16.78500000947821</v>
      </c>
      <c r="M240" s="278">
        <f>F245-F240</f>
        <v>2.8290000005256886</v>
      </c>
      <c r="N240" s="278">
        <f>SUM(K240:M240)</f>
        <v>44.957000012072164</v>
      </c>
    </row>
    <row r="241" spans="1:14">
      <c r="A241" s="258" t="s">
        <v>145</v>
      </c>
      <c r="B241" s="278">
        <f>'Ind T6'!L294</f>
        <v>374.61799999737008</v>
      </c>
      <c r="C241" s="275" t="str">
        <f>CONCATENATE("(",ROUND((B241/$H242)*100,1),")")</f>
        <v>(18.4)</v>
      </c>
      <c r="D241" s="278">
        <f>'Ind T6'!M294</f>
        <v>653.28400001603302</v>
      </c>
      <c r="E241" s="275" t="str">
        <f>CONCATENATE("(",ROUND((D241/$H242)*100,1),")")</f>
        <v>(32.1)</v>
      </c>
      <c r="F241" s="278">
        <f>'Ind T6'!N294</f>
        <v>65.008999998865079</v>
      </c>
      <c r="G241" s="275" t="str">
        <f>CONCATENATE("(",ROUND((F241/$H242)*100,1),")")</f>
        <v>(3.2)</v>
      </c>
      <c r="H241" s="278">
        <f t="shared" ref="H241" si="186">SUM(B241,D241,F241)</f>
        <v>1092.9110000122682</v>
      </c>
      <c r="I241" s="275" t="str">
        <f>CONCATENATE("(",ROUND((H241/$H242)*100,1),")")</f>
        <v>(53.7)</v>
      </c>
      <c r="K241" s="278">
        <f t="shared" ref="K241:K242" si="187">B246-B241</f>
        <v>19.639000010402185</v>
      </c>
      <c r="L241" s="278">
        <f t="shared" ref="L241:L242" si="188">D246-D241</f>
        <v>28.132000012905678</v>
      </c>
      <c r="M241" s="278">
        <f t="shared" ref="M241:M242" si="189">F246-F241</f>
        <v>4.6540000014688303</v>
      </c>
      <c r="N241" s="278">
        <f t="shared" ref="N241:N242" si="190">SUM(K241:M241)</f>
        <v>52.425000024776693</v>
      </c>
    </row>
    <row r="242" spans="1:14">
      <c r="A242" s="258" t="s">
        <v>146</v>
      </c>
      <c r="B242" s="278">
        <f>SUM(B240:B241)</f>
        <v>826.99799999515767</v>
      </c>
      <c r="C242" s="275" t="str">
        <f>CONCATENATE("(",ROUND((B242/$H242)*100,1),")")</f>
        <v>(40.6)</v>
      </c>
      <c r="D242" s="278">
        <f>SUM(D240:D241)</f>
        <v>1100.3180000139898</v>
      </c>
      <c r="E242" s="275" t="str">
        <f>CONCATENATE("(",ROUND((D242/$H242)*100,1),")")</f>
        <v>(54)</v>
      </c>
      <c r="F242" s="278">
        <f>SUM(F240:F241)</f>
        <v>108.7829999993582</v>
      </c>
      <c r="G242" s="275" t="str">
        <f>CONCATENATE("(",ROUND((F242/$H242)*100,1),")")</f>
        <v>(5.3)</v>
      </c>
      <c r="H242" s="278">
        <f>SUM(H240:H241)</f>
        <v>2036.0990000085055</v>
      </c>
      <c r="I242" s="275" t="str">
        <f>CONCATENATE("(",ROUND((H242/$H242)*100,1),")")</f>
        <v>(100)</v>
      </c>
      <c r="K242" s="278">
        <f t="shared" si="187"/>
        <v>44.982000012470394</v>
      </c>
      <c r="L242" s="278">
        <f t="shared" si="188"/>
        <v>44.917000022383718</v>
      </c>
      <c r="M242" s="278">
        <f t="shared" si="189"/>
        <v>7.483000001994526</v>
      </c>
      <c r="N242" s="278">
        <f t="shared" si="190"/>
        <v>97.382000036848638</v>
      </c>
    </row>
    <row r="243" spans="1:14">
      <c r="B243" s="278"/>
      <c r="C243" s="260"/>
      <c r="D243" s="278"/>
      <c r="E243" s="260"/>
      <c r="F243" s="278"/>
      <c r="G243" s="260"/>
      <c r="H243" s="278"/>
      <c r="I243" s="260"/>
    </row>
    <row r="244" spans="1:14" ht="12.95">
      <c r="A244" s="268">
        <f>$A$13</f>
        <v>2025</v>
      </c>
      <c r="B244" s="278"/>
      <c r="C244" s="260"/>
      <c r="D244" s="278"/>
      <c r="E244" s="260"/>
      <c r="F244" s="278"/>
      <c r="G244" s="260"/>
      <c r="H244" s="278"/>
      <c r="I244" s="260"/>
      <c r="K244" s="262" t="str">
        <f>CONCATENATE(A244," - ",A249)</f>
        <v>2025 - 2035</v>
      </c>
    </row>
    <row r="245" spans="1:14">
      <c r="A245" s="258" t="s">
        <v>144</v>
      </c>
      <c r="B245" s="278">
        <f>'Ind T6'!Q295</f>
        <v>477.7229999998558</v>
      </c>
      <c r="C245" s="275" t="str">
        <f>CONCATENATE("(",ROUND((B245/$H247)*100,1),")")</f>
        <v>(22.4)</v>
      </c>
      <c r="D245" s="278">
        <f>'Ind T6'!R295</f>
        <v>463.81900000743497</v>
      </c>
      <c r="E245" s="275" t="str">
        <f>CONCATENATE("(",ROUND((D245/$H247)*100,1),")")</f>
        <v>(21.7)</v>
      </c>
      <c r="F245" s="278">
        <f>'Ind T6'!S295</f>
        <v>46.603000001018806</v>
      </c>
      <c r="G245" s="275" t="str">
        <f>CONCATENATE("(",ROUND((F245/$H247)*100,1),")")</f>
        <v>(2.2)</v>
      </c>
      <c r="H245" s="278">
        <f>SUM(B245,D245,F245)</f>
        <v>988.14500000830958</v>
      </c>
      <c r="I245" s="275" t="str">
        <f>CONCATENATE("(",ROUND((H245/$H247)*100,1),")")</f>
        <v>(46.3)</v>
      </c>
      <c r="K245" s="278">
        <f>B250-B245</f>
        <v>75.541999999065183</v>
      </c>
      <c r="L245" s="278">
        <f>D250-D245</f>
        <v>64.812000000830494</v>
      </c>
      <c r="M245" s="278">
        <f>F250-F245</f>
        <v>6.7389999998212957</v>
      </c>
      <c r="N245" s="278">
        <f>SUM(K245:M245)</f>
        <v>147.09299999971697</v>
      </c>
    </row>
    <row r="246" spans="1:14">
      <c r="A246" s="258" t="s">
        <v>145</v>
      </c>
      <c r="B246" s="278">
        <f>'Ind T6'!Q294</f>
        <v>394.25700000777226</v>
      </c>
      <c r="C246" s="275" t="str">
        <f>CONCATENATE("(",ROUND((B246/$H247)*100,1),")")</f>
        <v>(18.5)</v>
      </c>
      <c r="D246" s="278">
        <f>'Ind T6'!R294</f>
        <v>681.4160000289387</v>
      </c>
      <c r="E246" s="275" t="str">
        <f>CONCATENATE("(",ROUND((D246/$H247)*100,1),")")</f>
        <v>(31.9)</v>
      </c>
      <c r="F246" s="278">
        <f>'Ind T6'!S294</f>
        <v>69.663000000333909</v>
      </c>
      <c r="G246" s="275" t="str">
        <f>CONCATENATE("(",ROUND((F246/$H247)*100,1),")")</f>
        <v>(3.3)</v>
      </c>
      <c r="H246" s="278">
        <f t="shared" ref="H246" si="191">SUM(B246,D246,F246)</f>
        <v>1145.3360000370449</v>
      </c>
      <c r="I246" s="275" t="str">
        <f>CONCATENATE("(",ROUND((H246/$H247)*100,1),")")</f>
        <v>(53.7)</v>
      </c>
      <c r="K246" s="278">
        <f t="shared" ref="K246:K247" si="192">B251-B246</f>
        <v>57.783000001722996</v>
      </c>
      <c r="L246" s="278">
        <f t="shared" ref="L246:L247" si="193">D251-D246</f>
        <v>93.105000004769408</v>
      </c>
      <c r="M246" s="278">
        <f t="shared" ref="M246:M247" si="194">F251-F246</f>
        <v>9.8979999990746705</v>
      </c>
      <c r="N246" s="278">
        <f t="shared" ref="N246:N247" si="195">SUM(K246:M246)</f>
        <v>160.78600000556708</v>
      </c>
    </row>
    <row r="247" spans="1:14">
      <c r="A247" s="258" t="s">
        <v>146</v>
      </c>
      <c r="B247" s="278">
        <f>SUM(B245:B246)</f>
        <v>871.98000000762806</v>
      </c>
      <c r="C247" s="275" t="str">
        <f>CONCATENATE("(",ROUND((B247/$H247)*100,1),")")</f>
        <v>(40.9)</v>
      </c>
      <c r="D247" s="278">
        <f>SUM(D245:D246)</f>
        <v>1145.2350000363735</v>
      </c>
      <c r="E247" s="275" t="str">
        <f>CONCATENATE("(",ROUND((D247/$H247)*100,1),")")</f>
        <v>(53.7)</v>
      </c>
      <c r="F247" s="278">
        <f>SUM(F245:F246)</f>
        <v>116.26600000135272</v>
      </c>
      <c r="G247" s="275" t="str">
        <f>CONCATENATE("(",ROUND((F247/$H247)*100,1),")")</f>
        <v>(5.4)</v>
      </c>
      <c r="H247" s="278">
        <f>SUM(H245:H246)</f>
        <v>2133.4810000453544</v>
      </c>
      <c r="I247" s="275" t="str">
        <f>CONCATENATE("(",ROUND((H247/$H247)*100,1),")")</f>
        <v>(100)</v>
      </c>
      <c r="K247" s="278">
        <f t="shared" si="192"/>
        <v>133.32500000078824</v>
      </c>
      <c r="L247" s="278">
        <f t="shared" si="193"/>
        <v>157.91700000560013</v>
      </c>
      <c r="M247" s="278">
        <f t="shared" si="194"/>
        <v>16.636999998895959</v>
      </c>
      <c r="N247" s="278">
        <f t="shared" si="195"/>
        <v>307.8790000052843</v>
      </c>
    </row>
    <row r="248" spans="1:14">
      <c r="B248" s="278"/>
      <c r="C248" s="260"/>
      <c r="D248" s="278"/>
      <c r="E248" s="260"/>
      <c r="F248" s="278"/>
      <c r="G248" s="260"/>
      <c r="H248" s="278"/>
      <c r="I248" s="260"/>
    </row>
    <row r="249" spans="1:14" ht="12.95">
      <c r="A249" s="268">
        <f>$A$18</f>
        <v>2035</v>
      </c>
      <c r="B249" s="278"/>
      <c r="C249" s="260"/>
      <c r="D249" s="278"/>
      <c r="E249" s="260"/>
      <c r="F249" s="278"/>
      <c r="G249" s="260"/>
      <c r="H249" s="278"/>
      <c r="I249" s="260"/>
      <c r="K249" s="262" t="str">
        <f>CONCATENATE(A239," - ",A249)</f>
        <v>2020 - 2035</v>
      </c>
    </row>
    <row r="250" spans="1:14">
      <c r="A250" s="258" t="s">
        <v>144</v>
      </c>
      <c r="B250" s="278">
        <f>'Ind T6'!V295</f>
        <v>553.26499999892098</v>
      </c>
      <c r="C250" s="275" t="str">
        <f>CONCATENATE("(",ROUND((B250/$H252)*100,1),")")</f>
        <v>(22.7)</v>
      </c>
      <c r="D250" s="278">
        <f>'Ind T6'!W295</f>
        <v>528.63100000826546</v>
      </c>
      <c r="E250" s="275" t="str">
        <f>CONCATENATE("(",ROUND((D250/$H252)*100,1),")")</f>
        <v>(21.7)</v>
      </c>
      <c r="F250" s="278">
        <f>'Ind T6'!X295</f>
        <v>53.342000000840102</v>
      </c>
      <c r="G250" s="275" t="str">
        <f>CONCATENATE("(",ROUND((F250/$H252)*100,1),")")</f>
        <v>(2.2)</v>
      </c>
      <c r="H250" s="278">
        <f>SUM(B250,D250,F250)</f>
        <v>1135.2380000080266</v>
      </c>
      <c r="I250" s="275" t="str">
        <f>CONCATENATE("(",ROUND((H250/$H252)*100,1),")")</f>
        <v>(46.5)</v>
      </c>
      <c r="K250" s="278">
        <f>B250-B240</f>
        <v>100.88500000113345</v>
      </c>
      <c r="L250" s="278">
        <f>D250-D240</f>
        <v>81.597000010308705</v>
      </c>
      <c r="M250" s="278">
        <f>F250-F240</f>
        <v>9.5680000003469843</v>
      </c>
      <c r="N250" s="278">
        <f>SUM(K250:M250)</f>
        <v>192.05000001178914</v>
      </c>
    </row>
    <row r="251" spans="1:14">
      <c r="A251" s="258" t="s">
        <v>145</v>
      </c>
      <c r="B251" s="278">
        <f>'Ind T6'!V294</f>
        <v>452.04000000949526</v>
      </c>
      <c r="C251" s="275" t="str">
        <f>CONCATENATE("(",ROUND((B251/$H252)*100,1),")")</f>
        <v>(18.5)</v>
      </c>
      <c r="D251" s="278">
        <f>'Ind T6'!W294</f>
        <v>774.52100003370811</v>
      </c>
      <c r="E251" s="275" t="str">
        <f>CONCATENATE("(",ROUND((D251/$H252)*100,1),")")</f>
        <v>(31.7)</v>
      </c>
      <c r="F251" s="278">
        <f>'Ind T6'!X294</f>
        <v>79.56099999940858</v>
      </c>
      <c r="G251" s="275" t="str">
        <f>CONCATENATE("(",ROUND((F251/$H252)*100,1),")")</f>
        <v>(3.3)</v>
      </c>
      <c r="H251" s="278">
        <f t="shared" ref="H251" si="196">SUM(B251,D251,F251)</f>
        <v>1306.1220000426119</v>
      </c>
      <c r="I251" s="275" t="str">
        <f>CONCATENATE("(",ROUND((H251/$H252)*100,1),")")</f>
        <v>(53.5)</v>
      </c>
      <c r="K251" s="278">
        <f t="shared" ref="K251:K252" si="197">B251-B241</f>
        <v>77.422000012125181</v>
      </c>
      <c r="L251" s="278">
        <f t="shared" ref="L251:L252" si="198">D251-D241</f>
        <v>121.23700001767509</v>
      </c>
      <c r="M251" s="278">
        <f t="shared" ref="M251:M252" si="199">F251-F241</f>
        <v>14.552000000543501</v>
      </c>
      <c r="N251" s="278">
        <f t="shared" ref="N251:N252" si="200">SUM(K251:M251)</f>
        <v>213.21100003034377</v>
      </c>
    </row>
    <row r="252" spans="1:14">
      <c r="A252" s="258" t="s">
        <v>146</v>
      </c>
      <c r="B252" s="278">
        <f>SUM(B250:B251)</f>
        <v>1005.3050000084163</v>
      </c>
      <c r="C252" s="275" t="str">
        <f>CONCATENATE("(",ROUND((B252/$H252)*100,1),")")</f>
        <v>(41.2)</v>
      </c>
      <c r="D252" s="278">
        <f>SUM(D250:D251)</f>
        <v>1303.1520000419737</v>
      </c>
      <c r="E252" s="275" t="str">
        <f>CONCATENATE("(",ROUND((D252/$H252)*100,1),")")</f>
        <v>(53.4)</v>
      </c>
      <c r="F252" s="278">
        <f>SUM(F250:F251)</f>
        <v>132.90300000024868</v>
      </c>
      <c r="G252" s="275" t="str">
        <f>CONCATENATE("(",ROUND((F252/$H252)*100,1),")")</f>
        <v>(5.4)</v>
      </c>
      <c r="H252" s="278">
        <f>SUM(H250:H251)</f>
        <v>2441.3600000506385</v>
      </c>
      <c r="I252" s="275" t="str">
        <f>CONCATENATE("(",ROUND((H252/$H252)*100,1),")")</f>
        <v>(100)</v>
      </c>
      <c r="K252" s="278">
        <f t="shared" si="197"/>
        <v>178.30700001325863</v>
      </c>
      <c r="L252" s="278">
        <f t="shared" si="198"/>
        <v>202.83400002798385</v>
      </c>
      <c r="M252" s="278">
        <f t="shared" si="199"/>
        <v>24.120000000890485</v>
      </c>
      <c r="N252" s="278">
        <f t="shared" si="200"/>
        <v>405.26100004213299</v>
      </c>
    </row>
    <row r="253" spans="1:14">
      <c r="A253" s="269"/>
      <c r="B253" s="270"/>
      <c r="C253" s="269"/>
      <c r="D253" s="270"/>
      <c r="E253" s="269"/>
      <c r="F253" s="270"/>
      <c r="G253" s="269"/>
      <c r="H253" s="270"/>
      <c r="I253" s="269"/>
      <c r="J253" s="269"/>
      <c r="K253" s="270"/>
      <c r="L253" s="270"/>
      <c r="M253" s="270"/>
      <c r="N253" s="270"/>
    </row>
    <row r="256" spans="1:14" ht="12.95">
      <c r="C256" s="158"/>
      <c r="E256" s="158"/>
      <c r="G256" s="158"/>
      <c r="I256" s="158"/>
    </row>
    <row r="257" spans="1:14" ht="12.95">
      <c r="A257" s="264"/>
      <c r="B257" s="265" t="s">
        <v>133</v>
      </c>
      <c r="C257" s="264"/>
      <c r="D257" s="265"/>
      <c r="E257" s="264"/>
      <c r="F257" s="265" t="str">
        <f>name!B15</f>
        <v>Media</v>
      </c>
      <c r="G257" s="264"/>
      <c r="H257" s="267"/>
      <c r="I257" s="264"/>
      <c r="J257" s="266"/>
      <c r="K257" s="267"/>
      <c r="L257" s="267"/>
      <c r="M257" s="267"/>
      <c r="N257" s="267"/>
    </row>
    <row r="258" spans="1:14" ht="12.95">
      <c r="N258" s="263" t="s">
        <v>134</v>
      </c>
    </row>
    <row r="259" spans="1:14" ht="12.95">
      <c r="A259" s="158" t="s">
        <v>135</v>
      </c>
      <c r="B259" s="364" t="s">
        <v>136</v>
      </c>
      <c r="C259" s="364"/>
      <c r="D259" s="364" t="s">
        <v>137</v>
      </c>
      <c r="E259" s="364"/>
      <c r="F259" s="364" t="s">
        <v>138</v>
      </c>
      <c r="G259" s="364"/>
      <c r="H259" s="364" t="s">
        <v>119</v>
      </c>
      <c r="I259" s="364"/>
      <c r="J259" s="158"/>
      <c r="K259" s="273" t="s">
        <v>139</v>
      </c>
      <c r="L259" s="273" t="s">
        <v>140</v>
      </c>
      <c r="M259" s="273" t="s">
        <v>141</v>
      </c>
      <c r="N259" s="273" t="s">
        <v>119</v>
      </c>
    </row>
    <row r="260" spans="1:14" ht="12.95">
      <c r="A260" s="268">
        <f>$A$8</f>
        <v>2020</v>
      </c>
      <c r="B260" s="263" t="s">
        <v>142</v>
      </c>
      <c r="C260" s="18" t="s">
        <v>143</v>
      </c>
      <c r="D260" s="263" t="s">
        <v>142</v>
      </c>
      <c r="E260" s="18" t="s">
        <v>143</v>
      </c>
      <c r="F260" s="263" t="s">
        <v>142</v>
      </c>
      <c r="G260" s="18" t="s">
        <v>143</v>
      </c>
      <c r="H260" s="263" t="s">
        <v>142</v>
      </c>
      <c r="I260" s="18" t="s">
        <v>143</v>
      </c>
      <c r="J260" s="158"/>
      <c r="K260" s="262" t="str">
        <f>CONCATENATE(A260," - ",A265)</f>
        <v>2020 - 2025</v>
      </c>
      <c r="L260" s="261"/>
      <c r="M260" s="261"/>
    </row>
    <row r="261" spans="1:14">
      <c r="A261" s="258" t="s">
        <v>144</v>
      </c>
      <c r="B261" s="278">
        <f>'Ind T6'!L320</f>
        <v>117.13499999995216</v>
      </c>
      <c r="C261" s="275" t="str">
        <f>CONCATENATE("(",ROUND((B261/$H263)*100,1),")")</f>
        <v>(33.6)</v>
      </c>
      <c r="D261" s="278">
        <f>'Ind T6'!M320</f>
        <v>23.124000000035554</v>
      </c>
      <c r="E261" s="275" t="str">
        <f>CONCATENATE("(",ROUND((D261/$H263)*100,1),")")</f>
        <v>(6.6)</v>
      </c>
      <c r="F261" s="278">
        <f>'Ind T6'!N320</f>
        <v>48.857000001706467</v>
      </c>
      <c r="G261" s="275" t="str">
        <f>CONCATENATE("(",ROUND((F261/$H263)*100,1),")")</f>
        <v>(14)</v>
      </c>
      <c r="H261" s="278">
        <f>SUM(B261,D261,F261)</f>
        <v>189.11600000169418</v>
      </c>
      <c r="I261" s="275" t="str">
        <f>CONCATENATE("(",ROUND((H261/$H263)*100,1),")")</f>
        <v>(54.3)</v>
      </c>
      <c r="K261" s="278">
        <f>B266-B261</f>
        <v>1.0260000002793248</v>
      </c>
      <c r="L261" s="278">
        <f>D266-D261</f>
        <v>0.96400000001626296</v>
      </c>
      <c r="M261" s="278">
        <f>F266-F261</f>
        <v>0.81900000214464796</v>
      </c>
      <c r="N261" s="278">
        <f>SUM(K261:M261)</f>
        <v>2.8090000024402357</v>
      </c>
    </row>
    <row r="262" spans="1:14">
      <c r="A262" s="258" t="s">
        <v>145</v>
      </c>
      <c r="B262" s="278">
        <f>'Ind T6'!L319</f>
        <v>92.111999999791124</v>
      </c>
      <c r="C262" s="275" t="str">
        <f>CONCATENATE("(",ROUND((B262/$H263)*100,1),")")</f>
        <v>(26.4)</v>
      </c>
      <c r="D262" s="278">
        <f>'Ind T6'!M319</f>
        <v>32.489000000059228</v>
      </c>
      <c r="E262" s="275" t="str">
        <f>CONCATENATE("(",ROUND((D262/$H263)*100,1),")")</f>
        <v>(9.3)</v>
      </c>
      <c r="F262" s="278">
        <f>'Ind T6'!N319</f>
        <v>34.652999999292732</v>
      </c>
      <c r="G262" s="275" t="str">
        <f>CONCATENATE("(",ROUND((F262/$H263)*100,1),")")</f>
        <v>(9.9)</v>
      </c>
      <c r="H262" s="278">
        <f t="shared" ref="H262" si="201">SUM(B262,D262,F262)</f>
        <v>159.2539999991431</v>
      </c>
      <c r="I262" s="275" t="str">
        <f>CONCATENATE("(",ROUND((H262/$H263)*100,1),")")</f>
        <v>(45.7)</v>
      </c>
      <c r="K262" s="278">
        <f t="shared" ref="K262:K263" si="202">B267-B262</f>
        <v>1.5620000017379141</v>
      </c>
      <c r="L262" s="278">
        <f t="shared" ref="L262:L263" si="203">D267-D262</f>
        <v>0.42600000002126848</v>
      </c>
      <c r="M262" s="278">
        <f t="shared" ref="M262:M263" si="204">F267-F262</f>
        <v>-0.43299999937215716</v>
      </c>
      <c r="N262" s="278">
        <f t="shared" ref="N262:N263" si="205">SUM(K262:M262)</f>
        <v>1.5550000023870254</v>
      </c>
    </row>
    <row r="263" spans="1:14">
      <c r="A263" s="258" t="s">
        <v>146</v>
      </c>
      <c r="B263" s="278">
        <f>SUM(B261:B262)</f>
        <v>209.24699999974328</v>
      </c>
      <c r="C263" s="275" t="str">
        <f>CONCATENATE("(",ROUND((B263/$H263)*100,1),")")</f>
        <v>(60.1)</v>
      </c>
      <c r="D263" s="278">
        <f>SUM(D261:D262)</f>
        <v>55.613000000094786</v>
      </c>
      <c r="E263" s="275" t="str">
        <f>CONCATENATE("(",ROUND((D263/$H263)*100,1),")")</f>
        <v>(16)</v>
      </c>
      <c r="F263" s="278">
        <f>SUM(F261:F262)</f>
        <v>83.510000000999199</v>
      </c>
      <c r="G263" s="275" t="str">
        <f>CONCATENATE("(",ROUND((F263/$H263)*100,1),")")</f>
        <v>(24)</v>
      </c>
      <c r="H263" s="278">
        <f>SUM(H261:H262)</f>
        <v>348.37000000083731</v>
      </c>
      <c r="I263" s="275" t="str">
        <f>CONCATENATE("(",ROUND((H263/$H263)*100,1),")")</f>
        <v>(100)</v>
      </c>
      <c r="K263" s="278">
        <f t="shared" si="202"/>
        <v>2.5880000020172531</v>
      </c>
      <c r="L263" s="278">
        <f t="shared" si="203"/>
        <v>1.3900000000375314</v>
      </c>
      <c r="M263" s="278">
        <f t="shared" si="204"/>
        <v>0.3860000027724908</v>
      </c>
      <c r="N263" s="278">
        <f t="shared" si="205"/>
        <v>4.3640000048272753</v>
      </c>
    </row>
    <row r="264" spans="1:14">
      <c r="B264" s="278"/>
      <c r="C264" s="260"/>
      <c r="D264" s="278"/>
      <c r="E264" s="260"/>
      <c r="F264" s="278"/>
      <c r="G264" s="260"/>
      <c r="H264" s="278"/>
      <c r="I264" s="260"/>
    </row>
    <row r="265" spans="1:14" ht="12.95">
      <c r="A265" s="268">
        <f>$A$13</f>
        <v>2025</v>
      </c>
      <c r="B265" s="278"/>
      <c r="C265" s="260"/>
      <c r="D265" s="278"/>
      <c r="E265" s="260"/>
      <c r="F265" s="278"/>
      <c r="G265" s="260"/>
      <c r="H265" s="278"/>
      <c r="I265" s="260"/>
      <c r="K265" s="262" t="str">
        <f>CONCATENATE(A265," - ",A270)</f>
        <v>2025 - 2035</v>
      </c>
    </row>
    <row r="266" spans="1:14">
      <c r="A266" s="258" t="s">
        <v>144</v>
      </c>
      <c r="B266" s="278">
        <f>'Ind T6'!Q320</f>
        <v>118.16100000023148</v>
      </c>
      <c r="C266" s="275" t="str">
        <f>CONCATENATE("(",ROUND((B266/$H268)*100,1),")")</f>
        <v>(33.5)</v>
      </c>
      <c r="D266" s="278">
        <f>'Ind T6'!R320</f>
        <v>24.088000000051817</v>
      </c>
      <c r="E266" s="275" t="str">
        <f>CONCATENATE("(",ROUND((D266/$H268)*100,1),")")</f>
        <v>(6.8)</v>
      </c>
      <c r="F266" s="278">
        <f>'Ind T6'!S320</f>
        <v>49.676000003851115</v>
      </c>
      <c r="G266" s="275" t="str">
        <f>CONCATENATE("(",ROUND((F266/$H268)*100,1),")")</f>
        <v>(14.1)</v>
      </c>
      <c r="H266" s="278">
        <f>SUM(B266,D266,F266)</f>
        <v>191.9250000041344</v>
      </c>
      <c r="I266" s="275" t="str">
        <f>CONCATENATE("(",ROUND((H266/$H268)*100,1),")")</f>
        <v>(54.4)</v>
      </c>
      <c r="K266" s="278">
        <f>B271-B266</f>
        <v>0.14400000004822289</v>
      </c>
      <c r="L266" s="278">
        <f>D271-D266</f>
        <v>1.7050000000132925</v>
      </c>
      <c r="M266" s="278">
        <f>F271-F266</f>
        <v>1.0479999995841425</v>
      </c>
      <c r="N266" s="278">
        <f>SUM(K266:M266)</f>
        <v>2.8969999996456579</v>
      </c>
    </row>
    <row r="267" spans="1:14">
      <c r="A267" s="258" t="s">
        <v>145</v>
      </c>
      <c r="B267" s="278">
        <f>'Ind T6'!Q319</f>
        <v>93.674000001529038</v>
      </c>
      <c r="C267" s="275" t="str">
        <f>CONCATENATE("(",ROUND((B267/$H268)*100,1),")")</f>
        <v>(26.6)</v>
      </c>
      <c r="D267" s="278">
        <f>'Ind T6'!R319</f>
        <v>32.915000000080497</v>
      </c>
      <c r="E267" s="275" t="str">
        <f>CONCATENATE("(",ROUND((D267/$H268)*100,1),")")</f>
        <v>(9.3)</v>
      </c>
      <c r="F267" s="278">
        <f>'Ind T6'!S319</f>
        <v>34.219999999920574</v>
      </c>
      <c r="G267" s="275" t="str">
        <f>CONCATENATE("(",ROUND((F267/$H268)*100,1),")")</f>
        <v>(9.7)</v>
      </c>
      <c r="H267" s="278">
        <f t="shared" ref="H267" si="206">SUM(B267,D267,F267)</f>
        <v>160.80900000153011</v>
      </c>
      <c r="I267" s="275" t="str">
        <f>CONCATENATE("(",ROUND((H267/$H268)*100,1),")")</f>
        <v>(45.6)</v>
      </c>
      <c r="K267" s="278">
        <f t="shared" ref="K267:K268" si="207">B272-B267</f>
        <v>1.922000000326662</v>
      </c>
      <c r="L267" s="278">
        <f t="shared" ref="L267:L268" si="208">D272-D267</f>
        <v>0.32100000008124141</v>
      </c>
      <c r="M267" s="278">
        <f t="shared" ref="M267:M268" si="209">F272-F267</f>
        <v>-1.2589999997423007</v>
      </c>
      <c r="N267" s="278">
        <f t="shared" ref="N267:N268" si="210">SUM(K267:M267)</f>
        <v>0.98400000066560267</v>
      </c>
    </row>
    <row r="268" spans="1:14">
      <c r="A268" s="258" t="s">
        <v>146</v>
      </c>
      <c r="B268" s="278">
        <f>SUM(B266:B267)</f>
        <v>211.83500000176053</v>
      </c>
      <c r="C268" s="275" t="str">
        <f>CONCATENATE("(",ROUND((B268/$H268)*100,1),")")</f>
        <v>(60.1)</v>
      </c>
      <c r="D268" s="278">
        <f>SUM(D266:D267)</f>
        <v>57.003000000132317</v>
      </c>
      <c r="E268" s="275" t="str">
        <f>CONCATENATE("(",ROUND((D268/$H268)*100,1),")")</f>
        <v>(16.2)</v>
      </c>
      <c r="F268" s="278">
        <f>SUM(F266:F267)</f>
        <v>83.89600000377169</v>
      </c>
      <c r="G268" s="275" t="str">
        <f>CONCATENATE("(",ROUND((F268/$H268)*100,1),")")</f>
        <v>(23.8)</v>
      </c>
      <c r="H268" s="278">
        <f>SUM(H266:H267)</f>
        <v>352.73400000566448</v>
      </c>
      <c r="I268" s="275" t="str">
        <f>CONCATENATE("(",ROUND((H268/$H268)*100,1),")")</f>
        <v>(100)</v>
      </c>
      <c r="K268" s="278">
        <f t="shared" si="207"/>
        <v>2.0660000003748564</v>
      </c>
      <c r="L268" s="278">
        <f t="shared" si="208"/>
        <v>2.0260000000945269</v>
      </c>
      <c r="M268" s="278">
        <f t="shared" si="209"/>
        <v>-0.21100000015815112</v>
      </c>
      <c r="N268" s="278">
        <f t="shared" si="210"/>
        <v>3.8810000003112322</v>
      </c>
    </row>
    <row r="269" spans="1:14">
      <c r="B269" s="278"/>
      <c r="C269" s="260"/>
      <c r="D269" s="278"/>
      <c r="E269" s="260"/>
      <c r="F269" s="278"/>
      <c r="G269" s="260"/>
      <c r="H269" s="278"/>
      <c r="I269" s="260"/>
    </row>
    <row r="270" spans="1:14" ht="12.95">
      <c r="A270" s="268">
        <f>$A$18</f>
        <v>2035</v>
      </c>
      <c r="B270" s="278"/>
      <c r="C270" s="260"/>
      <c r="D270" s="278"/>
      <c r="E270" s="260"/>
      <c r="F270" s="278"/>
      <c r="G270" s="260"/>
      <c r="H270" s="278"/>
      <c r="I270" s="260"/>
      <c r="K270" s="262" t="str">
        <f>CONCATENATE(A260," - ",A270)</f>
        <v>2020 - 2035</v>
      </c>
    </row>
    <row r="271" spans="1:14">
      <c r="A271" s="258" t="s">
        <v>144</v>
      </c>
      <c r="B271" s="278">
        <f>'Ind T6'!V320</f>
        <v>118.3050000002797</v>
      </c>
      <c r="C271" s="275" t="str">
        <f>CONCATENATE("(",ROUND((B271/$H273)*100,1),")")</f>
        <v>(33.2)</v>
      </c>
      <c r="D271" s="278">
        <f>'Ind T6'!W320</f>
        <v>25.79300000006511</v>
      </c>
      <c r="E271" s="275" t="str">
        <f>CONCATENATE("(",ROUND((D271/$H273)*100,1),")")</f>
        <v>(7.2)</v>
      </c>
      <c r="F271" s="278">
        <f>'Ind T6'!X320</f>
        <v>50.724000003435258</v>
      </c>
      <c r="G271" s="275" t="str">
        <f>CONCATENATE("(",ROUND((F271/$H273)*100,1),")")</f>
        <v>(14.2)</v>
      </c>
      <c r="H271" s="278">
        <f>SUM(B271,D271,F271)</f>
        <v>194.82200000378009</v>
      </c>
      <c r="I271" s="275" t="str">
        <f>CONCATENATE("(",ROUND((H271/$H273)*100,1),")")</f>
        <v>(54.6)</v>
      </c>
      <c r="K271" s="278">
        <f>B271-B261</f>
        <v>1.1700000003275477</v>
      </c>
      <c r="L271" s="278">
        <f>D271-D261</f>
        <v>2.6690000000295555</v>
      </c>
      <c r="M271" s="278">
        <f>F271-F261</f>
        <v>1.8670000017287904</v>
      </c>
      <c r="N271" s="278">
        <f>SUM(K271:M271)</f>
        <v>5.7060000020858936</v>
      </c>
    </row>
    <row r="272" spans="1:14">
      <c r="A272" s="258" t="s">
        <v>145</v>
      </c>
      <c r="B272" s="278">
        <f>'Ind T6'!V319</f>
        <v>95.5960000018557</v>
      </c>
      <c r="C272" s="275" t="str">
        <f>CONCATENATE("(",ROUND((B272/$H273)*100,1),")")</f>
        <v>(26.8)</v>
      </c>
      <c r="D272" s="278">
        <f>'Ind T6'!W319</f>
        <v>33.236000000161738</v>
      </c>
      <c r="E272" s="275" t="str">
        <f>CONCATENATE("(",ROUND((D272/$H273)*100,1),")")</f>
        <v>(9.3)</v>
      </c>
      <c r="F272" s="278">
        <f>'Ind T6'!X319</f>
        <v>32.961000000178274</v>
      </c>
      <c r="G272" s="275" t="str">
        <f>CONCATENATE("(",ROUND((F272/$H273)*100,1),")")</f>
        <v>(9.2)</v>
      </c>
      <c r="H272" s="278">
        <f t="shared" ref="H272" si="211">SUM(B272,D272,F272)</f>
        <v>161.7930000021957</v>
      </c>
      <c r="I272" s="275" t="str">
        <f>CONCATENATE("(",ROUND((H272/$H273)*100,1),")")</f>
        <v>(45.4)</v>
      </c>
      <c r="K272" s="278">
        <f t="shared" ref="K272:K273" si="212">B272-B262</f>
        <v>3.4840000020645761</v>
      </c>
      <c r="L272" s="278">
        <f t="shared" ref="L272:L273" si="213">D272-D262</f>
        <v>0.74700000010250989</v>
      </c>
      <c r="M272" s="278">
        <f t="shared" ref="M272:M273" si="214">F272-F262</f>
        <v>-1.6919999991144579</v>
      </c>
      <c r="N272" s="278">
        <f t="shared" ref="N272:N273" si="215">SUM(K272:M272)</f>
        <v>2.5390000030526281</v>
      </c>
    </row>
    <row r="273" spans="1:14">
      <c r="A273" s="258" t="s">
        <v>146</v>
      </c>
      <c r="B273" s="278">
        <f>SUM(B271:B272)</f>
        <v>213.90100000213539</v>
      </c>
      <c r="C273" s="275" t="str">
        <f>CONCATENATE("(",ROUND((B273/$H273)*100,1),")")</f>
        <v>(60)</v>
      </c>
      <c r="D273" s="278">
        <f>SUM(D271:D272)</f>
        <v>59.029000000226844</v>
      </c>
      <c r="E273" s="275" t="str">
        <f>CONCATENATE("(",ROUND((D273/$H273)*100,1),")")</f>
        <v>(16.6)</v>
      </c>
      <c r="F273" s="278">
        <f>SUM(F271:F272)</f>
        <v>83.685000003613538</v>
      </c>
      <c r="G273" s="275" t="str">
        <f>CONCATENATE("(",ROUND((F273/$H273)*100,1),")")</f>
        <v>(23.5)</v>
      </c>
      <c r="H273" s="278">
        <f>SUM(H271:H272)</f>
        <v>356.61500000597579</v>
      </c>
      <c r="I273" s="275" t="str">
        <f>CONCATENATE("(",ROUND((H273/$H273)*100,1),")")</f>
        <v>(100)</v>
      </c>
      <c r="K273" s="278">
        <f t="shared" si="212"/>
        <v>4.6540000023921095</v>
      </c>
      <c r="L273" s="278">
        <f t="shared" si="213"/>
        <v>3.4160000001320583</v>
      </c>
      <c r="M273" s="278">
        <f t="shared" si="214"/>
        <v>0.17500000261433968</v>
      </c>
      <c r="N273" s="278">
        <f t="shared" si="215"/>
        <v>8.2450000051385075</v>
      </c>
    </row>
    <row r="274" spans="1:14">
      <c r="A274" s="269"/>
      <c r="B274" s="270"/>
      <c r="C274" s="269"/>
      <c r="D274" s="270"/>
      <c r="E274" s="269"/>
      <c r="F274" s="270"/>
      <c r="G274" s="269"/>
      <c r="H274" s="270"/>
      <c r="I274" s="269"/>
      <c r="J274" s="269"/>
      <c r="K274" s="270"/>
      <c r="L274" s="270"/>
      <c r="M274" s="270"/>
      <c r="N274" s="270"/>
    </row>
    <row r="278" spans="1:14" ht="12.95">
      <c r="A278" s="264"/>
      <c r="B278" s="265" t="s">
        <v>133</v>
      </c>
      <c r="C278" s="264"/>
      <c r="D278" s="265"/>
      <c r="E278" s="264"/>
      <c r="F278" s="265" t="str">
        <f>name!B16</f>
        <v>Information technology</v>
      </c>
      <c r="G278" s="264"/>
      <c r="H278" s="267"/>
      <c r="I278" s="264"/>
      <c r="J278" s="266"/>
      <c r="K278" s="267"/>
      <c r="L278" s="267"/>
      <c r="M278" s="267"/>
      <c r="N278" s="267"/>
    </row>
    <row r="279" spans="1:14" ht="12.95">
      <c r="N279" s="263" t="s">
        <v>134</v>
      </c>
    </row>
    <row r="280" spans="1:14" ht="12.95">
      <c r="A280" s="158" t="s">
        <v>135</v>
      </c>
      <c r="B280" s="364" t="s">
        <v>136</v>
      </c>
      <c r="C280" s="364"/>
      <c r="D280" s="364" t="s">
        <v>137</v>
      </c>
      <c r="E280" s="364"/>
      <c r="F280" s="364" t="s">
        <v>138</v>
      </c>
      <c r="G280" s="364"/>
      <c r="H280" s="364" t="s">
        <v>119</v>
      </c>
      <c r="I280" s="364"/>
      <c r="J280" s="158"/>
      <c r="K280" s="273" t="s">
        <v>139</v>
      </c>
      <c r="L280" s="273" t="s">
        <v>140</v>
      </c>
      <c r="M280" s="273" t="s">
        <v>141</v>
      </c>
      <c r="N280" s="273" t="s">
        <v>119</v>
      </c>
    </row>
    <row r="281" spans="1:14" ht="12.95">
      <c r="A281" s="268">
        <f>$A$8</f>
        <v>2020</v>
      </c>
      <c r="B281" s="263" t="s">
        <v>142</v>
      </c>
      <c r="C281" s="18" t="s">
        <v>143</v>
      </c>
      <c r="D281" s="263" t="s">
        <v>142</v>
      </c>
      <c r="E281" s="18" t="s">
        <v>143</v>
      </c>
      <c r="F281" s="263" t="s">
        <v>142</v>
      </c>
      <c r="G281" s="18" t="s">
        <v>143</v>
      </c>
      <c r="H281" s="263" t="s">
        <v>142</v>
      </c>
      <c r="I281" s="18" t="s">
        <v>143</v>
      </c>
      <c r="J281" s="158"/>
      <c r="K281" s="262" t="str">
        <f>CONCATENATE(A281," - ",A286)</f>
        <v>2020 - 2025</v>
      </c>
      <c r="L281" s="261"/>
      <c r="M281" s="261"/>
    </row>
    <row r="282" spans="1:14">
      <c r="A282" s="258" t="s">
        <v>144</v>
      </c>
      <c r="B282" s="278">
        <f>'Ind T6'!L345</f>
        <v>601.09199999660564</v>
      </c>
      <c r="C282" s="275" t="str">
        <f>CONCATENATE("(",ROUND((B282/$H284)*100,1),")")</f>
        <v>(60)</v>
      </c>
      <c r="D282" s="278">
        <f>'Ind T6'!M345</f>
        <v>43.161999999966554</v>
      </c>
      <c r="E282" s="275" t="str">
        <f>CONCATENATE("(",ROUND((D282/$H284)*100,1),")")</f>
        <v>(4.3)</v>
      </c>
      <c r="F282" s="278">
        <f>'Ind T6'!N345</f>
        <v>66.229000001156962</v>
      </c>
      <c r="G282" s="275" t="str">
        <f>CONCATENATE("(",ROUND((F282/$H284)*100,1),")")</f>
        <v>(6.6)</v>
      </c>
      <c r="H282" s="278">
        <f>SUM(B282,D282,F282)</f>
        <v>710.48299999772917</v>
      </c>
      <c r="I282" s="275" t="str">
        <f>CONCATENATE("(",ROUND((H282/$H284)*100,1),")")</f>
        <v>(71)</v>
      </c>
      <c r="K282" s="278">
        <f>B287-B282</f>
        <v>38.699000003304604</v>
      </c>
      <c r="L282" s="278">
        <f>D287-D282</f>
        <v>3.4019999997317427</v>
      </c>
      <c r="M282" s="278">
        <f>F287-F282</f>
        <v>6.3050000019286756</v>
      </c>
      <c r="N282" s="278">
        <f>SUM(K282:M282)</f>
        <v>48.406000004965023</v>
      </c>
    </row>
    <row r="283" spans="1:14">
      <c r="A283" s="258" t="s">
        <v>145</v>
      </c>
      <c r="B283" s="278">
        <f>'Ind T6'!L344</f>
        <v>224.40699999822283</v>
      </c>
      <c r="C283" s="275" t="str">
        <f>CONCATENATE("(",ROUND((B283/$H284)*100,1),")")</f>
        <v>(22.4)</v>
      </c>
      <c r="D283" s="278">
        <f>'Ind T6'!M344</f>
        <v>47.947999999745001</v>
      </c>
      <c r="E283" s="275" t="str">
        <f>CONCATENATE("(",ROUND((D283/$H284)*100,1),")")</f>
        <v>(4.8)</v>
      </c>
      <c r="F283" s="278">
        <f>'Ind T6'!N344</f>
        <v>18.261999999679624</v>
      </c>
      <c r="G283" s="275" t="str">
        <f>CONCATENATE("(",ROUND((F283/$H284)*100,1),")")</f>
        <v>(1.8)</v>
      </c>
      <c r="H283" s="278">
        <f t="shared" ref="H283" si="216">SUM(B283,D283,F283)</f>
        <v>290.61699999764744</v>
      </c>
      <c r="I283" s="275" t="str">
        <f>CONCATENATE("(",ROUND((H283/$H284)*100,1),")")</f>
        <v>(29)</v>
      </c>
      <c r="K283" s="278">
        <f t="shared" ref="K283:K284" si="217">B288-B283</f>
        <v>21.905000006410404</v>
      </c>
      <c r="L283" s="278">
        <f t="shared" ref="L283:L284" si="218">D288-D283</f>
        <v>2.704000000003056</v>
      </c>
      <c r="M283" s="278">
        <f t="shared" ref="M283:M284" si="219">F288-F283</f>
        <v>1.6340000002138027</v>
      </c>
      <c r="N283" s="278">
        <f t="shared" ref="N283:N284" si="220">SUM(K283:M283)</f>
        <v>26.243000006627263</v>
      </c>
    </row>
    <row r="284" spans="1:14">
      <c r="A284" s="258" t="s">
        <v>146</v>
      </c>
      <c r="B284" s="278">
        <f>SUM(B282:B283)</f>
        <v>825.49899999482841</v>
      </c>
      <c r="C284" s="275" t="str">
        <f>CONCATENATE("(",ROUND((B284/$H284)*100,1),")")</f>
        <v>(82.5)</v>
      </c>
      <c r="D284" s="278">
        <f>SUM(D282:D283)</f>
        <v>91.109999999711562</v>
      </c>
      <c r="E284" s="275" t="str">
        <f>CONCATENATE("(",ROUND((D284/$H284)*100,1),")")</f>
        <v>(9.1)</v>
      </c>
      <c r="F284" s="278">
        <f>SUM(F282:F283)</f>
        <v>84.491000000836578</v>
      </c>
      <c r="G284" s="275" t="str">
        <f>CONCATENATE("(",ROUND((F284/$H284)*100,1),")")</f>
        <v>(8.4)</v>
      </c>
      <c r="H284" s="278">
        <f>SUM(H282:H283)</f>
        <v>1001.0999999953766</v>
      </c>
      <c r="I284" s="275" t="str">
        <f>CONCATENATE("(",ROUND((H284/$H284)*100,1),")")</f>
        <v>(100)</v>
      </c>
      <c r="K284" s="278">
        <f t="shared" si="217"/>
        <v>60.604000009715037</v>
      </c>
      <c r="L284" s="278">
        <f t="shared" si="218"/>
        <v>6.1059999997347916</v>
      </c>
      <c r="M284" s="278">
        <f t="shared" si="219"/>
        <v>7.9390000021424783</v>
      </c>
      <c r="N284" s="278">
        <f t="shared" si="220"/>
        <v>74.649000011592307</v>
      </c>
    </row>
    <row r="285" spans="1:14">
      <c r="B285" s="278"/>
      <c r="C285" s="260"/>
      <c r="D285" s="278"/>
      <c r="E285" s="260"/>
      <c r="F285" s="278"/>
      <c r="G285" s="260"/>
      <c r="H285" s="278"/>
      <c r="I285" s="260"/>
    </row>
    <row r="286" spans="1:14" ht="12.95">
      <c r="A286" s="268">
        <f>$A$13</f>
        <v>2025</v>
      </c>
      <c r="B286" s="278"/>
      <c r="C286" s="260"/>
      <c r="D286" s="278"/>
      <c r="E286" s="260"/>
      <c r="F286" s="278"/>
      <c r="G286" s="260"/>
      <c r="H286" s="278"/>
      <c r="I286" s="260"/>
      <c r="K286" s="262" t="str">
        <f>CONCATENATE(A286," - ",A291)</f>
        <v>2025 - 2035</v>
      </c>
    </row>
    <row r="287" spans="1:14">
      <c r="A287" s="258" t="s">
        <v>144</v>
      </c>
      <c r="B287" s="278">
        <f>'Ind T6'!Q345</f>
        <v>639.79099999991024</v>
      </c>
      <c r="C287" s="275" t="str">
        <f>CONCATENATE("(",ROUND((B287/$H289)*100,1),")")</f>
        <v>(59.5)</v>
      </c>
      <c r="D287" s="278">
        <f>'Ind T6'!R345</f>
        <v>46.563999999698297</v>
      </c>
      <c r="E287" s="275" t="str">
        <f>CONCATENATE("(",ROUND((D287/$H289)*100,1),")")</f>
        <v>(4.3)</v>
      </c>
      <c r="F287" s="278">
        <f>'Ind T6'!S345</f>
        <v>72.534000003085637</v>
      </c>
      <c r="G287" s="275" t="str">
        <f>CONCATENATE("(",ROUND((F287/$H289)*100,1),")")</f>
        <v>(6.7)</v>
      </c>
      <c r="H287" s="278">
        <f>SUM(B287,D287,F287)</f>
        <v>758.88900000269416</v>
      </c>
      <c r="I287" s="275" t="str">
        <f>CONCATENATE("(",ROUND((H287/$H289)*100,1),")")</f>
        <v>(70.5)</v>
      </c>
      <c r="K287" s="278">
        <f>B292-B287</f>
        <v>41.320999997870445</v>
      </c>
      <c r="L287" s="278">
        <f>D292-D287</f>
        <v>3.8789999999560223</v>
      </c>
      <c r="M287" s="278">
        <f>F292-F287</f>
        <v>7.0789999991903159</v>
      </c>
      <c r="N287" s="278">
        <f>SUM(K287:M287)</f>
        <v>52.278999997016783</v>
      </c>
    </row>
    <row r="288" spans="1:14">
      <c r="A288" s="258" t="s">
        <v>145</v>
      </c>
      <c r="B288" s="278">
        <f>'Ind T6'!Q344</f>
        <v>246.31200000463323</v>
      </c>
      <c r="C288" s="275" t="str">
        <f>CONCATENATE("(",ROUND((B288/$H289)*100,1),")")</f>
        <v>(22.9)</v>
      </c>
      <c r="D288" s="278">
        <f>'Ind T6'!R344</f>
        <v>50.651999999748057</v>
      </c>
      <c r="E288" s="275" t="str">
        <f>CONCATENATE("(",ROUND((D288/$H289)*100,1),")")</f>
        <v>(4.7)</v>
      </c>
      <c r="F288" s="278">
        <f>'Ind T6'!S344</f>
        <v>19.895999999893426</v>
      </c>
      <c r="G288" s="275" t="str">
        <f>CONCATENATE("(",ROUND((F288/$H289)*100,1),")")</f>
        <v>(1.8)</v>
      </c>
      <c r="H288" s="278">
        <f t="shared" ref="H288" si="221">SUM(B288,D288,F288)</f>
        <v>316.86000000427475</v>
      </c>
      <c r="I288" s="275" t="str">
        <f>CONCATENATE("(",ROUND((H288/$H289)*100,1),")")</f>
        <v>(29.5)</v>
      </c>
      <c r="K288" s="278">
        <f t="shared" ref="K288:K289" si="222">B293-B288</f>
        <v>30.345000002832563</v>
      </c>
      <c r="L288" s="278">
        <f t="shared" ref="L288:L289" si="223">D293-D288</f>
        <v>1.9290000004603343</v>
      </c>
      <c r="M288" s="278">
        <f t="shared" ref="M288:M289" si="224">F293-F288</f>
        <v>1.6110000001075271</v>
      </c>
      <c r="N288" s="278">
        <f t="shared" ref="N288:N289" si="225">SUM(K288:M288)</f>
        <v>33.885000003400421</v>
      </c>
    </row>
    <row r="289" spans="1:14">
      <c r="A289" s="258" t="s">
        <v>146</v>
      </c>
      <c r="B289" s="278">
        <f>SUM(B287:B288)</f>
        <v>886.10300000454345</v>
      </c>
      <c r="C289" s="275" t="str">
        <f>CONCATENATE("(",ROUND((B289/$H289)*100,1),")")</f>
        <v>(82.4)</v>
      </c>
      <c r="D289" s="278">
        <f>SUM(D287:D288)</f>
        <v>97.215999999446353</v>
      </c>
      <c r="E289" s="275" t="str">
        <f>CONCATENATE("(",ROUND((D289/$H289)*100,1),")")</f>
        <v>(9)</v>
      </c>
      <c r="F289" s="278">
        <f>SUM(F287:F288)</f>
        <v>92.430000002979057</v>
      </c>
      <c r="G289" s="275" t="str">
        <f>CONCATENATE("(",ROUND((F289/$H289)*100,1),")")</f>
        <v>(8.6)</v>
      </c>
      <c r="H289" s="278">
        <f>SUM(H287:H288)</f>
        <v>1075.7490000069688</v>
      </c>
      <c r="I289" s="275" t="str">
        <f>CONCATENATE("(",ROUND((H289/$H289)*100,1),")")</f>
        <v>(100)</v>
      </c>
      <c r="K289" s="278">
        <f t="shared" si="222"/>
        <v>71.666000000702979</v>
      </c>
      <c r="L289" s="278">
        <f t="shared" si="223"/>
        <v>5.8080000004163566</v>
      </c>
      <c r="M289" s="278">
        <f t="shared" si="224"/>
        <v>8.6899999992978536</v>
      </c>
      <c r="N289" s="278">
        <f t="shared" si="225"/>
        <v>86.16400000041719</v>
      </c>
    </row>
    <row r="290" spans="1:14">
      <c r="B290" s="278"/>
      <c r="C290" s="260"/>
      <c r="D290" s="278"/>
      <c r="E290" s="260"/>
      <c r="F290" s="278"/>
      <c r="G290" s="260"/>
      <c r="H290" s="278"/>
      <c r="I290" s="260"/>
    </row>
    <row r="291" spans="1:14" ht="12.95">
      <c r="A291" s="268">
        <f>$A$18</f>
        <v>2035</v>
      </c>
      <c r="B291" s="278"/>
      <c r="C291" s="260"/>
      <c r="D291" s="278"/>
      <c r="E291" s="260"/>
      <c r="F291" s="278"/>
      <c r="G291" s="260"/>
      <c r="H291" s="278"/>
      <c r="I291" s="260"/>
      <c r="K291" s="262" t="str">
        <f>CONCATENATE(A281," - ",A291)</f>
        <v>2020 - 2035</v>
      </c>
    </row>
    <row r="292" spans="1:14">
      <c r="A292" s="258" t="s">
        <v>144</v>
      </c>
      <c r="B292" s="278">
        <f>'Ind T6'!V345</f>
        <v>681.11199999778069</v>
      </c>
      <c r="C292" s="275" t="str">
        <f>CONCATENATE("(",ROUND((B292/$H294)*100,1),")")</f>
        <v>(58.6)</v>
      </c>
      <c r="D292" s="278">
        <f>'Ind T6'!W345</f>
        <v>50.442999999654319</v>
      </c>
      <c r="E292" s="275" t="str">
        <f>CONCATENATE("(",ROUND((D292/$H294)*100,1),")")</f>
        <v>(4.3)</v>
      </c>
      <c r="F292" s="278">
        <f>'Ind T6'!X345</f>
        <v>79.613000002275953</v>
      </c>
      <c r="G292" s="275" t="str">
        <f>CONCATENATE("(",ROUND((F292/$H294)*100,1),")")</f>
        <v>(6.9)</v>
      </c>
      <c r="H292" s="278">
        <f>SUM(B292,D292,F292)</f>
        <v>811.16799999971101</v>
      </c>
      <c r="I292" s="275" t="str">
        <f>CONCATENATE("(",ROUND((H292/$H294)*100,1),")")</f>
        <v>(69.8)</v>
      </c>
      <c r="K292" s="278">
        <f>B292-B282</f>
        <v>80.020000001175049</v>
      </c>
      <c r="L292" s="278">
        <f>D292-D282</f>
        <v>7.280999999687765</v>
      </c>
      <c r="M292" s="278">
        <f>F292-F282</f>
        <v>13.384000001118991</v>
      </c>
      <c r="N292" s="278">
        <f>SUM(K292:M292)</f>
        <v>100.68500000198181</v>
      </c>
    </row>
    <row r="293" spans="1:14">
      <c r="A293" s="258" t="s">
        <v>145</v>
      </c>
      <c r="B293" s="278">
        <f>'Ind T6'!V344</f>
        <v>276.6570000074658</v>
      </c>
      <c r="C293" s="275" t="str">
        <f>CONCATENATE("(",ROUND((B293/$H294)*100,1),")")</f>
        <v>(23.8)</v>
      </c>
      <c r="D293" s="278">
        <f>'Ind T6'!W344</f>
        <v>52.581000000208391</v>
      </c>
      <c r="E293" s="275" t="str">
        <f>CONCATENATE("(",ROUND((D293/$H294)*100,1),")")</f>
        <v>(4.5)</v>
      </c>
      <c r="F293" s="278">
        <f>'Ind T6'!X344</f>
        <v>21.507000000000954</v>
      </c>
      <c r="G293" s="275" t="str">
        <f>CONCATENATE("(",ROUND((F293/$H294)*100,1),")")</f>
        <v>(1.9)</v>
      </c>
      <c r="H293" s="278">
        <f t="shared" ref="H293" si="226">SUM(B293,D293,F293)</f>
        <v>350.74500000767517</v>
      </c>
      <c r="I293" s="275" t="str">
        <f>CONCATENATE("(",ROUND((H293/$H294)*100,1),")")</f>
        <v>(30.2)</v>
      </c>
      <c r="K293" s="278">
        <f t="shared" ref="K293:K294" si="227">B293-B283</f>
        <v>52.250000009242967</v>
      </c>
      <c r="L293" s="278">
        <f t="shared" ref="L293:L294" si="228">D293-D283</f>
        <v>4.6330000004633902</v>
      </c>
      <c r="M293" s="278">
        <f t="shared" ref="M293:M294" si="229">F293-F283</f>
        <v>3.2450000003213297</v>
      </c>
      <c r="N293" s="278">
        <f t="shared" ref="N293:N294" si="230">SUM(K293:M293)</f>
        <v>60.128000010027691</v>
      </c>
    </row>
    <row r="294" spans="1:14">
      <c r="A294" s="258" t="s">
        <v>146</v>
      </c>
      <c r="B294" s="278">
        <f>SUM(B292:B293)</f>
        <v>957.76900000524643</v>
      </c>
      <c r="C294" s="275" t="str">
        <f>CONCATENATE("(",ROUND((B294/$H294)*100,1),")")</f>
        <v>(82.4)</v>
      </c>
      <c r="D294" s="278">
        <f>SUM(D292:D293)</f>
        <v>103.02399999986271</v>
      </c>
      <c r="E294" s="275" t="str">
        <f>CONCATENATE("(",ROUND((D294/$H294)*100,1),")")</f>
        <v>(8.9)</v>
      </c>
      <c r="F294" s="278">
        <f>SUM(F292:F293)</f>
        <v>101.12000000227691</v>
      </c>
      <c r="G294" s="275" t="str">
        <f>CONCATENATE("(",ROUND((F294/$H294)*100,1),")")</f>
        <v>(8.7)</v>
      </c>
      <c r="H294" s="278">
        <f>SUM(H292:H293)</f>
        <v>1161.9130000073862</v>
      </c>
      <c r="I294" s="275" t="str">
        <f>CONCATENATE("(",ROUND((H294/$H294)*100,1),")")</f>
        <v>(100)</v>
      </c>
      <c r="K294" s="278">
        <f t="shared" si="227"/>
        <v>132.27000001041802</v>
      </c>
      <c r="L294" s="278">
        <f t="shared" si="228"/>
        <v>11.914000000151148</v>
      </c>
      <c r="M294" s="278">
        <f t="shared" si="229"/>
        <v>16.629000001440332</v>
      </c>
      <c r="N294" s="278">
        <f t="shared" si="230"/>
        <v>160.81300001200947</v>
      </c>
    </row>
    <row r="295" spans="1:14">
      <c r="A295" s="269"/>
      <c r="B295" s="270"/>
      <c r="C295" s="269"/>
      <c r="D295" s="270"/>
      <c r="E295" s="269"/>
      <c r="F295" s="270"/>
      <c r="G295" s="269"/>
      <c r="H295" s="270"/>
      <c r="I295" s="269"/>
      <c r="J295" s="269"/>
      <c r="K295" s="270"/>
      <c r="L295" s="270"/>
      <c r="M295" s="270"/>
      <c r="N295" s="270"/>
    </row>
    <row r="299" spans="1:14" ht="12.95">
      <c r="A299" s="264"/>
      <c r="B299" s="265" t="s">
        <v>133</v>
      </c>
      <c r="C299" s="264"/>
      <c r="D299" s="265"/>
      <c r="E299" s="264"/>
      <c r="F299" s="265" t="str">
        <f>name!B17</f>
        <v>Finance and insurance</v>
      </c>
      <c r="G299" s="264"/>
      <c r="H299" s="267"/>
      <c r="I299" s="264"/>
      <c r="J299" s="266"/>
      <c r="K299" s="267"/>
      <c r="L299" s="267"/>
      <c r="M299" s="267"/>
      <c r="N299" s="267"/>
    </row>
    <row r="300" spans="1:14" ht="12.95">
      <c r="N300" s="263" t="s">
        <v>134</v>
      </c>
    </row>
    <row r="301" spans="1:14" ht="12.95">
      <c r="A301" s="158" t="s">
        <v>135</v>
      </c>
      <c r="B301" s="364" t="s">
        <v>136</v>
      </c>
      <c r="C301" s="364"/>
      <c r="D301" s="364" t="s">
        <v>137</v>
      </c>
      <c r="E301" s="364"/>
      <c r="F301" s="364" t="s">
        <v>138</v>
      </c>
      <c r="G301" s="364"/>
      <c r="H301" s="364" t="s">
        <v>119</v>
      </c>
      <c r="I301" s="364"/>
      <c r="J301" s="158"/>
      <c r="K301" s="273" t="s">
        <v>139</v>
      </c>
      <c r="L301" s="273" t="s">
        <v>140</v>
      </c>
      <c r="M301" s="273" t="s">
        <v>141</v>
      </c>
      <c r="N301" s="273" t="s">
        <v>119</v>
      </c>
    </row>
    <row r="302" spans="1:14" ht="12.95">
      <c r="A302" s="268">
        <f>$A$8</f>
        <v>2020</v>
      </c>
      <c r="B302" s="263" t="s">
        <v>142</v>
      </c>
      <c r="C302" s="18" t="s">
        <v>143</v>
      </c>
      <c r="D302" s="263" t="s">
        <v>142</v>
      </c>
      <c r="E302" s="18" t="s">
        <v>143</v>
      </c>
      <c r="F302" s="263" t="s">
        <v>142</v>
      </c>
      <c r="G302" s="18" t="s">
        <v>143</v>
      </c>
      <c r="H302" s="263" t="s">
        <v>142</v>
      </c>
      <c r="I302" s="18" t="s">
        <v>143</v>
      </c>
      <c r="J302" s="158"/>
      <c r="K302" s="262" t="str">
        <f>CONCATENATE(A302," - ",A307)</f>
        <v>2020 - 2025</v>
      </c>
      <c r="L302" s="261"/>
      <c r="M302" s="261"/>
    </row>
    <row r="303" spans="1:14">
      <c r="A303" s="258" t="s">
        <v>144</v>
      </c>
      <c r="B303" s="278">
        <f>'Ind T6'!L370</f>
        <v>473.7609999991904</v>
      </c>
      <c r="C303" s="275" t="str">
        <f>CONCATENATE("(",ROUND((B303/$H305)*100,1),")")</f>
        <v>(47.1)</v>
      </c>
      <c r="D303" s="278">
        <f>'Ind T6'!M370</f>
        <v>19.601999999964335</v>
      </c>
      <c r="E303" s="275" t="str">
        <f>CONCATENATE("(",ROUND((D303/$H305)*100,1),")")</f>
        <v>(2)</v>
      </c>
      <c r="F303" s="278">
        <f>'Ind T6'!N370</f>
        <v>45.800000000947115</v>
      </c>
      <c r="G303" s="275" t="str">
        <f>CONCATENATE("(",ROUND((F303/$H305)*100,1),")")</f>
        <v>(4.6)</v>
      </c>
      <c r="H303" s="278">
        <f>SUM(B303,D303,F303)</f>
        <v>539.16300000010187</v>
      </c>
      <c r="I303" s="275" t="str">
        <f>CONCATENATE("(",ROUND((H303/$H305)*100,1),")")</f>
        <v>(53.6)</v>
      </c>
      <c r="K303" s="278">
        <f>B308-B303</f>
        <v>1.2210000030939909</v>
      </c>
      <c r="L303" s="278">
        <f>D308-D303</f>
        <v>0.80900000001719619</v>
      </c>
      <c r="M303" s="278">
        <f>F308-F303</f>
        <v>2.061000001827793</v>
      </c>
      <c r="N303" s="278">
        <f>SUM(K303:M303)</f>
        <v>4.0910000049389801</v>
      </c>
    </row>
    <row r="304" spans="1:14">
      <c r="A304" s="258" t="s">
        <v>145</v>
      </c>
      <c r="B304" s="278">
        <f>'Ind T6'!L369</f>
        <v>344.69299999680391</v>
      </c>
      <c r="C304" s="275" t="str">
        <f>CONCATENATE("(",ROUND((B304/$H305)*100,1),")")</f>
        <v>(34.3)</v>
      </c>
      <c r="D304" s="278">
        <f>'Ind T6'!M369</f>
        <v>104.17400000039031</v>
      </c>
      <c r="E304" s="275" t="str">
        <f>CONCATENATE("(",ROUND((D304/$H305)*100,1),")")</f>
        <v>(10.4)</v>
      </c>
      <c r="F304" s="278">
        <f>'Ind T6'!N369</f>
        <v>17.135999999769712</v>
      </c>
      <c r="G304" s="275" t="str">
        <f>CONCATENATE("(",ROUND((F304/$H305)*100,1),")")</f>
        <v>(1.7)</v>
      </c>
      <c r="H304" s="278">
        <f t="shared" ref="H304" si="231">SUM(B304,D304,F304)</f>
        <v>466.00299999696392</v>
      </c>
      <c r="I304" s="275" t="str">
        <f>CONCATENATE("(",ROUND((H304/$H305)*100,1),")")</f>
        <v>(46.4)</v>
      </c>
      <c r="K304" s="278">
        <f t="shared" ref="K304:K305" si="232">B309-B304</f>
        <v>-1.3229999885255666</v>
      </c>
      <c r="L304" s="278">
        <f t="shared" ref="L304:L305" si="233">D309-D304</f>
        <v>-1.6149999997291928</v>
      </c>
      <c r="M304" s="278">
        <f t="shared" ref="M304:M305" si="234">F309-F304</f>
        <v>0.51000000023487857</v>
      </c>
      <c r="N304" s="278">
        <f t="shared" ref="N304:N305" si="235">SUM(K304:M304)</f>
        <v>-2.4279999880198808</v>
      </c>
    </row>
    <row r="305" spans="1:14">
      <c r="A305" s="258" t="s">
        <v>146</v>
      </c>
      <c r="B305" s="278">
        <f>SUM(B303:B304)</f>
        <v>818.45399999599431</v>
      </c>
      <c r="C305" s="275" t="str">
        <f>CONCATENATE("(",ROUND((B305/$H305)*100,1),")")</f>
        <v>(81.4)</v>
      </c>
      <c r="D305" s="278">
        <f>SUM(D303:D304)</f>
        <v>123.77600000035464</v>
      </c>
      <c r="E305" s="275" t="str">
        <f>CONCATENATE("(",ROUND((D305/$H305)*100,1),")")</f>
        <v>(12.3)</v>
      </c>
      <c r="F305" s="278">
        <f>SUM(F303:F304)</f>
        <v>62.936000000716831</v>
      </c>
      <c r="G305" s="275" t="str">
        <f>CONCATENATE("(",ROUND((F305/$H305)*100,1),")")</f>
        <v>(6.3)</v>
      </c>
      <c r="H305" s="278">
        <f>SUM(H303:H304)</f>
        <v>1005.1659999970658</v>
      </c>
      <c r="I305" s="275" t="str">
        <f>CONCATENATE("(",ROUND((H305/$H305)*100,1),")")</f>
        <v>(100)</v>
      </c>
      <c r="K305" s="278">
        <f t="shared" si="232"/>
        <v>-0.10199998543157562</v>
      </c>
      <c r="L305" s="278">
        <f t="shared" si="233"/>
        <v>-0.8059999997120002</v>
      </c>
      <c r="M305" s="278">
        <f t="shared" si="234"/>
        <v>2.5710000020626751</v>
      </c>
      <c r="N305" s="278">
        <f t="shared" si="235"/>
        <v>1.6630000169190993</v>
      </c>
    </row>
    <row r="306" spans="1:14">
      <c r="B306" s="278"/>
      <c r="C306" s="260"/>
      <c r="D306" s="278"/>
      <c r="E306" s="260"/>
      <c r="F306" s="278"/>
      <c r="G306" s="260"/>
      <c r="H306" s="278"/>
      <c r="I306" s="260"/>
    </row>
    <row r="307" spans="1:14" ht="12.95">
      <c r="A307" s="268">
        <f>$A$13</f>
        <v>2025</v>
      </c>
      <c r="B307" s="278"/>
      <c r="C307" s="260"/>
      <c r="D307" s="278"/>
      <c r="E307" s="260"/>
      <c r="F307" s="278"/>
      <c r="G307" s="260"/>
      <c r="H307" s="278"/>
      <c r="I307" s="260"/>
      <c r="K307" s="262" t="str">
        <f>CONCATENATE(A307," - ",A312)</f>
        <v>2025 - 2035</v>
      </c>
    </row>
    <row r="308" spans="1:14">
      <c r="A308" s="258" t="s">
        <v>144</v>
      </c>
      <c r="B308" s="278">
        <f>'Ind T6'!Q370</f>
        <v>474.98200000228439</v>
      </c>
      <c r="C308" s="275" t="str">
        <f>CONCATENATE("(",ROUND((B308/$H310)*100,1),")")</f>
        <v>(47.2)</v>
      </c>
      <c r="D308" s="278">
        <f>'Ind T6'!R370</f>
        <v>20.410999999981531</v>
      </c>
      <c r="E308" s="275" t="str">
        <f>CONCATENATE("(",ROUND((D308/$H310)*100,1),")")</f>
        <v>(2)</v>
      </c>
      <c r="F308" s="278">
        <f>'Ind T6'!S370</f>
        <v>47.861000002774908</v>
      </c>
      <c r="G308" s="275" t="str">
        <f>CONCATENATE("(",ROUND((F308/$H310)*100,1),")")</f>
        <v>(4.8)</v>
      </c>
      <c r="H308" s="278">
        <f>SUM(B308,D308,F308)</f>
        <v>543.25400000504078</v>
      </c>
      <c r="I308" s="275" t="str">
        <f>CONCATENATE("(",ROUND((H308/$H310)*100,1),")")</f>
        <v>(54)</v>
      </c>
      <c r="K308" s="278">
        <f>B313-B308</f>
        <v>-10.442000000097096</v>
      </c>
      <c r="L308" s="278">
        <f>D313-D308</f>
        <v>0.7809999999643189</v>
      </c>
      <c r="M308" s="278">
        <f>F313-F308</f>
        <v>0.14799999964832722</v>
      </c>
      <c r="N308" s="278">
        <f>SUM(K308:M308)</f>
        <v>-9.5130000004844497</v>
      </c>
    </row>
    <row r="309" spans="1:14">
      <c r="A309" s="258" t="s">
        <v>145</v>
      </c>
      <c r="B309" s="278">
        <f>'Ind T6'!Q369</f>
        <v>343.37000000827834</v>
      </c>
      <c r="C309" s="275" t="str">
        <f>CONCATENATE("(",ROUND((B309/$H310)*100,1),")")</f>
        <v>(34.1)</v>
      </c>
      <c r="D309" s="278">
        <f>'Ind T6'!R369</f>
        <v>102.55900000066111</v>
      </c>
      <c r="E309" s="275" t="str">
        <f>CONCATENATE("(",ROUND((D309/$H310)*100,1),")")</f>
        <v>(10.2)</v>
      </c>
      <c r="F309" s="278">
        <f>'Ind T6'!S369</f>
        <v>17.646000000004591</v>
      </c>
      <c r="G309" s="275" t="str">
        <f>CONCATENATE("(",ROUND((F309/$H310)*100,1),")")</f>
        <v>(1.8)</v>
      </c>
      <c r="H309" s="278">
        <f t="shared" ref="H309" si="236">SUM(B309,D309,F309)</f>
        <v>463.57500000894402</v>
      </c>
      <c r="I309" s="275" t="str">
        <f>CONCATENATE("(",ROUND((H309/$H310)*100,1),")")</f>
        <v>(46)</v>
      </c>
      <c r="K309" s="278">
        <f t="shared" ref="K309:K310" si="237">B314-B309</f>
        <v>-10.459999997088062</v>
      </c>
      <c r="L309" s="278">
        <f t="shared" ref="L309:L310" si="238">D314-D309</f>
        <v>-4.465999999408325</v>
      </c>
      <c r="M309" s="278">
        <f t="shared" ref="M309:M310" si="239">F314-F309</f>
        <v>-0.60900000000594545</v>
      </c>
      <c r="N309" s="278">
        <f t="shared" ref="N309:N310" si="240">SUM(K309:M309)</f>
        <v>-15.534999996502332</v>
      </c>
    </row>
    <row r="310" spans="1:14">
      <c r="A310" s="258" t="s">
        <v>146</v>
      </c>
      <c r="B310" s="278">
        <f>SUM(B308:B309)</f>
        <v>818.35200001056273</v>
      </c>
      <c r="C310" s="275" t="str">
        <f>CONCATENATE("(",ROUND((B310/$H310)*100,1),")")</f>
        <v>(81.3)</v>
      </c>
      <c r="D310" s="278">
        <f>SUM(D308:D309)</f>
        <v>122.97000000064264</v>
      </c>
      <c r="E310" s="275" t="str">
        <f>CONCATENATE("(",ROUND((D310/$H310)*100,1),")")</f>
        <v>(12.2)</v>
      </c>
      <c r="F310" s="278">
        <f>SUM(F308:F309)</f>
        <v>65.507000002779506</v>
      </c>
      <c r="G310" s="275" t="str">
        <f>CONCATENATE("(",ROUND((F310/$H310)*100,1),")")</f>
        <v>(6.5)</v>
      </c>
      <c r="H310" s="278">
        <f>SUM(H308:H309)</f>
        <v>1006.8290000139848</v>
      </c>
      <c r="I310" s="275" t="str">
        <f>CONCATENATE("(",ROUND((H310/$H310)*100,1),")")</f>
        <v>(100)</v>
      </c>
      <c r="K310" s="278">
        <f t="shared" si="237"/>
        <v>-20.901999997185158</v>
      </c>
      <c r="L310" s="278">
        <f t="shared" si="238"/>
        <v>-3.6849999994440026</v>
      </c>
      <c r="M310" s="278">
        <f t="shared" si="239"/>
        <v>-0.46100000035762889</v>
      </c>
      <c r="N310" s="278">
        <f t="shared" si="240"/>
        <v>-25.047999996986789</v>
      </c>
    </row>
    <row r="311" spans="1:14">
      <c r="B311" s="278"/>
      <c r="C311" s="260"/>
      <c r="D311" s="278"/>
      <c r="E311" s="260"/>
      <c r="F311" s="278"/>
      <c r="G311" s="260"/>
      <c r="H311" s="278"/>
      <c r="I311" s="260"/>
    </row>
    <row r="312" spans="1:14" ht="12.95">
      <c r="A312" s="268">
        <f>$A$18</f>
        <v>2035</v>
      </c>
      <c r="B312" s="278"/>
      <c r="C312" s="260"/>
      <c r="D312" s="278"/>
      <c r="E312" s="260"/>
      <c r="F312" s="278"/>
      <c r="G312" s="260"/>
      <c r="H312" s="278"/>
      <c r="I312" s="260"/>
      <c r="K312" s="262" t="str">
        <f>CONCATENATE(A302," - ",A312)</f>
        <v>2020 - 2035</v>
      </c>
    </row>
    <row r="313" spans="1:14">
      <c r="A313" s="258" t="s">
        <v>144</v>
      </c>
      <c r="B313" s="278">
        <f>'Ind T6'!V370</f>
        <v>464.5400000021873</v>
      </c>
      <c r="C313" s="275" t="str">
        <f>CONCATENATE("(",ROUND((B313/$H315)*100,1),")")</f>
        <v>(47.3)</v>
      </c>
      <c r="D313" s="278">
        <f>'Ind T6'!W370</f>
        <v>21.19199999994585</v>
      </c>
      <c r="E313" s="275" t="str">
        <f>CONCATENATE("(",ROUND((D313/$H315)*100,1),")")</f>
        <v>(2.2)</v>
      </c>
      <c r="F313" s="278">
        <f>'Ind T6'!X370</f>
        <v>48.009000002423235</v>
      </c>
      <c r="G313" s="275" t="str">
        <f>CONCATENATE("(",ROUND((F313/$H315)*100,1),")")</f>
        <v>(4.9)</v>
      </c>
      <c r="H313" s="278">
        <f>SUM(B313,D313,F313)</f>
        <v>533.74100000455633</v>
      </c>
      <c r="I313" s="275" t="str">
        <f>CONCATENATE("(",ROUND((H313/$H315)*100,1),")")</f>
        <v>(54.4)</v>
      </c>
      <c r="K313" s="278">
        <f>B313-B303</f>
        <v>-9.2209999970031049</v>
      </c>
      <c r="L313" s="278">
        <f>D313-D303</f>
        <v>1.5899999999815151</v>
      </c>
      <c r="M313" s="278">
        <f>F313-F303</f>
        <v>2.2090000014761202</v>
      </c>
      <c r="N313" s="278">
        <f>SUM(K313:M313)</f>
        <v>-5.4219999955454696</v>
      </c>
    </row>
    <row r="314" spans="1:14">
      <c r="A314" s="258" t="s">
        <v>145</v>
      </c>
      <c r="B314" s="278">
        <f>'Ind T6'!V369</f>
        <v>332.91000001119028</v>
      </c>
      <c r="C314" s="275" t="str">
        <f>CONCATENATE("(",ROUND((B314/$H315)*100,1),")")</f>
        <v>(33.9)</v>
      </c>
      <c r="D314" s="278">
        <f>'Ind T6'!W369</f>
        <v>98.09300000125279</v>
      </c>
      <c r="E314" s="275" t="str">
        <f>CONCATENATE("(",ROUND((D314/$H315)*100,1),")")</f>
        <v>(10)</v>
      </c>
      <c r="F314" s="278">
        <f>'Ind T6'!X369</f>
        <v>17.036999999998645</v>
      </c>
      <c r="G314" s="275" t="str">
        <f>CONCATENATE("(",ROUND((F314/$H315)*100,1),")")</f>
        <v>(1.7)</v>
      </c>
      <c r="H314" s="278">
        <f t="shared" ref="H314" si="241">SUM(B314,D314,F314)</f>
        <v>448.04000001244174</v>
      </c>
      <c r="I314" s="275" t="str">
        <f>CONCATENATE("(",ROUND((H314/$H315)*100,1),")")</f>
        <v>(45.6)</v>
      </c>
      <c r="K314" s="278">
        <f t="shared" ref="K314:K315" si="242">B314-B304</f>
        <v>-11.782999985613628</v>
      </c>
      <c r="L314" s="278">
        <f t="shared" ref="L314:L315" si="243">D314-D304</f>
        <v>-6.0809999991375179</v>
      </c>
      <c r="M314" s="278">
        <f t="shared" ref="M314:M315" si="244">F314-F304</f>
        <v>-9.8999999771066882E-2</v>
      </c>
      <c r="N314" s="278">
        <f t="shared" ref="N314:N315" si="245">SUM(K314:M314)</f>
        <v>-17.962999984522213</v>
      </c>
    </row>
    <row r="315" spans="1:14">
      <c r="A315" s="258" t="s">
        <v>146</v>
      </c>
      <c r="B315" s="278">
        <f>SUM(B313:B314)</f>
        <v>797.45000001337758</v>
      </c>
      <c r="C315" s="275" t="str">
        <f>CONCATENATE("(",ROUND((B315/$H315)*100,1),")")</f>
        <v>(81.2)</v>
      </c>
      <c r="D315" s="278">
        <f>SUM(D313:D314)</f>
        <v>119.28500000119864</v>
      </c>
      <c r="E315" s="275" t="str">
        <f>CONCATENATE("(",ROUND((D315/$H315)*100,1),")")</f>
        <v>(12.1)</v>
      </c>
      <c r="F315" s="278">
        <f>SUM(F313:F314)</f>
        <v>65.046000002421877</v>
      </c>
      <c r="G315" s="275" t="str">
        <f>CONCATENATE("(",ROUND((F315/$H315)*100,1),")")</f>
        <v>(6.6)</v>
      </c>
      <c r="H315" s="278">
        <f>SUM(H313:H314)</f>
        <v>981.78100001699806</v>
      </c>
      <c r="I315" s="275" t="str">
        <f>CONCATENATE("(",ROUND((H315/$H315)*100,1),")")</f>
        <v>(100)</v>
      </c>
      <c r="K315" s="278">
        <f t="shared" si="242"/>
        <v>-21.003999982616733</v>
      </c>
      <c r="L315" s="278">
        <f t="shared" si="243"/>
        <v>-4.4909999991560028</v>
      </c>
      <c r="M315" s="278">
        <f t="shared" si="244"/>
        <v>2.1100000017050462</v>
      </c>
      <c r="N315" s="278">
        <f t="shared" si="245"/>
        <v>-23.38499998006769</v>
      </c>
    </row>
    <row r="316" spans="1:14">
      <c r="A316" s="269"/>
      <c r="B316" s="270"/>
      <c r="C316" s="269"/>
      <c r="D316" s="270"/>
      <c r="E316" s="269"/>
      <c r="F316" s="270"/>
      <c r="G316" s="269"/>
      <c r="H316" s="270"/>
      <c r="I316" s="269"/>
      <c r="J316" s="269"/>
      <c r="K316" s="270"/>
      <c r="L316" s="270"/>
      <c r="M316" s="270"/>
      <c r="N316" s="270"/>
    </row>
    <row r="320" spans="1:14" ht="12.95">
      <c r="A320" s="264"/>
      <c r="B320" s="265" t="s">
        <v>133</v>
      </c>
      <c r="C320" s="264"/>
      <c r="D320" s="265"/>
      <c r="E320" s="264"/>
      <c r="F320" s="265" t="str">
        <f>name!B18</f>
        <v>Real estate</v>
      </c>
      <c r="G320" s="264"/>
      <c r="H320" s="267"/>
      <c r="I320" s="264"/>
      <c r="J320" s="266"/>
      <c r="K320" s="267"/>
      <c r="L320" s="267"/>
      <c r="M320" s="267"/>
      <c r="N320" s="267"/>
    </row>
    <row r="321" spans="1:14" ht="12.95">
      <c r="N321" s="263" t="s">
        <v>134</v>
      </c>
    </row>
    <row r="322" spans="1:14" ht="12.95">
      <c r="A322" s="158" t="s">
        <v>135</v>
      </c>
      <c r="B322" s="364" t="s">
        <v>136</v>
      </c>
      <c r="C322" s="364"/>
      <c r="D322" s="364" t="s">
        <v>137</v>
      </c>
      <c r="E322" s="364"/>
      <c r="F322" s="364" t="s">
        <v>138</v>
      </c>
      <c r="G322" s="364"/>
      <c r="H322" s="364" t="s">
        <v>119</v>
      </c>
      <c r="I322" s="364"/>
      <c r="J322" s="158"/>
      <c r="K322" s="273" t="s">
        <v>139</v>
      </c>
      <c r="L322" s="273" t="s">
        <v>140</v>
      </c>
      <c r="M322" s="273" t="s">
        <v>141</v>
      </c>
      <c r="N322" s="273" t="s">
        <v>119</v>
      </c>
    </row>
    <row r="323" spans="1:14" ht="12.95">
      <c r="A323" s="268">
        <f>$A$8</f>
        <v>2020</v>
      </c>
      <c r="B323" s="263" t="s">
        <v>142</v>
      </c>
      <c r="C323" s="18" t="s">
        <v>143</v>
      </c>
      <c r="D323" s="263" t="s">
        <v>142</v>
      </c>
      <c r="E323" s="18" t="s">
        <v>143</v>
      </c>
      <c r="F323" s="263" t="s">
        <v>142</v>
      </c>
      <c r="G323" s="18" t="s">
        <v>143</v>
      </c>
      <c r="H323" s="263" t="s">
        <v>142</v>
      </c>
      <c r="I323" s="18" t="s">
        <v>143</v>
      </c>
      <c r="J323" s="158"/>
      <c r="K323" s="262" t="str">
        <f>CONCATENATE(A323," - ",A328)</f>
        <v>2020 - 2025</v>
      </c>
      <c r="L323" s="261"/>
      <c r="M323" s="261"/>
    </row>
    <row r="324" spans="1:14">
      <c r="A324" s="258" t="s">
        <v>144</v>
      </c>
      <c r="B324" s="278">
        <f>'Ind T6'!L380</f>
        <v>202.93399999950284</v>
      </c>
      <c r="C324" s="275" t="str">
        <f>CONCATENATE("(",ROUND((B324/$H326)*100,1),")")</f>
        <v>(35.8)</v>
      </c>
      <c r="D324" s="278">
        <f>'Ind T6'!M380</f>
        <v>34.660999999962719</v>
      </c>
      <c r="E324" s="275" t="str">
        <f>CONCATENATE("(",ROUND((D324/$H326)*100,1),")")</f>
        <v>(6.1)</v>
      </c>
      <c r="F324" s="278">
        <f>'Ind T6'!N380</f>
        <v>35.500000000081442</v>
      </c>
      <c r="G324" s="275" t="str">
        <f>CONCATENATE("(",ROUND((F324/$H326)*100,1),")")</f>
        <v>(6.3)</v>
      </c>
      <c r="H324" s="278">
        <f>SUM(B324,D324,F324)</f>
        <v>273.09499999954699</v>
      </c>
      <c r="I324" s="275" t="str">
        <f>CONCATENATE("(",ROUND((H324/$H326)*100,1),")")</f>
        <v>(48.2)</v>
      </c>
      <c r="K324" s="278">
        <f>B329-B324</f>
        <v>-8.3419999990177871</v>
      </c>
      <c r="L324" s="278">
        <f>D329-D324</f>
        <v>-1.0019999999345828</v>
      </c>
      <c r="M324" s="278">
        <f>F329-F324</f>
        <v>0.13199999998014533</v>
      </c>
      <c r="N324" s="278">
        <f>SUM(K324:M324)</f>
        <v>-9.2119999989722245</v>
      </c>
    </row>
    <row r="325" spans="1:14">
      <c r="A325" s="258" t="s">
        <v>145</v>
      </c>
      <c r="B325" s="278">
        <f>'Ind T6'!L379</f>
        <v>176.03199999876384</v>
      </c>
      <c r="C325" s="275" t="str">
        <f>CONCATENATE("(",ROUND((B325/$H326)*100,1),")")</f>
        <v>(31.1)</v>
      </c>
      <c r="D325" s="278">
        <f>'Ind T6'!M379</f>
        <v>88.702000000450454</v>
      </c>
      <c r="E325" s="275" t="str">
        <f>CONCATENATE("(",ROUND((D325/$H326)*100,1),")")</f>
        <v>(15.7)</v>
      </c>
      <c r="F325" s="278">
        <f>'Ind T6'!N379</f>
        <v>28.25599999945798</v>
      </c>
      <c r="G325" s="275" t="str">
        <f>CONCATENATE("(",ROUND((F325/$H326)*100,1),")")</f>
        <v>(5)</v>
      </c>
      <c r="H325" s="278">
        <f t="shared" ref="H325" si="246">SUM(B325,D325,F325)</f>
        <v>292.98999999867226</v>
      </c>
      <c r="I325" s="275" t="str">
        <f>CONCATENATE("(",ROUND((H325/$H326)*100,1),")")</f>
        <v>(51.8)</v>
      </c>
      <c r="K325" s="278">
        <f t="shared" ref="K325:K326" si="247">B330-B325</f>
        <v>-1.1819999958167671</v>
      </c>
      <c r="L325" s="278">
        <f t="shared" ref="L325:L326" si="248">D330-D325</f>
        <v>-6.6169999997284776</v>
      </c>
      <c r="M325" s="278">
        <f t="shared" ref="M325:M326" si="249">F330-F325</f>
        <v>-1.0249999994832386</v>
      </c>
      <c r="N325" s="278">
        <f t="shared" ref="N325:N326" si="250">SUM(K325:M325)</f>
        <v>-8.8239999950284833</v>
      </c>
    </row>
    <row r="326" spans="1:14">
      <c r="A326" s="258" t="s">
        <v>146</v>
      </c>
      <c r="B326" s="278">
        <f>SUM(B324:B325)</f>
        <v>378.96599999826668</v>
      </c>
      <c r="C326" s="275" t="str">
        <f>CONCATENATE("(",ROUND((B326/$H326)*100,1),")")</f>
        <v>(66.9)</v>
      </c>
      <c r="D326" s="278">
        <f>SUM(D324:D325)</f>
        <v>123.36300000041317</v>
      </c>
      <c r="E326" s="275" t="str">
        <f>CONCATENATE("(",ROUND((D326/$H326)*100,1),")")</f>
        <v>(21.8)</v>
      </c>
      <c r="F326" s="278">
        <f>SUM(F324:F325)</f>
        <v>63.755999999539426</v>
      </c>
      <c r="G326" s="275" t="str">
        <f>CONCATENATE("(",ROUND((F326/$H326)*100,1),")")</f>
        <v>(11.3)</v>
      </c>
      <c r="H326" s="278">
        <f>SUM(H324:H325)</f>
        <v>566.08499999821925</v>
      </c>
      <c r="I326" s="275" t="str">
        <f>CONCATENATE("(",ROUND((H326/$H326)*100,1),")")</f>
        <v>(100)</v>
      </c>
      <c r="K326" s="278">
        <f t="shared" si="247"/>
        <v>-9.5239999948345826</v>
      </c>
      <c r="L326" s="278">
        <f t="shared" si="248"/>
        <v>-7.6189999996630604</v>
      </c>
      <c r="M326" s="278">
        <f t="shared" si="249"/>
        <v>-0.89299999950309683</v>
      </c>
      <c r="N326" s="278">
        <f t="shared" si="250"/>
        <v>-18.03599999400074</v>
      </c>
    </row>
    <row r="327" spans="1:14">
      <c r="B327" s="278"/>
      <c r="C327" s="260"/>
      <c r="D327" s="278"/>
      <c r="E327" s="260"/>
      <c r="F327" s="278"/>
      <c r="G327" s="260"/>
      <c r="H327" s="278"/>
      <c r="I327" s="260"/>
    </row>
    <row r="328" spans="1:14" ht="12.95">
      <c r="A328" s="268">
        <f>$A$13</f>
        <v>2025</v>
      </c>
      <c r="B328" s="278"/>
      <c r="C328" s="260"/>
      <c r="D328" s="278"/>
      <c r="E328" s="260"/>
      <c r="F328" s="278"/>
      <c r="G328" s="260"/>
      <c r="H328" s="278"/>
      <c r="I328" s="260"/>
      <c r="K328" s="262" t="str">
        <f>CONCATENATE(A328," - ",A333)</f>
        <v>2025 - 2035</v>
      </c>
    </row>
    <row r="329" spans="1:14">
      <c r="A329" s="258" t="s">
        <v>144</v>
      </c>
      <c r="B329" s="278">
        <f>'Ind T6'!Q380</f>
        <v>194.59200000048506</v>
      </c>
      <c r="C329" s="275" t="str">
        <f>CONCATENATE("(",ROUND((B329/$H331)*100,1),")")</f>
        <v>(35.5)</v>
      </c>
      <c r="D329" s="278">
        <f>'Ind T6'!R380</f>
        <v>33.659000000028136</v>
      </c>
      <c r="E329" s="275" t="str">
        <f>CONCATENATE("(",ROUND((D329/$H331)*100,1),")")</f>
        <v>(6.1)</v>
      </c>
      <c r="F329" s="278">
        <f>'Ind T6'!S380</f>
        <v>35.632000000061588</v>
      </c>
      <c r="G329" s="275" t="str">
        <f>CONCATENATE("(",ROUND((F329/$H331)*100,1),")")</f>
        <v>(6.5)</v>
      </c>
      <c r="H329" s="278">
        <f>SUM(B329,D329,F329)</f>
        <v>263.88300000057478</v>
      </c>
      <c r="I329" s="275" t="str">
        <f>CONCATENATE("(",ROUND((H329/$H331)*100,1),")")</f>
        <v>(48.1)</v>
      </c>
      <c r="K329" s="278">
        <f>B334-B329</f>
        <v>13.695000000010396</v>
      </c>
      <c r="L329" s="278">
        <f>D334-D329</f>
        <v>3.3799999999635162</v>
      </c>
      <c r="M329" s="278">
        <f>F334-F329</f>
        <v>5.823999999979165</v>
      </c>
      <c r="N329" s="278">
        <f>SUM(K329:M329)</f>
        <v>22.898999999953077</v>
      </c>
    </row>
    <row r="330" spans="1:14">
      <c r="A330" s="258" t="s">
        <v>145</v>
      </c>
      <c r="B330" s="278">
        <f>'Ind T6'!Q379</f>
        <v>174.85000000294707</v>
      </c>
      <c r="C330" s="275" t="str">
        <f>CONCATENATE("(",ROUND((B330/$H331)*100,1),")")</f>
        <v>(31.9)</v>
      </c>
      <c r="D330" s="278">
        <f>'Ind T6'!R379</f>
        <v>82.085000000721976</v>
      </c>
      <c r="E330" s="275" t="str">
        <f>CONCATENATE("(",ROUND((D330/$H331)*100,1),")")</f>
        <v>(15)</v>
      </c>
      <c r="F330" s="278">
        <f>'Ind T6'!S379</f>
        <v>27.230999999974742</v>
      </c>
      <c r="G330" s="275" t="str">
        <f>CONCATENATE("(",ROUND((F330/$H331)*100,1),")")</f>
        <v>(5)</v>
      </c>
      <c r="H330" s="278">
        <f t="shared" ref="H330" si="251">SUM(B330,D330,F330)</f>
        <v>284.16600000364383</v>
      </c>
      <c r="I330" s="275" t="str">
        <f>CONCATENATE("(",ROUND((H330/$H331)*100,1),")")</f>
        <v>(51.9)</v>
      </c>
      <c r="K330" s="278">
        <f t="shared" ref="K330:K331" si="252">B335-B330</f>
        <v>25.564000000944617</v>
      </c>
      <c r="L330" s="278">
        <f t="shared" ref="L330:L331" si="253">D335-D330</f>
        <v>-0.98199999944033323</v>
      </c>
      <c r="M330" s="278">
        <f t="shared" ref="M330:M331" si="254">F335-F330</f>
        <v>2.3340000000478653</v>
      </c>
      <c r="N330" s="278">
        <f t="shared" ref="N330:N331" si="255">SUM(K330:M330)</f>
        <v>26.916000001552149</v>
      </c>
    </row>
    <row r="331" spans="1:14">
      <c r="A331" s="258" t="s">
        <v>146</v>
      </c>
      <c r="B331" s="278">
        <f>SUM(B329:B330)</f>
        <v>369.4420000034321</v>
      </c>
      <c r="C331" s="275" t="str">
        <f>CONCATENATE("(",ROUND((B331/$H331)*100,1),")")</f>
        <v>(67.4)</v>
      </c>
      <c r="D331" s="278">
        <f>SUM(D329:D330)</f>
        <v>115.74400000075011</v>
      </c>
      <c r="E331" s="275" t="str">
        <f>CONCATENATE("(",ROUND((D331/$H331)*100,1),")")</f>
        <v>(21.1)</v>
      </c>
      <c r="F331" s="278">
        <f>SUM(F329:F330)</f>
        <v>62.86300000003633</v>
      </c>
      <c r="G331" s="275" t="str">
        <f>CONCATENATE("(",ROUND((F331/$H331)*100,1),")")</f>
        <v>(11.5)</v>
      </c>
      <c r="H331" s="278">
        <f>SUM(H329:H330)</f>
        <v>548.04900000421867</v>
      </c>
      <c r="I331" s="275" t="str">
        <f>CONCATENATE("(",ROUND((H331/$H331)*100,1),")")</f>
        <v>(100)</v>
      </c>
      <c r="K331" s="278">
        <f t="shared" si="252"/>
        <v>39.259000000955041</v>
      </c>
      <c r="L331" s="278">
        <f t="shared" si="253"/>
        <v>2.398000000523183</v>
      </c>
      <c r="M331" s="278">
        <f t="shared" si="254"/>
        <v>8.1580000000270374</v>
      </c>
      <c r="N331" s="278">
        <f t="shared" si="255"/>
        <v>49.815000001505261</v>
      </c>
    </row>
    <row r="332" spans="1:14">
      <c r="B332" s="278"/>
      <c r="C332" s="260"/>
      <c r="D332" s="278"/>
      <c r="E332" s="260"/>
      <c r="F332" s="278"/>
      <c r="G332" s="260"/>
      <c r="H332" s="278"/>
      <c r="I332" s="260"/>
    </row>
    <row r="333" spans="1:14" ht="12.95">
      <c r="A333" s="268">
        <f>$A$18</f>
        <v>2035</v>
      </c>
      <c r="B333" s="278"/>
      <c r="C333" s="260"/>
      <c r="D333" s="278"/>
      <c r="E333" s="260"/>
      <c r="F333" s="278"/>
      <c r="G333" s="260"/>
      <c r="H333" s="278"/>
      <c r="I333" s="260"/>
      <c r="K333" s="262" t="str">
        <f>CONCATENATE(A323," - ",A333)</f>
        <v>2020 - 2035</v>
      </c>
    </row>
    <row r="334" spans="1:14">
      <c r="A334" s="258" t="s">
        <v>144</v>
      </c>
      <c r="B334" s="278">
        <f>'Ind T6'!V380</f>
        <v>208.28700000049545</v>
      </c>
      <c r="C334" s="275" t="str">
        <f>CONCATENATE("(",ROUND((B334/$H336)*100,1),")")</f>
        <v>(34.8)</v>
      </c>
      <c r="D334" s="278">
        <f>'Ind T6'!W380</f>
        <v>37.038999999991653</v>
      </c>
      <c r="E334" s="275" t="str">
        <f>CONCATENATE("(",ROUND((D334/$H336)*100,1),")")</f>
        <v>(6.2)</v>
      </c>
      <c r="F334" s="278">
        <f>'Ind T6'!X380</f>
        <v>41.456000000040753</v>
      </c>
      <c r="G334" s="275" t="str">
        <f>CONCATENATE("(",ROUND((F334/$H336)*100,1),")")</f>
        <v>(6.9)</v>
      </c>
      <c r="H334" s="278">
        <f>SUM(B334,D334,F334)</f>
        <v>286.78200000052789</v>
      </c>
      <c r="I334" s="275" t="str">
        <f>CONCATENATE("(",ROUND((H334/$H336)*100,1),")")</f>
        <v>(48)</v>
      </c>
      <c r="K334" s="278">
        <f>B334-B324</f>
        <v>5.3530000009926084</v>
      </c>
      <c r="L334" s="278">
        <f>D334-D324</f>
        <v>2.3780000000289334</v>
      </c>
      <c r="M334" s="278">
        <f>F334-F324</f>
        <v>5.9559999999593103</v>
      </c>
      <c r="N334" s="278">
        <f>SUM(K334:M334)</f>
        <v>13.687000000980852</v>
      </c>
    </row>
    <row r="335" spans="1:14">
      <c r="A335" s="258" t="s">
        <v>145</v>
      </c>
      <c r="B335" s="278">
        <f>'Ind T6'!V379</f>
        <v>200.41400000389169</v>
      </c>
      <c r="C335" s="275" t="str">
        <f>CONCATENATE("(",ROUND((B335/$H336)*100,1),")")</f>
        <v>(33.5)</v>
      </c>
      <c r="D335" s="278">
        <f>'Ind T6'!W379</f>
        <v>81.103000001281643</v>
      </c>
      <c r="E335" s="275" t="str">
        <f>CONCATENATE("(",ROUND((D335/$H336)*100,1),")")</f>
        <v>(13.6)</v>
      </c>
      <c r="F335" s="278">
        <f>'Ind T6'!X379</f>
        <v>29.565000000022607</v>
      </c>
      <c r="G335" s="275" t="str">
        <f>CONCATENATE("(",ROUND((F335/$H336)*100,1),")")</f>
        <v>(4.9)</v>
      </c>
      <c r="H335" s="278">
        <f>SUM(B335,D335,F335)</f>
        <v>311.08200000519594</v>
      </c>
      <c r="I335" s="275" t="str">
        <f>CONCATENATE("(",ROUND((H335/$H336)*100,1),")")</f>
        <v>(52)</v>
      </c>
      <c r="K335" s="278">
        <f t="shared" ref="K335:K336" si="256">B335-B325</f>
        <v>24.38200000512785</v>
      </c>
      <c r="L335" s="278">
        <f t="shared" ref="L335:L336" si="257">D335-D325</f>
        <v>-7.5989999991688109</v>
      </c>
      <c r="M335" s="278">
        <f t="shared" ref="M335:M336" si="258">F335-F325</f>
        <v>1.3090000005646267</v>
      </c>
      <c r="N335" s="278">
        <f t="shared" ref="N335:N336" si="259">SUM(K335:M335)</f>
        <v>18.092000006523666</v>
      </c>
    </row>
    <row r="336" spans="1:14">
      <c r="A336" s="258" t="s">
        <v>146</v>
      </c>
      <c r="B336" s="278">
        <f>SUM(B334:B335)</f>
        <v>408.70100000438714</v>
      </c>
      <c r="C336" s="275" t="str">
        <f>CONCATENATE("(",ROUND((B336/$H336)*100,1),")")</f>
        <v>(68.4)</v>
      </c>
      <c r="D336" s="278">
        <f>SUM(D334:D335)</f>
        <v>118.14200000127329</v>
      </c>
      <c r="E336" s="275" t="str">
        <f>CONCATENATE("(",ROUND((D336/$H336)*100,1),")")</f>
        <v>(19.8)</v>
      </c>
      <c r="F336" s="278">
        <f>SUM(F334:F335)</f>
        <v>71.021000000063367</v>
      </c>
      <c r="G336" s="275" t="str">
        <f>CONCATENATE("(",ROUND((F336/$H336)*100,1),")")</f>
        <v>(11.9)</v>
      </c>
      <c r="H336" s="278">
        <f>SUM(H334:H335)</f>
        <v>597.86400000572382</v>
      </c>
      <c r="I336" s="275" t="str">
        <f>CONCATENATE("(",ROUND((H336/$H336)*100,1),")")</f>
        <v>(100)</v>
      </c>
      <c r="K336" s="278">
        <f t="shared" si="256"/>
        <v>29.735000006120458</v>
      </c>
      <c r="L336" s="278">
        <f t="shared" si="257"/>
        <v>-5.2209999991398774</v>
      </c>
      <c r="M336" s="278">
        <f t="shared" si="258"/>
        <v>7.2650000005239406</v>
      </c>
      <c r="N336" s="278">
        <f t="shared" si="259"/>
        <v>31.779000007504521</v>
      </c>
    </row>
    <row r="337" spans="1:14">
      <c r="A337" s="269"/>
      <c r="B337" s="270"/>
      <c r="C337" s="269"/>
      <c r="D337" s="270"/>
      <c r="E337" s="269"/>
      <c r="F337" s="270"/>
      <c r="G337" s="269"/>
      <c r="H337" s="270"/>
      <c r="I337" s="269"/>
      <c r="J337" s="269"/>
      <c r="K337" s="270"/>
      <c r="L337" s="270"/>
      <c r="M337" s="270"/>
      <c r="N337" s="270"/>
    </row>
    <row r="341" spans="1:14" ht="12.95">
      <c r="A341" s="264"/>
      <c r="B341" s="265" t="s">
        <v>133</v>
      </c>
      <c r="C341" s="264"/>
      <c r="D341" s="265"/>
      <c r="E341" s="264"/>
      <c r="F341" s="265" t="str">
        <f>name!B19</f>
        <v>Professional services</v>
      </c>
      <c r="G341" s="264"/>
      <c r="H341" s="267"/>
      <c r="I341" s="264"/>
      <c r="J341" s="266"/>
      <c r="K341" s="267"/>
      <c r="L341" s="267"/>
      <c r="M341" s="267"/>
      <c r="N341" s="267"/>
    </row>
    <row r="342" spans="1:14" ht="12.95">
      <c r="N342" s="263" t="s">
        <v>134</v>
      </c>
    </row>
    <row r="343" spans="1:14" ht="12.95">
      <c r="A343" s="158" t="s">
        <v>135</v>
      </c>
      <c r="B343" s="364" t="s">
        <v>136</v>
      </c>
      <c r="C343" s="364"/>
      <c r="D343" s="364" t="s">
        <v>137</v>
      </c>
      <c r="E343" s="364"/>
      <c r="F343" s="364" t="s">
        <v>138</v>
      </c>
      <c r="G343" s="364"/>
      <c r="H343" s="364" t="s">
        <v>119</v>
      </c>
      <c r="I343" s="364"/>
      <c r="J343" s="158"/>
      <c r="K343" s="273" t="s">
        <v>139</v>
      </c>
      <c r="L343" s="273" t="s">
        <v>140</v>
      </c>
      <c r="M343" s="273" t="s">
        <v>141</v>
      </c>
      <c r="N343" s="273" t="s">
        <v>119</v>
      </c>
    </row>
    <row r="344" spans="1:14" ht="12.95">
      <c r="A344" s="268">
        <f>$A$8</f>
        <v>2020</v>
      </c>
      <c r="B344" s="263" t="s">
        <v>142</v>
      </c>
      <c r="C344" s="18" t="s">
        <v>143</v>
      </c>
      <c r="D344" s="263" t="s">
        <v>142</v>
      </c>
      <c r="E344" s="18" t="s">
        <v>143</v>
      </c>
      <c r="F344" s="263" t="s">
        <v>142</v>
      </c>
      <c r="G344" s="18" t="s">
        <v>143</v>
      </c>
      <c r="H344" s="263" t="s">
        <v>142</v>
      </c>
      <c r="I344" s="18" t="s">
        <v>143</v>
      </c>
      <c r="J344" s="158"/>
      <c r="K344" s="262" t="str">
        <f>CONCATENATE(A344," - ",A349)</f>
        <v>2020 - 2025</v>
      </c>
      <c r="L344" s="261"/>
      <c r="M344" s="261"/>
    </row>
    <row r="345" spans="1:14">
      <c r="A345" s="258" t="s">
        <v>144</v>
      </c>
      <c r="B345" s="278">
        <f>'Ind T6'!L425</f>
        <v>1083.3639999919787</v>
      </c>
      <c r="C345" s="275" t="str">
        <f>CONCATENATE("(",ROUND((B345/$H347)*100,1),")")</f>
        <v>(38.6)</v>
      </c>
      <c r="D345" s="278">
        <f>'Ind T6'!M425</f>
        <v>164.04800000018474</v>
      </c>
      <c r="E345" s="275" t="str">
        <f>CONCATENATE("(",ROUND((D345/$H347)*100,1),")")</f>
        <v>(5.8)</v>
      </c>
      <c r="F345" s="278">
        <f>'Ind T6'!N425</f>
        <v>265.123000006263</v>
      </c>
      <c r="G345" s="275" t="str">
        <f>CONCATENATE("(",ROUND((F345/$H347)*100,1),")")</f>
        <v>(9.4)</v>
      </c>
      <c r="H345" s="278">
        <f>SUM(B345,D345,F345)</f>
        <v>1512.5349999984267</v>
      </c>
      <c r="I345" s="275" t="str">
        <f>CONCATENATE("(",ROUND((H345/$H347)*100,1),")")</f>
        <v>(53.9)</v>
      </c>
      <c r="K345" s="278">
        <f>B350-B345</f>
        <v>33.829000006709521</v>
      </c>
      <c r="L345" s="278">
        <f>D350-D345</f>
        <v>11.206999998941512</v>
      </c>
      <c r="M345" s="278">
        <f>F350-F345</f>
        <v>14.385000012463649</v>
      </c>
      <c r="N345" s="278">
        <f>SUM(K345:M345)</f>
        <v>59.421000018114682</v>
      </c>
    </row>
    <row r="346" spans="1:14">
      <c r="A346" s="258" t="s">
        <v>145</v>
      </c>
      <c r="B346" s="278">
        <f>'Ind T6'!L424</f>
        <v>757.22799999240647</v>
      </c>
      <c r="C346" s="275" t="str">
        <f>CONCATENATE("(",ROUND((B346/$H347)*100,1),")")</f>
        <v>(27)</v>
      </c>
      <c r="D346" s="278">
        <f>'Ind T6'!M424</f>
        <v>362.68599999928296</v>
      </c>
      <c r="E346" s="275" t="str">
        <f>CONCATENATE("(",ROUND((D346/$H347)*100,1),")")</f>
        <v>(12.9)</v>
      </c>
      <c r="F346" s="278">
        <f>'Ind T6'!N424</f>
        <v>174.71599999843434</v>
      </c>
      <c r="G346" s="275" t="str">
        <f>CONCATENATE("(",ROUND((F346/$H347)*100,1),")")</f>
        <v>(6.2)</v>
      </c>
      <c r="H346" s="278">
        <f t="shared" ref="H346" si="260">SUM(B346,D346,F346)</f>
        <v>1294.6299999901239</v>
      </c>
      <c r="I346" s="275" t="str">
        <f>CONCATENATE("(",ROUND((H346/$H347)*100,1),")")</f>
        <v>(46.1)</v>
      </c>
      <c r="K346" s="278">
        <f t="shared" ref="K346:K347" si="261">B351-B346</f>
        <v>44.580000024928836</v>
      </c>
      <c r="L346" s="278">
        <f t="shared" ref="L346:L347" si="262">D351-D346</f>
        <v>22.439000000977671</v>
      </c>
      <c r="M346" s="278">
        <f t="shared" ref="M346:M347" si="263">F351-F346</f>
        <v>15.151000001391282</v>
      </c>
      <c r="N346" s="278">
        <f t="shared" ref="N346:N347" si="264">SUM(K346:M346)</f>
        <v>82.170000027297789</v>
      </c>
    </row>
    <row r="347" spans="1:14">
      <c r="A347" s="258" t="s">
        <v>146</v>
      </c>
      <c r="B347" s="278">
        <f>SUM(B345:B346)</f>
        <v>1840.5919999843852</v>
      </c>
      <c r="C347" s="275" t="str">
        <f>CONCATENATE("(",ROUND((B347/$H347)*100,1),")")</f>
        <v>(65.6)</v>
      </c>
      <c r="D347" s="278">
        <f>SUM(D345:D346)</f>
        <v>526.73399999946764</v>
      </c>
      <c r="E347" s="275" t="str">
        <f>CONCATENATE("(",ROUND((D347/$H347)*100,1),")")</f>
        <v>(18.8)</v>
      </c>
      <c r="F347" s="278">
        <f>SUM(F345:F346)</f>
        <v>439.83900000469737</v>
      </c>
      <c r="G347" s="275" t="str">
        <f>CONCATENATE("(",ROUND((F347/$H347)*100,1),")")</f>
        <v>(15.7)</v>
      </c>
      <c r="H347" s="278">
        <f>SUM(H345:H346)</f>
        <v>2807.1649999885503</v>
      </c>
      <c r="I347" s="275" t="str">
        <f>CONCATENATE("(",ROUND((H347/$H347)*100,1),")")</f>
        <v>(100)</v>
      </c>
      <c r="K347" s="278">
        <f t="shared" si="261"/>
        <v>78.40900003163847</v>
      </c>
      <c r="L347" s="278">
        <f t="shared" si="262"/>
        <v>33.645999999919241</v>
      </c>
      <c r="M347" s="278">
        <f t="shared" si="263"/>
        <v>29.536000013854903</v>
      </c>
      <c r="N347" s="278">
        <f t="shared" si="264"/>
        <v>141.59100004541261</v>
      </c>
    </row>
    <row r="348" spans="1:14">
      <c r="B348" s="278"/>
      <c r="C348" s="260"/>
      <c r="D348" s="278"/>
      <c r="E348" s="260"/>
      <c r="F348" s="278"/>
      <c r="G348" s="260"/>
      <c r="H348" s="278"/>
      <c r="I348" s="260"/>
    </row>
    <row r="349" spans="1:14" ht="12.95">
      <c r="A349" s="268">
        <f>$A$13</f>
        <v>2025</v>
      </c>
      <c r="B349" s="278"/>
      <c r="C349" s="260"/>
      <c r="D349" s="278"/>
      <c r="E349" s="260"/>
      <c r="F349" s="278"/>
      <c r="G349" s="260"/>
      <c r="H349" s="278"/>
      <c r="I349" s="260"/>
      <c r="K349" s="262" t="str">
        <f>CONCATENATE(A349," - ",A354)</f>
        <v>2025 - 2035</v>
      </c>
    </row>
    <row r="350" spans="1:14">
      <c r="A350" s="258" t="s">
        <v>144</v>
      </c>
      <c r="B350" s="278">
        <f>'Ind T6'!Q425</f>
        <v>1117.1929999986883</v>
      </c>
      <c r="C350" s="275" t="str">
        <f>CONCATENATE("(",ROUND((B350/$H352)*100,1),")")</f>
        <v>(37.9)</v>
      </c>
      <c r="D350" s="278">
        <f>'Ind T6'!R425</f>
        <v>175.25499999912626</v>
      </c>
      <c r="E350" s="275" t="str">
        <f>CONCATENATE("(",ROUND((D350/$H352)*100,1),")")</f>
        <v>(5.9)</v>
      </c>
      <c r="F350" s="278">
        <f>'Ind T6'!S425</f>
        <v>279.50800001872665</v>
      </c>
      <c r="G350" s="275" t="str">
        <f>CONCATENATE("(",ROUND((F350/$H352)*100,1),")")</f>
        <v>(9.5)</v>
      </c>
      <c r="H350" s="278">
        <f>SUM(B350,D350,F350)</f>
        <v>1571.9560000165411</v>
      </c>
      <c r="I350" s="275" t="str">
        <f>CONCATENATE("(",ROUND((H350/$H352)*100,1),")")</f>
        <v>(53.3)</v>
      </c>
      <c r="K350" s="278">
        <f>B355-B350</f>
        <v>42.544999996536262</v>
      </c>
      <c r="L350" s="278">
        <f>D355-D350</f>
        <v>19.01900000017153</v>
      </c>
      <c r="M350" s="278">
        <f>F355-F350</f>
        <v>20.297999996777207</v>
      </c>
      <c r="N350" s="278">
        <f>SUM(K350:M350)</f>
        <v>81.861999993485</v>
      </c>
    </row>
    <row r="351" spans="1:14">
      <c r="A351" s="258" t="s">
        <v>145</v>
      </c>
      <c r="B351" s="278">
        <f>'Ind T6'!Q424</f>
        <v>801.8080000173353</v>
      </c>
      <c r="C351" s="275" t="str">
        <f>CONCATENATE("(",ROUND((B351/$H352)*100,1),")")</f>
        <v>(27.2)</v>
      </c>
      <c r="D351" s="278">
        <f>'Ind T6'!R424</f>
        <v>385.12500000026063</v>
      </c>
      <c r="E351" s="275" t="str">
        <f>CONCATENATE("(",ROUND((D351/$H352)*100,1),")")</f>
        <v>(13.1)</v>
      </c>
      <c r="F351" s="278">
        <f>'Ind T6'!S424</f>
        <v>189.86699999982562</v>
      </c>
      <c r="G351" s="275" t="str">
        <f>CONCATENATE("(",ROUND((F351/$H352)*100,1),")")</f>
        <v>(6.4)</v>
      </c>
      <c r="H351" s="278">
        <f t="shared" ref="H351" si="265">SUM(B351,D351,F351)</f>
        <v>1376.8000000174216</v>
      </c>
      <c r="I351" s="275" t="str">
        <f>CONCATENATE("(",ROUND((H351/$H352)*100,1),")")</f>
        <v>(46.7)</v>
      </c>
      <c r="K351" s="278">
        <f t="shared" ref="K351:K352" si="266">B356-B351</f>
        <v>56.479000009984475</v>
      </c>
      <c r="L351" s="278">
        <f t="shared" ref="L351:L352" si="267">D356-D351</f>
        <v>30.693000004054511</v>
      </c>
      <c r="M351" s="278">
        <f t="shared" ref="M351:M352" si="268">F356-F351</f>
        <v>23.034000001269987</v>
      </c>
      <c r="N351" s="278">
        <f t="shared" ref="N351:N352" si="269">SUM(K351:M351)</f>
        <v>110.20600001530897</v>
      </c>
    </row>
    <row r="352" spans="1:14">
      <c r="A352" s="258" t="s">
        <v>146</v>
      </c>
      <c r="B352" s="278">
        <f>SUM(B350:B351)</f>
        <v>1919.0010000160237</v>
      </c>
      <c r="C352" s="275" t="str">
        <f>CONCATENATE("(",ROUND((B352/$H352)*100,1),")")</f>
        <v>(65.1)</v>
      </c>
      <c r="D352" s="278">
        <f>SUM(D350:D351)</f>
        <v>560.37999999938688</v>
      </c>
      <c r="E352" s="275" t="str">
        <f>CONCATENATE("(",ROUND((D352/$H352)*100,1),")")</f>
        <v>(19)</v>
      </c>
      <c r="F352" s="278">
        <f>SUM(F350:F351)</f>
        <v>469.37500001855227</v>
      </c>
      <c r="G352" s="275" t="str">
        <f>CONCATENATE("(",ROUND((F352/$H352)*100,1),")")</f>
        <v>(15.9)</v>
      </c>
      <c r="H352" s="278">
        <f>SUM(H350:H351)</f>
        <v>2948.7560000339627</v>
      </c>
      <c r="I352" s="275" t="str">
        <f>CONCATENATE("(",ROUND((H352/$H352)*100,1),")")</f>
        <v>(100)</v>
      </c>
      <c r="K352" s="278">
        <f t="shared" si="266"/>
        <v>99.024000006520509</v>
      </c>
      <c r="L352" s="278">
        <f t="shared" si="267"/>
        <v>49.71200000422607</v>
      </c>
      <c r="M352" s="278">
        <f t="shared" si="268"/>
        <v>43.331999998047252</v>
      </c>
      <c r="N352" s="278">
        <f t="shared" si="269"/>
        <v>192.06800000879383</v>
      </c>
    </row>
    <row r="353" spans="1:14">
      <c r="B353" s="278"/>
      <c r="C353" s="260"/>
      <c r="D353" s="278"/>
      <c r="E353" s="260"/>
      <c r="F353" s="278"/>
      <c r="G353" s="260"/>
      <c r="H353" s="278"/>
      <c r="I353" s="260"/>
    </row>
    <row r="354" spans="1:14" ht="12.95">
      <c r="A354" s="268">
        <f>$A$18</f>
        <v>2035</v>
      </c>
      <c r="B354" s="278"/>
      <c r="C354" s="260"/>
      <c r="D354" s="278"/>
      <c r="E354" s="260"/>
      <c r="F354" s="278"/>
      <c r="G354" s="260"/>
      <c r="H354" s="278"/>
      <c r="I354" s="260"/>
      <c r="K354" s="262" t="str">
        <f>CONCATENATE(A344," - ",A354)</f>
        <v>2020 - 2035</v>
      </c>
    </row>
    <row r="355" spans="1:14">
      <c r="A355" s="258" t="s">
        <v>144</v>
      </c>
      <c r="B355" s="278">
        <f>'Ind T6'!V425</f>
        <v>1159.7379999952245</v>
      </c>
      <c r="C355" s="275" t="str">
        <f>CONCATENATE("(",ROUND((B355/$H357)*100,1),")")</f>
        <v>(36.9)</v>
      </c>
      <c r="D355" s="278">
        <f>'Ind T6'!W425</f>
        <v>194.27399999929779</v>
      </c>
      <c r="E355" s="275" t="str">
        <f>CONCATENATE("(",ROUND((D355/$H357)*100,1),")")</f>
        <v>(6.2)</v>
      </c>
      <c r="F355" s="278">
        <f>'Ind T6'!X425</f>
        <v>299.80600001550386</v>
      </c>
      <c r="G355" s="275" t="str">
        <f>CONCATENATE("(",ROUND((F355/$H357)*100,1),")")</f>
        <v>(9.5)</v>
      </c>
      <c r="H355" s="278">
        <f>SUM(B355,D355,F355)</f>
        <v>1653.818000010026</v>
      </c>
      <c r="I355" s="275" t="str">
        <f>CONCATENATE("(",ROUND((H355/$H357)*100,1),")")</f>
        <v>(52.7)</v>
      </c>
      <c r="K355" s="278">
        <f>B355-B345</f>
        <v>76.374000003245783</v>
      </c>
      <c r="L355" s="278">
        <f>D355-D345</f>
        <v>30.225999999113043</v>
      </c>
      <c r="M355" s="278">
        <f>F355-F345</f>
        <v>34.683000009240857</v>
      </c>
      <c r="N355" s="278">
        <f>SUM(K355:M355)</f>
        <v>141.28300001159968</v>
      </c>
    </row>
    <row r="356" spans="1:14">
      <c r="A356" s="258" t="s">
        <v>145</v>
      </c>
      <c r="B356" s="278">
        <f>'Ind T6'!V424</f>
        <v>858.28700002731978</v>
      </c>
      <c r="C356" s="275" t="str">
        <f>CONCATENATE("(",ROUND((B356/$H357)*100,1),")")</f>
        <v>(27.3)</v>
      </c>
      <c r="D356" s="278">
        <f>'Ind T6'!W424</f>
        <v>415.81800000431514</v>
      </c>
      <c r="E356" s="275" t="str">
        <f>CONCATENATE("(",ROUND((D356/$H357)*100,1),")")</f>
        <v>(13.2)</v>
      </c>
      <c r="F356" s="278">
        <f>'Ind T6'!X424</f>
        <v>212.90100000109561</v>
      </c>
      <c r="G356" s="275" t="str">
        <f>CONCATENATE("(",ROUND((F356/$H357)*100,1),")")</f>
        <v>(6.8)</v>
      </c>
      <c r="H356" s="278">
        <f t="shared" ref="H356" si="270">SUM(B356,D356,F356)</f>
        <v>1487.0060000327305</v>
      </c>
      <c r="I356" s="275" t="str">
        <f>CONCATENATE("(",ROUND((H356/$H357)*100,1),")")</f>
        <v>(47.3)</v>
      </c>
      <c r="K356" s="278">
        <f t="shared" ref="K356:K357" si="271">B356-B346</f>
        <v>101.05900003491331</v>
      </c>
      <c r="L356" s="278">
        <f t="shared" ref="L356:L357" si="272">D356-D346</f>
        <v>53.132000005032182</v>
      </c>
      <c r="M356" s="278">
        <f t="shared" ref="M356:M357" si="273">F356-F346</f>
        <v>38.185000002661269</v>
      </c>
      <c r="N356" s="278">
        <f t="shared" ref="N356:N357" si="274">SUM(K356:M356)</f>
        <v>192.37600004260676</v>
      </c>
    </row>
    <row r="357" spans="1:14">
      <c r="A357" s="258" t="s">
        <v>146</v>
      </c>
      <c r="B357" s="278">
        <f>SUM(B355:B356)</f>
        <v>2018.0250000225442</v>
      </c>
      <c r="C357" s="275" t="str">
        <f>CONCATENATE("(",ROUND((B357/$H357)*100,1),")")</f>
        <v>(64.3)</v>
      </c>
      <c r="D357" s="278">
        <f>SUM(D355:D356)</f>
        <v>610.09200000361295</v>
      </c>
      <c r="E357" s="275" t="str">
        <f>CONCATENATE("(",ROUND((D357/$H357)*100,1),")")</f>
        <v>(19.4)</v>
      </c>
      <c r="F357" s="278">
        <f>SUM(F355:F356)</f>
        <v>512.70700001659952</v>
      </c>
      <c r="G357" s="275" t="str">
        <f>CONCATENATE("(",ROUND((F357/$H357)*100,1),")")</f>
        <v>(16.3)</v>
      </c>
      <c r="H357" s="278">
        <f>SUM(H355:H356)</f>
        <v>3140.8240000427568</v>
      </c>
      <c r="I357" s="275" t="str">
        <f>CONCATENATE("(",ROUND((H357/$H357)*100,1),")")</f>
        <v>(100)</v>
      </c>
      <c r="K357" s="278">
        <f t="shared" si="271"/>
        <v>177.43300003815898</v>
      </c>
      <c r="L357" s="278">
        <f t="shared" si="272"/>
        <v>83.35800000414531</v>
      </c>
      <c r="M357" s="278">
        <f t="shared" si="273"/>
        <v>72.868000011902154</v>
      </c>
      <c r="N357" s="278">
        <f t="shared" si="274"/>
        <v>333.65900005420644</v>
      </c>
    </row>
    <row r="358" spans="1:14">
      <c r="A358" s="269"/>
      <c r="B358" s="270"/>
      <c r="C358" s="269"/>
      <c r="D358" s="270"/>
      <c r="E358" s="269"/>
      <c r="F358" s="270"/>
      <c r="G358" s="269"/>
      <c r="H358" s="270"/>
      <c r="I358" s="269"/>
      <c r="J358" s="269"/>
      <c r="K358" s="270"/>
      <c r="L358" s="270"/>
      <c r="M358" s="270"/>
      <c r="N358" s="270"/>
    </row>
    <row r="361" spans="1:14" ht="12.95">
      <c r="C361" s="158"/>
      <c r="E361" s="158"/>
      <c r="G361" s="158"/>
      <c r="I361" s="158"/>
    </row>
    <row r="362" spans="1:14" ht="12.95">
      <c r="A362" s="264"/>
      <c r="B362" s="265" t="s">
        <v>133</v>
      </c>
      <c r="C362" s="264"/>
      <c r="D362" s="265"/>
      <c r="E362" s="264"/>
      <c r="F362" s="265" t="str">
        <f>name!B20</f>
        <v>Support services</v>
      </c>
      <c r="G362" s="264"/>
      <c r="H362" s="267"/>
      <c r="I362" s="264"/>
      <c r="J362" s="266"/>
      <c r="K362" s="267"/>
      <c r="L362" s="267"/>
      <c r="M362" s="267"/>
      <c r="N362" s="267"/>
    </row>
    <row r="363" spans="1:14" ht="12.95">
      <c r="N363" s="263" t="s">
        <v>134</v>
      </c>
    </row>
    <row r="364" spans="1:14" ht="12.95">
      <c r="A364" s="158" t="s">
        <v>135</v>
      </c>
      <c r="B364" s="364" t="s">
        <v>136</v>
      </c>
      <c r="C364" s="364"/>
      <c r="D364" s="364" t="s">
        <v>137</v>
      </c>
      <c r="E364" s="364"/>
      <c r="F364" s="364" t="s">
        <v>138</v>
      </c>
      <c r="G364" s="364"/>
      <c r="H364" s="364" t="s">
        <v>119</v>
      </c>
      <c r="I364" s="364"/>
      <c r="J364" s="158"/>
      <c r="K364" s="273" t="s">
        <v>139</v>
      </c>
      <c r="L364" s="273" t="s">
        <v>140</v>
      </c>
      <c r="M364" s="273" t="s">
        <v>141</v>
      </c>
      <c r="N364" s="273" t="s">
        <v>119</v>
      </c>
    </row>
    <row r="365" spans="1:14" ht="12.95">
      <c r="A365" s="268">
        <f>$A$8</f>
        <v>2020</v>
      </c>
      <c r="B365" s="263" t="s">
        <v>142</v>
      </c>
      <c r="C365" s="18" t="s">
        <v>143</v>
      </c>
      <c r="D365" s="263" t="s">
        <v>142</v>
      </c>
      <c r="E365" s="18" t="s">
        <v>143</v>
      </c>
      <c r="F365" s="263" t="s">
        <v>142</v>
      </c>
      <c r="G365" s="18" t="s">
        <v>143</v>
      </c>
      <c r="H365" s="263" t="s">
        <v>142</v>
      </c>
      <c r="I365" s="18" t="s">
        <v>143</v>
      </c>
      <c r="J365" s="158"/>
      <c r="K365" s="262" t="str">
        <f>CONCATENATE(A365," - ",A370)</f>
        <v>2020 - 2025</v>
      </c>
      <c r="L365" s="261"/>
      <c r="M365" s="261"/>
    </row>
    <row r="366" spans="1:14">
      <c r="A366" s="258" t="s">
        <v>144</v>
      </c>
      <c r="B366" s="278">
        <f>'Ind T6'!L465</f>
        <v>921.97000000024809</v>
      </c>
      <c r="C366" s="275" t="str">
        <f>CONCATENATE("(",ROUND((B366/$H368)*100,1),")")</f>
        <v>(37.1)</v>
      </c>
      <c r="D366" s="278">
        <f>'Ind T6'!M465</f>
        <v>339.73600000021247</v>
      </c>
      <c r="E366" s="275" t="str">
        <f>CONCATENATE("(",ROUND((D366/$H368)*100,1),")")</f>
        <v>(13.7)</v>
      </c>
      <c r="F366" s="278">
        <f>'Ind T6'!N465</f>
        <v>136.17600000185493</v>
      </c>
      <c r="G366" s="275" t="str">
        <f>CONCATENATE("(",ROUND((F366/$H368)*100,1),")")</f>
        <v>(5.5)</v>
      </c>
      <c r="H366" s="278">
        <f>SUM(B366,D366,F366)</f>
        <v>1397.8820000023154</v>
      </c>
      <c r="I366" s="275" t="str">
        <f>CONCATENATE("(",ROUND((H366/$H368)*100,1),")")</f>
        <v>(56.3)</v>
      </c>
      <c r="K366" s="278">
        <f>B371-B366</f>
        <v>55.762000000233797</v>
      </c>
      <c r="L366" s="278">
        <f>D371-D366</f>
        <v>19.771000001814002</v>
      </c>
      <c r="M366" s="278">
        <f>F371-F366</f>
        <v>6.5160000025865088</v>
      </c>
      <c r="N366" s="278">
        <f>SUM(K366:M366)</f>
        <v>82.049000004634308</v>
      </c>
    </row>
    <row r="367" spans="1:14">
      <c r="A367" s="258" t="s">
        <v>145</v>
      </c>
      <c r="B367" s="278">
        <f>'Ind T6'!L464</f>
        <v>499.95899999828441</v>
      </c>
      <c r="C367" s="275" t="str">
        <f>CONCATENATE("(",ROUND((B367/$H368)*100,1),")")</f>
        <v>(20.1)</v>
      </c>
      <c r="D367" s="278">
        <f>'Ind T6'!M464</f>
        <v>450.16300000231786</v>
      </c>
      <c r="E367" s="275" t="str">
        <f>CONCATENATE("(",ROUND((D367/$H368)*100,1),")")</f>
        <v>(18.1)</v>
      </c>
      <c r="F367" s="278">
        <f>'Ind T6'!N464</f>
        <v>135.23599999720966</v>
      </c>
      <c r="G367" s="275" t="str">
        <f>CONCATENATE("(",ROUND((F367/$H368)*100,1),")")</f>
        <v>(5.4)</v>
      </c>
      <c r="H367" s="278">
        <f t="shared" ref="H367" si="275">SUM(B367,D367,F367)</f>
        <v>1085.3579999978119</v>
      </c>
      <c r="I367" s="275" t="str">
        <f>CONCATENATE("(",ROUND((H367/$H368)*100,1),")")</f>
        <v>(43.7)</v>
      </c>
      <c r="K367" s="278">
        <f t="shared" ref="K367:K368" si="276">B372-B367</f>
        <v>39.964000007949608</v>
      </c>
      <c r="L367" s="278">
        <f t="shared" ref="L367:L368" si="277">D372-D367</f>
        <v>18.613000000632212</v>
      </c>
      <c r="M367" s="278">
        <f t="shared" ref="M367:M368" si="278">F372-F367</f>
        <v>6.5370000024497585</v>
      </c>
      <c r="N367" s="278">
        <f t="shared" ref="N367:N368" si="279">SUM(K367:M367)</f>
        <v>65.114000011031578</v>
      </c>
    </row>
    <row r="368" spans="1:14">
      <c r="A368" s="258" t="s">
        <v>146</v>
      </c>
      <c r="B368" s="278">
        <f>SUM(B366:B367)</f>
        <v>1421.9289999985326</v>
      </c>
      <c r="C368" s="275" t="str">
        <f>CONCATENATE("(",ROUND((B368/$H368)*100,1),")")</f>
        <v>(57.3)</v>
      </c>
      <c r="D368" s="278">
        <f>SUM(D366:D367)</f>
        <v>789.89900000253033</v>
      </c>
      <c r="E368" s="275" t="str">
        <f>CONCATENATE("(",ROUND((D368/$H368)*100,1),")")</f>
        <v>(31.8)</v>
      </c>
      <c r="F368" s="278">
        <f>SUM(F366:F367)</f>
        <v>271.41199999906462</v>
      </c>
      <c r="G368" s="275" t="str">
        <f>CONCATENATE("(",ROUND((F368/$H368)*100,1),")")</f>
        <v>(10.9)</v>
      </c>
      <c r="H368" s="278">
        <f>SUM(H366:H367)</f>
        <v>2483.2400000001271</v>
      </c>
      <c r="I368" s="275" t="str">
        <f>CONCATENATE("(",ROUND((H368/$H368)*100,1),")")</f>
        <v>(100)</v>
      </c>
      <c r="K368" s="278">
        <f t="shared" si="276"/>
        <v>95.726000008183291</v>
      </c>
      <c r="L368" s="278">
        <f t="shared" si="277"/>
        <v>38.384000002446214</v>
      </c>
      <c r="M368" s="278">
        <f t="shared" si="278"/>
        <v>13.05300000503621</v>
      </c>
      <c r="N368" s="278">
        <f t="shared" si="279"/>
        <v>147.16300001566572</v>
      </c>
    </row>
    <row r="369" spans="1:14">
      <c r="B369" s="278"/>
      <c r="C369" s="260"/>
      <c r="D369" s="278"/>
      <c r="E369" s="260"/>
      <c r="F369" s="278"/>
      <c r="G369" s="260"/>
      <c r="H369" s="278"/>
      <c r="I369" s="260"/>
    </row>
    <row r="370" spans="1:14" ht="12.95">
      <c r="A370" s="268">
        <f>$A$13</f>
        <v>2025</v>
      </c>
      <c r="B370" s="278"/>
      <c r="C370" s="260"/>
      <c r="D370" s="278"/>
      <c r="E370" s="260"/>
      <c r="F370" s="278"/>
      <c r="G370" s="260"/>
      <c r="H370" s="278"/>
      <c r="I370" s="260"/>
      <c r="K370" s="262" t="str">
        <f>CONCATENATE(A370," - ",A375)</f>
        <v>2025 - 2035</v>
      </c>
    </row>
    <row r="371" spans="1:14">
      <c r="A371" s="258" t="s">
        <v>144</v>
      </c>
      <c r="B371" s="278">
        <f>'Ind T6'!Q465</f>
        <v>977.73200000048189</v>
      </c>
      <c r="C371" s="275" t="str">
        <f>CONCATENATE("(",ROUND((B371/$H373)*100,1),")")</f>
        <v>(37.2)</v>
      </c>
      <c r="D371" s="278">
        <f>'Ind T6'!R465</f>
        <v>359.50700000202647</v>
      </c>
      <c r="E371" s="275" t="str">
        <f>CONCATENATE("(",ROUND((D371/$H373)*100,1),")")</f>
        <v>(13.7)</v>
      </c>
      <c r="F371" s="278">
        <f>'Ind T6'!S465</f>
        <v>142.69200000444144</v>
      </c>
      <c r="G371" s="275" t="str">
        <f>CONCATENATE("(",ROUND((F371/$H373)*100,1),")")</f>
        <v>(5.4)</v>
      </c>
      <c r="H371" s="278">
        <f>SUM(B371,D371,F371)</f>
        <v>1479.9310000069499</v>
      </c>
      <c r="I371" s="275" t="str">
        <f>CONCATENATE("(",ROUND((H371/$H373)*100,1),")")</f>
        <v>(56.3)</v>
      </c>
      <c r="K371" s="278">
        <f>B376-B371</f>
        <v>68.885999999397995</v>
      </c>
      <c r="L371" s="278">
        <f>D376-D371</f>
        <v>22.073000000545619</v>
      </c>
      <c r="M371" s="278">
        <f>F376-F371</f>
        <v>11.434999999631401</v>
      </c>
      <c r="N371" s="278">
        <f>SUM(K371:M371)</f>
        <v>102.39399999957502</v>
      </c>
    </row>
    <row r="372" spans="1:14">
      <c r="A372" s="258" t="s">
        <v>145</v>
      </c>
      <c r="B372" s="278">
        <f>'Ind T6'!Q464</f>
        <v>539.92300000623402</v>
      </c>
      <c r="C372" s="275" t="str">
        <f>CONCATENATE("(",ROUND((B372/$H373)*100,1),")")</f>
        <v>(20.5)</v>
      </c>
      <c r="D372" s="278">
        <f>'Ind T6'!R464</f>
        <v>468.77600000295007</v>
      </c>
      <c r="E372" s="275" t="str">
        <f>CONCATENATE("(",ROUND((D372/$H373)*100,1),")")</f>
        <v>(17.8)</v>
      </c>
      <c r="F372" s="278">
        <f>'Ind T6'!S464</f>
        <v>141.77299999965942</v>
      </c>
      <c r="G372" s="275" t="str">
        <f>CONCATENATE("(",ROUND((F372/$H373)*100,1),")")</f>
        <v>(5.4)</v>
      </c>
      <c r="H372" s="278">
        <f t="shared" ref="H372" si="280">SUM(B372,D372,F372)</f>
        <v>1150.4720000088437</v>
      </c>
      <c r="I372" s="275" t="str">
        <f>CONCATENATE("(",ROUND((H372/$H373)*100,1),")")</f>
        <v>(43.7)</v>
      </c>
      <c r="K372" s="278">
        <f t="shared" ref="K372:K373" si="281">B377-B372</f>
        <v>51.061999998699093</v>
      </c>
      <c r="L372" s="278">
        <f t="shared" ref="L372:L373" si="282">D377-D372</f>
        <v>16.443000002153326</v>
      </c>
      <c r="M372" s="278">
        <f t="shared" ref="M372:M373" si="283">F377-F372</f>
        <v>12.160000000214893</v>
      </c>
      <c r="N372" s="278">
        <f t="shared" ref="N372:N373" si="284">SUM(K372:M372)</f>
        <v>79.665000001067312</v>
      </c>
    </row>
    <row r="373" spans="1:14">
      <c r="A373" s="258" t="s">
        <v>146</v>
      </c>
      <c r="B373" s="278">
        <f>SUM(B371:B372)</f>
        <v>1517.6550000067159</v>
      </c>
      <c r="C373" s="275" t="str">
        <f>CONCATENATE("(",ROUND((B373/$H373)*100,1),")")</f>
        <v>(57.7)</v>
      </c>
      <c r="D373" s="278">
        <f>SUM(D371:D372)</f>
        <v>828.28300000497654</v>
      </c>
      <c r="E373" s="275" t="str">
        <f>CONCATENATE("(",ROUND((D373/$H373)*100,1),")")</f>
        <v>(31.5)</v>
      </c>
      <c r="F373" s="278">
        <f>SUM(F371:F372)</f>
        <v>284.46500000410083</v>
      </c>
      <c r="G373" s="275" t="str">
        <f>CONCATENATE("(",ROUND((F373/$H373)*100,1),")")</f>
        <v>(10.8)</v>
      </c>
      <c r="H373" s="278">
        <f>SUM(H371:H372)</f>
        <v>2630.4030000157936</v>
      </c>
      <c r="I373" s="275" t="str">
        <f>CONCATENATE("(",ROUND((H373/$H373)*100,1),")")</f>
        <v>(100)</v>
      </c>
      <c r="K373" s="278">
        <f t="shared" si="281"/>
        <v>119.9479999980972</v>
      </c>
      <c r="L373" s="278">
        <f t="shared" si="282"/>
        <v>38.516000002698888</v>
      </c>
      <c r="M373" s="278">
        <f t="shared" si="283"/>
        <v>23.594999999846323</v>
      </c>
      <c r="N373" s="278">
        <f t="shared" si="284"/>
        <v>182.05900000064241</v>
      </c>
    </row>
    <row r="374" spans="1:14">
      <c r="B374" s="278"/>
      <c r="C374" s="260"/>
      <c r="D374" s="278"/>
      <c r="E374" s="260"/>
      <c r="F374" s="278"/>
      <c r="G374" s="260"/>
      <c r="H374" s="278"/>
      <c r="I374" s="260"/>
    </row>
    <row r="375" spans="1:14" ht="12.95">
      <c r="A375" s="268">
        <f>$A$18</f>
        <v>2035</v>
      </c>
      <c r="B375" s="278"/>
      <c r="C375" s="260"/>
      <c r="D375" s="278"/>
      <c r="E375" s="260"/>
      <c r="F375" s="278"/>
      <c r="G375" s="260"/>
      <c r="H375" s="278"/>
      <c r="I375" s="260"/>
      <c r="K375" s="262" t="str">
        <f>CONCATENATE(A365," - ",A375)</f>
        <v>2020 - 2035</v>
      </c>
    </row>
    <row r="376" spans="1:14">
      <c r="A376" s="258" t="s">
        <v>144</v>
      </c>
      <c r="B376" s="278">
        <f>'Ind T6'!V465</f>
        <v>1046.6179999998799</v>
      </c>
      <c r="C376" s="275" t="str">
        <f>CONCATENATE("(",ROUND((B376/$H378)*100,1),")")</f>
        <v>(37.2)</v>
      </c>
      <c r="D376" s="278">
        <f>'Ind T6'!W465</f>
        <v>381.58000000257209</v>
      </c>
      <c r="E376" s="275" t="str">
        <f>CONCATENATE("(",ROUND((D376/$H378)*100,1),")")</f>
        <v>(13.6)</v>
      </c>
      <c r="F376" s="278">
        <f>'Ind T6'!X465</f>
        <v>154.12700000407284</v>
      </c>
      <c r="G376" s="275" t="str">
        <f>CONCATENATE("(",ROUND((F376/$H378)*100,1),")")</f>
        <v>(5.5)</v>
      </c>
      <c r="H376" s="278">
        <f>SUM(B376,D376,F376)</f>
        <v>1582.3250000065248</v>
      </c>
      <c r="I376" s="275" t="str">
        <f>CONCATENATE("(",ROUND((H376/$H378)*100,1),")")</f>
        <v>(56.3)</v>
      </c>
      <c r="K376" s="278">
        <f>B376-B366</f>
        <v>124.64799999963179</v>
      </c>
      <c r="L376" s="278">
        <f>D376-D366</f>
        <v>41.844000002359621</v>
      </c>
      <c r="M376" s="278">
        <f>F376-F366</f>
        <v>17.95100000221791</v>
      </c>
      <c r="N376" s="278">
        <f>SUM(K376:M376)</f>
        <v>184.44300000420932</v>
      </c>
    </row>
    <row r="377" spans="1:14">
      <c r="A377" s="258" t="s">
        <v>145</v>
      </c>
      <c r="B377" s="278">
        <f>'Ind T6'!V464</f>
        <v>590.98500000493311</v>
      </c>
      <c r="C377" s="275" t="str">
        <f>CONCATENATE("(",ROUND((B377/$H378)*100,1),")")</f>
        <v>(21)</v>
      </c>
      <c r="D377" s="278">
        <f>'Ind T6'!W464</f>
        <v>485.2190000051034</v>
      </c>
      <c r="E377" s="275" t="str">
        <f>CONCATENATE("(",ROUND((D377/$H378)*100,1),")")</f>
        <v>(17.3)</v>
      </c>
      <c r="F377" s="278">
        <f>'Ind T6'!X464</f>
        <v>153.93299999987431</v>
      </c>
      <c r="G377" s="275" t="str">
        <f>CONCATENATE("(",ROUND((F377/$H378)*100,1),")")</f>
        <v>(5.5)</v>
      </c>
      <c r="H377" s="278">
        <f t="shared" ref="H377" si="285">SUM(B377,D377,F377)</f>
        <v>1230.1370000099107</v>
      </c>
      <c r="I377" s="275" t="str">
        <f>CONCATENATE("(",ROUND((H377/$H378)*100,1),")")</f>
        <v>(43.7)</v>
      </c>
      <c r="K377" s="278">
        <f t="shared" ref="K377:K378" si="286">B377-B367</f>
        <v>91.026000006648701</v>
      </c>
      <c r="L377" s="278">
        <f t="shared" ref="L377:L378" si="287">D377-D367</f>
        <v>35.056000002785538</v>
      </c>
      <c r="M377" s="278">
        <f t="shared" ref="M377:M378" si="288">F377-F367</f>
        <v>18.697000002664652</v>
      </c>
      <c r="N377" s="278">
        <f t="shared" ref="N377:N378" si="289">SUM(K377:M377)</f>
        <v>144.77900001209889</v>
      </c>
    </row>
    <row r="378" spans="1:14">
      <c r="A378" s="258" t="s">
        <v>146</v>
      </c>
      <c r="B378" s="278">
        <f>SUM(B376:B377)</f>
        <v>1637.6030000048131</v>
      </c>
      <c r="C378" s="275" t="str">
        <f>CONCATENATE("(",ROUND((B378/$H378)*100,1),")")</f>
        <v>(58.2)</v>
      </c>
      <c r="D378" s="278">
        <f>SUM(D376:D377)</f>
        <v>866.79900000767543</v>
      </c>
      <c r="E378" s="275" t="str">
        <f>CONCATENATE("(",ROUND((D378/$H378)*100,1),")")</f>
        <v>(30.8)</v>
      </c>
      <c r="F378" s="278">
        <f>SUM(F376:F377)</f>
        <v>308.06000000394715</v>
      </c>
      <c r="G378" s="275" t="str">
        <f>CONCATENATE("(",ROUND((F378/$H378)*100,1),")")</f>
        <v>(11)</v>
      </c>
      <c r="H378" s="278">
        <f>SUM(H376:H377)</f>
        <v>2812.4620000164355</v>
      </c>
      <c r="I378" s="275" t="str">
        <f>CONCATENATE("(",ROUND((H378/$H378)*100,1),")")</f>
        <v>(100)</v>
      </c>
      <c r="K378" s="278">
        <f t="shared" si="286"/>
        <v>215.67400000628049</v>
      </c>
      <c r="L378" s="278">
        <f t="shared" si="287"/>
        <v>76.900000005145102</v>
      </c>
      <c r="M378" s="278">
        <f t="shared" si="288"/>
        <v>36.648000004882533</v>
      </c>
      <c r="N378" s="278">
        <f t="shared" si="289"/>
        <v>329.22200001630813</v>
      </c>
    </row>
    <row r="379" spans="1:14">
      <c r="A379" s="269"/>
      <c r="B379" s="270"/>
      <c r="C379" s="269"/>
      <c r="D379" s="270"/>
      <c r="E379" s="269"/>
      <c r="F379" s="270"/>
      <c r="G379" s="269"/>
      <c r="H379" s="270"/>
      <c r="I379" s="269"/>
      <c r="J379" s="269"/>
      <c r="K379" s="270"/>
      <c r="L379" s="270"/>
      <c r="M379" s="270"/>
      <c r="N379" s="270"/>
    </row>
    <row r="383" spans="1:14" ht="12.95">
      <c r="A383" s="264"/>
      <c r="B383" s="265" t="s">
        <v>133</v>
      </c>
      <c r="C383" s="264"/>
      <c r="D383" s="265"/>
      <c r="E383" s="264"/>
      <c r="F383" s="265" t="str">
        <f>name!B21</f>
        <v>Public admin. and defence</v>
      </c>
      <c r="G383" s="264"/>
      <c r="H383" s="267"/>
      <c r="I383" s="264"/>
      <c r="J383" s="266"/>
      <c r="K383" s="267"/>
      <c r="L383" s="267"/>
      <c r="M383" s="267"/>
      <c r="N383" s="267"/>
    </row>
    <row r="384" spans="1:14" ht="12.95">
      <c r="N384" s="263" t="s">
        <v>134</v>
      </c>
    </row>
    <row r="385" spans="1:14" ht="12.95">
      <c r="A385" s="158" t="s">
        <v>135</v>
      </c>
      <c r="B385" s="364" t="s">
        <v>136</v>
      </c>
      <c r="C385" s="364"/>
      <c r="D385" s="364" t="s">
        <v>137</v>
      </c>
      <c r="E385" s="364"/>
      <c r="F385" s="364" t="s">
        <v>138</v>
      </c>
      <c r="G385" s="364"/>
      <c r="H385" s="364" t="s">
        <v>119</v>
      </c>
      <c r="I385" s="364"/>
      <c r="J385" s="158"/>
      <c r="K385" s="273" t="s">
        <v>139</v>
      </c>
      <c r="L385" s="273" t="s">
        <v>140</v>
      </c>
      <c r="M385" s="273" t="s">
        <v>141</v>
      </c>
      <c r="N385" s="273" t="s">
        <v>119</v>
      </c>
    </row>
    <row r="386" spans="1:14" ht="12.95">
      <c r="A386" s="268">
        <f>$A$8</f>
        <v>2020</v>
      </c>
      <c r="B386" s="263" t="s">
        <v>142</v>
      </c>
      <c r="C386" s="18" t="s">
        <v>143</v>
      </c>
      <c r="D386" s="263" t="s">
        <v>142</v>
      </c>
      <c r="E386" s="18" t="s">
        <v>143</v>
      </c>
      <c r="F386" s="263" t="s">
        <v>142</v>
      </c>
      <c r="G386" s="18" t="s">
        <v>143</v>
      </c>
      <c r="H386" s="263" t="s">
        <v>142</v>
      </c>
      <c r="I386" s="18" t="s">
        <v>143</v>
      </c>
      <c r="J386" s="158"/>
      <c r="K386" s="262" t="str">
        <f>CONCATENATE(A386," - ",A391)</f>
        <v>2020 - 2025</v>
      </c>
      <c r="L386" s="261"/>
      <c r="M386" s="261"/>
    </row>
    <row r="387" spans="1:14">
      <c r="A387" s="258" t="s">
        <v>144</v>
      </c>
      <c r="B387" s="278">
        <f>'Ind T6'!L475</f>
        <v>403.1009999986843</v>
      </c>
      <c r="C387" s="275" t="str">
        <f>CONCATENATE("(",ROUND((B387/$H389)*100,1),")")</f>
        <v>(36.4)</v>
      </c>
      <c r="D387" s="278">
        <f>'Ind T6'!M475</f>
        <v>52.859999999866311</v>
      </c>
      <c r="E387" s="275" t="str">
        <f>CONCATENATE("(",ROUND((D387/$H389)*100,1),")")</f>
        <v>(4.8)</v>
      </c>
      <c r="F387" s="278">
        <f>'Ind T6'!N475</f>
        <v>21.307000000310317</v>
      </c>
      <c r="G387" s="275" t="str">
        <f>CONCATENATE("(",ROUND((F387/$H389)*100,1),")")</f>
        <v>(1.9)</v>
      </c>
      <c r="H387" s="278">
        <f>SUM(B387,D387,F387)</f>
        <v>477.26799999886094</v>
      </c>
      <c r="I387" s="275" t="str">
        <f>CONCATENATE("(",ROUND((H387/$H389)*100,1),")")</f>
        <v>(43.1)</v>
      </c>
      <c r="K387" s="278">
        <f>B392-B387</f>
        <v>4.1360000015861829</v>
      </c>
      <c r="L387" s="278">
        <f>D392-D387</f>
        <v>4.6699999999304964</v>
      </c>
      <c r="M387" s="278">
        <f>F392-F387</f>
        <v>0.62900000076488993</v>
      </c>
      <c r="N387" s="278">
        <f>SUM(K387:M387)</f>
        <v>9.4350000022815692</v>
      </c>
    </row>
    <row r="388" spans="1:14">
      <c r="A388" s="258" t="s">
        <v>145</v>
      </c>
      <c r="B388" s="278">
        <f>'Ind T6'!L474</f>
        <v>343.07499999887244</v>
      </c>
      <c r="C388" s="275" t="str">
        <f>CONCATENATE("(",ROUND((B388/$H389)*100,1),")")</f>
        <v>(31)</v>
      </c>
      <c r="D388" s="278">
        <f>'Ind T6'!M474</f>
        <v>260.50599999887658</v>
      </c>
      <c r="E388" s="275" t="str">
        <f>CONCATENATE("(",ROUND((D388/$H389)*100,1),")")</f>
        <v>(23.5)</v>
      </c>
      <c r="F388" s="278">
        <f>'Ind T6'!N474</f>
        <v>25.584000000081719</v>
      </c>
      <c r="G388" s="275" t="str">
        <f>CONCATENATE("(",ROUND((F388/$H389)*100,1),")")</f>
        <v>(2.3)</v>
      </c>
      <c r="H388" s="278">
        <f t="shared" ref="H388" si="290">SUM(B388,D388,F388)</f>
        <v>629.16499999783071</v>
      </c>
      <c r="I388" s="275" t="str">
        <f>CONCATENATE("(",ROUND((H388/$H389)*100,1),")")</f>
        <v>(56.9)</v>
      </c>
      <c r="K388" s="278">
        <f t="shared" ref="K388:K389" si="291">B393-B388</f>
        <v>10.417000003126645</v>
      </c>
      <c r="L388" s="278">
        <f t="shared" ref="L388:L389" si="292">D393-D388</f>
        <v>8.5389999995865082</v>
      </c>
      <c r="M388" s="278">
        <f t="shared" ref="M388:M389" si="293">F393-F388</f>
        <v>0.74899999990869048</v>
      </c>
      <c r="N388" s="278">
        <f t="shared" ref="N388:N389" si="294">SUM(K388:M388)</f>
        <v>19.705000002621844</v>
      </c>
    </row>
    <row r="389" spans="1:14">
      <c r="A389" s="258" t="s">
        <v>146</v>
      </c>
      <c r="B389" s="278">
        <f>SUM(B387:B388)</f>
        <v>746.1759999975568</v>
      </c>
      <c r="C389" s="275" t="str">
        <f>CONCATENATE("(",ROUND((B389/$H389)*100,1),")")</f>
        <v>(67.4)</v>
      </c>
      <c r="D389" s="278">
        <f>SUM(D387:D388)</f>
        <v>313.36599999874289</v>
      </c>
      <c r="E389" s="275" t="str">
        <f>CONCATENATE("(",ROUND((D389/$H389)*100,1),")")</f>
        <v>(28.3)</v>
      </c>
      <c r="F389" s="278">
        <f>SUM(F387:F388)</f>
        <v>46.89100000039204</v>
      </c>
      <c r="G389" s="275" t="str">
        <f>CONCATENATE("(",ROUND((F389/$H389)*100,1),")")</f>
        <v>(4.2)</v>
      </c>
      <c r="H389" s="278">
        <f>SUM(H387:H388)</f>
        <v>1106.4329999966917</v>
      </c>
      <c r="I389" s="275" t="str">
        <f>CONCATENATE("(",ROUND((H389/$H389)*100,1),")")</f>
        <v>(100)</v>
      </c>
      <c r="K389" s="278">
        <f t="shared" si="291"/>
        <v>14.553000004712771</v>
      </c>
      <c r="L389" s="278">
        <f t="shared" si="292"/>
        <v>13.208999999517005</v>
      </c>
      <c r="M389" s="278">
        <f t="shared" si="293"/>
        <v>1.3780000006735804</v>
      </c>
      <c r="N389" s="278">
        <f t="shared" si="294"/>
        <v>29.140000004903357</v>
      </c>
    </row>
    <row r="390" spans="1:14">
      <c r="B390" s="278"/>
      <c r="C390" s="260"/>
      <c r="D390" s="278"/>
      <c r="E390" s="260"/>
      <c r="F390" s="278"/>
      <c r="G390" s="260"/>
      <c r="H390" s="278"/>
      <c r="I390" s="260"/>
    </row>
    <row r="391" spans="1:14" ht="12.95">
      <c r="A391" s="268">
        <f>$A$13</f>
        <v>2025</v>
      </c>
      <c r="B391" s="278"/>
      <c r="C391" s="260"/>
      <c r="D391" s="278"/>
      <c r="E391" s="260"/>
      <c r="F391" s="278"/>
      <c r="G391" s="260"/>
      <c r="H391" s="278"/>
      <c r="I391" s="260"/>
      <c r="K391" s="262" t="str">
        <f>CONCATENATE(A391," - ",A396)</f>
        <v>2025 - 2035</v>
      </c>
    </row>
    <row r="392" spans="1:14">
      <c r="A392" s="258" t="s">
        <v>144</v>
      </c>
      <c r="B392" s="278">
        <f>'Ind T6'!Q475</f>
        <v>407.23700000027048</v>
      </c>
      <c r="C392" s="275" t="str">
        <f>CONCATENATE("(",ROUND((B392/$H394)*100,1),")")</f>
        <v>(35.9)</v>
      </c>
      <c r="D392" s="278">
        <f>'Ind T6'!R475</f>
        <v>57.529999999796807</v>
      </c>
      <c r="E392" s="275" t="str">
        <f>CONCATENATE("(",ROUND((D392/$H394)*100,1),")")</f>
        <v>(5.1)</v>
      </c>
      <c r="F392" s="278">
        <f>'Ind T6'!S475</f>
        <v>21.936000001075207</v>
      </c>
      <c r="G392" s="275" t="str">
        <f>CONCATENATE("(",ROUND((F392/$H394)*100,1),")")</f>
        <v>(1.9)</v>
      </c>
      <c r="H392" s="278">
        <f>SUM(B392,D392,F392)</f>
        <v>486.70300000114253</v>
      </c>
      <c r="I392" s="275" t="str">
        <f>CONCATENATE("(",ROUND((H392/$H394)*100,1),")")</f>
        <v>(42.9)</v>
      </c>
      <c r="K392" s="278">
        <f>B397-B392</f>
        <v>-5.6430000002553129</v>
      </c>
      <c r="L392" s="278">
        <f>D397-D392</f>
        <v>7.8990000000178284</v>
      </c>
      <c r="M392" s="278">
        <f>F397-F392</f>
        <v>0.75099999984958643</v>
      </c>
      <c r="N392" s="278">
        <f>SUM(K392:M392)</f>
        <v>3.006999999612102</v>
      </c>
    </row>
    <row r="393" spans="1:14">
      <c r="A393" s="258" t="s">
        <v>145</v>
      </c>
      <c r="B393" s="278">
        <f>'Ind T6'!Q474</f>
        <v>353.49200000199909</v>
      </c>
      <c r="C393" s="275" t="str">
        <f>CONCATENATE("(",ROUND((B393/$H394)*100,1),")")</f>
        <v>(31.1)</v>
      </c>
      <c r="D393" s="278">
        <f>'Ind T6'!R474</f>
        <v>269.04499999846308</v>
      </c>
      <c r="E393" s="275" t="str">
        <f>CONCATENATE("(",ROUND((D393/$H394)*100,1),")")</f>
        <v>(23.7)</v>
      </c>
      <c r="F393" s="278">
        <f>'Ind T6'!S474</f>
        <v>26.33299999999041</v>
      </c>
      <c r="G393" s="275" t="str">
        <f>CONCATENATE("(",ROUND((F393/$H394)*100,1),")")</f>
        <v>(2.3)</v>
      </c>
      <c r="H393" s="278">
        <f t="shared" ref="H393" si="295">SUM(B393,D393,F393)</f>
        <v>648.87000000045259</v>
      </c>
      <c r="I393" s="275" t="str">
        <f>CONCATENATE("(",ROUND((H393/$H394)*100,1),")")</f>
        <v>(57.1)</v>
      </c>
      <c r="K393" s="278">
        <f t="shared" ref="K393:K394" si="296">B398-B393</f>
        <v>10.033000001158257</v>
      </c>
      <c r="L393" s="278">
        <f t="shared" ref="L393:L394" si="297">D398-D393</f>
        <v>8.5880000011214292</v>
      </c>
      <c r="M393" s="278">
        <f t="shared" ref="M393:M394" si="298">F398-F393</f>
        <v>0.84700000004374232</v>
      </c>
      <c r="N393" s="278">
        <f t="shared" ref="N393:N394" si="299">SUM(K393:M393)</f>
        <v>19.468000002323429</v>
      </c>
    </row>
    <row r="394" spans="1:14">
      <c r="A394" s="258" t="s">
        <v>146</v>
      </c>
      <c r="B394" s="278">
        <f>SUM(B392:B393)</f>
        <v>760.72900000226957</v>
      </c>
      <c r="C394" s="275" t="str">
        <f>CONCATENATE("(",ROUND((B394/$H394)*100,1),")")</f>
        <v>(67)</v>
      </c>
      <c r="D394" s="278">
        <f>SUM(D392:D393)</f>
        <v>326.5749999982599</v>
      </c>
      <c r="E394" s="275" t="str">
        <f>CONCATENATE("(",ROUND((D394/$H394)*100,1),")")</f>
        <v>(28.8)</v>
      </c>
      <c r="F394" s="278">
        <f>SUM(F392:F393)</f>
        <v>48.269000001065621</v>
      </c>
      <c r="G394" s="275" t="str">
        <f>CONCATENATE("(",ROUND((F394/$H394)*100,1),")")</f>
        <v>(4.3)</v>
      </c>
      <c r="H394" s="278">
        <f>SUM(H392:H393)</f>
        <v>1135.5730000015951</v>
      </c>
      <c r="I394" s="275" t="str">
        <f>CONCATENATE("(",ROUND((H394/$H394)*100,1),")")</f>
        <v>(100)</v>
      </c>
      <c r="K394" s="278">
        <f t="shared" si="296"/>
        <v>4.3900000009028872</v>
      </c>
      <c r="L394" s="278">
        <f t="shared" si="297"/>
        <v>16.487000001139279</v>
      </c>
      <c r="M394" s="278">
        <f t="shared" si="298"/>
        <v>1.5979999998933252</v>
      </c>
      <c r="N394" s="278">
        <f t="shared" si="299"/>
        <v>22.475000001935491</v>
      </c>
    </row>
    <row r="395" spans="1:14">
      <c r="B395" s="278"/>
      <c r="C395" s="260"/>
      <c r="D395" s="278"/>
      <c r="E395" s="260"/>
      <c r="F395" s="278"/>
      <c r="G395" s="260"/>
      <c r="H395" s="278"/>
      <c r="I395" s="260"/>
    </row>
    <row r="396" spans="1:14" ht="12.95">
      <c r="A396" s="268">
        <f>$A$18</f>
        <v>2035</v>
      </c>
      <c r="B396" s="278"/>
      <c r="C396" s="260"/>
      <c r="D396" s="278"/>
      <c r="E396" s="260"/>
      <c r="F396" s="278"/>
      <c r="G396" s="260"/>
      <c r="H396" s="278"/>
      <c r="I396" s="260"/>
      <c r="K396" s="262" t="str">
        <f>CONCATENATE(A386," - ",A396)</f>
        <v>2020 - 2035</v>
      </c>
    </row>
    <row r="397" spans="1:14">
      <c r="A397" s="258" t="s">
        <v>144</v>
      </c>
      <c r="B397" s="278">
        <f>'Ind T6'!V475</f>
        <v>401.59400000001517</v>
      </c>
      <c r="C397" s="275" t="str">
        <f>CONCATENATE("(",ROUND((B397/$H399)*100,1),")")</f>
        <v>(34.7)</v>
      </c>
      <c r="D397" s="278">
        <f>'Ind T6'!W475</f>
        <v>65.428999999814636</v>
      </c>
      <c r="E397" s="275" t="str">
        <f>CONCATENATE("(",ROUND((D397/$H399)*100,1),")")</f>
        <v>(5.6)</v>
      </c>
      <c r="F397" s="278">
        <f>'Ind T6'!X475</f>
        <v>22.687000000924794</v>
      </c>
      <c r="G397" s="275" t="str">
        <f>CONCATENATE("(",ROUND((F397/$H399)*100,1),")")</f>
        <v>(2)</v>
      </c>
      <c r="H397" s="278">
        <f>SUM(B397,D397,F397)</f>
        <v>489.71000000075463</v>
      </c>
      <c r="I397" s="275" t="str">
        <f>CONCATENATE("(",ROUND((H397/$H399)*100,1),")")</f>
        <v>(42.3)</v>
      </c>
      <c r="K397" s="278">
        <f>B397-B387</f>
        <v>-1.50699999866913</v>
      </c>
      <c r="L397" s="278">
        <f>D397-D387</f>
        <v>12.568999999948325</v>
      </c>
      <c r="M397" s="278">
        <f>F397-F387</f>
        <v>1.3800000006144764</v>
      </c>
      <c r="N397" s="278">
        <f>SUM(K397:M397)</f>
        <v>12.442000001893671</v>
      </c>
    </row>
    <row r="398" spans="1:14">
      <c r="A398" s="258" t="s">
        <v>145</v>
      </c>
      <c r="B398" s="278">
        <f>'Ind T6'!V474</f>
        <v>363.52500000315734</v>
      </c>
      <c r="C398" s="275" t="str">
        <f>CONCATENATE("(",ROUND((B398/$H399)*100,1),")")</f>
        <v>(31.4)</v>
      </c>
      <c r="D398" s="278">
        <f>'Ind T6'!W474</f>
        <v>277.63299999958451</v>
      </c>
      <c r="E398" s="275" t="str">
        <f>CONCATENATE("(",ROUND((D398/$H399)*100,1),")")</f>
        <v>(24)</v>
      </c>
      <c r="F398" s="278">
        <f>'Ind T6'!X474</f>
        <v>27.180000000034152</v>
      </c>
      <c r="G398" s="275" t="str">
        <f>CONCATENATE("(",ROUND((F398/$H399)*100,1),")")</f>
        <v>(2.3)</v>
      </c>
      <c r="H398" s="278">
        <f t="shared" ref="H398" si="300">SUM(B398,D398,F398)</f>
        <v>668.33800000277597</v>
      </c>
      <c r="I398" s="275" t="str">
        <f>CONCATENATE("(",ROUND((H398/$H399)*100,1),")")</f>
        <v>(57.7)</v>
      </c>
      <c r="K398" s="278">
        <f t="shared" ref="K398:K399" si="301">B398-B388</f>
        <v>20.450000004284902</v>
      </c>
      <c r="L398" s="278">
        <f t="shared" ref="L398:L399" si="302">D398-D388</f>
        <v>17.127000000707937</v>
      </c>
      <c r="M398" s="278">
        <f t="shared" ref="M398:M399" si="303">F398-F388</f>
        <v>1.5959999999524328</v>
      </c>
      <c r="N398" s="278">
        <f t="shared" ref="N398:N399" si="304">SUM(K398:M398)</f>
        <v>39.173000004945273</v>
      </c>
    </row>
    <row r="399" spans="1:14">
      <c r="A399" s="258" t="s">
        <v>146</v>
      </c>
      <c r="B399" s="278">
        <f>SUM(B397:B398)</f>
        <v>765.11900000317246</v>
      </c>
      <c r="C399" s="275" t="str">
        <f>CONCATENATE("(",ROUND((B399/$H399)*100,1),")")</f>
        <v>(66.1)</v>
      </c>
      <c r="D399" s="278">
        <f>SUM(D397:D398)</f>
        <v>343.06199999939918</v>
      </c>
      <c r="E399" s="275" t="str">
        <f>CONCATENATE("(",ROUND((D399/$H399)*100,1),")")</f>
        <v>(29.6)</v>
      </c>
      <c r="F399" s="278">
        <f>SUM(F397:F398)</f>
        <v>49.867000000958946</v>
      </c>
      <c r="G399" s="275" t="str">
        <f>CONCATENATE("(",ROUND((F399/$H399)*100,1),")")</f>
        <v>(4.3)</v>
      </c>
      <c r="H399" s="278">
        <f>SUM(H397:H398)</f>
        <v>1158.0480000035307</v>
      </c>
      <c r="I399" s="275" t="str">
        <f>CONCATENATE("(",ROUND((H399/$H399)*100,1),")")</f>
        <v>(100)</v>
      </c>
      <c r="K399" s="278">
        <f t="shared" si="301"/>
        <v>18.943000005615659</v>
      </c>
      <c r="L399" s="278">
        <f t="shared" si="302"/>
        <v>29.696000000656284</v>
      </c>
      <c r="M399" s="278">
        <f t="shared" si="303"/>
        <v>2.9760000005669056</v>
      </c>
      <c r="N399" s="278">
        <f t="shared" si="304"/>
        <v>51.615000006838848</v>
      </c>
    </row>
    <row r="400" spans="1:14">
      <c r="A400" s="269"/>
      <c r="B400" s="270"/>
      <c r="C400" s="269"/>
      <c r="D400" s="270"/>
      <c r="E400" s="269"/>
      <c r="F400" s="270"/>
      <c r="G400" s="269"/>
      <c r="H400" s="270"/>
      <c r="I400" s="269"/>
      <c r="J400" s="269"/>
      <c r="K400" s="270"/>
      <c r="L400" s="270"/>
      <c r="M400" s="270"/>
      <c r="N400" s="270"/>
    </row>
    <row r="404" spans="1:14" ht="12.95">
      <c r="A404" s="264"/>
      <c r="B404" s="265" t="s">
        <v>133</v>
      </c>
      <c r="C404" s="264"/>
      <c r="D404" s="265"/>
      <c r="E404" s="264"/>
      <c r="F404" s="265" t="str">
        <f>name!B22</f>
        <v>Education</v>
      </c>
      <c r="G404" s="264"/>
      <c r="H404" s="267"/>
      <c r="I404" s="264"/>
      <c r="J404" s="266"/>
      <c r="K404" s="267"/>
      <c r="L404" s="267"/>
      <c r="M404" s="267"/>
      <c r="N404" s="267"/>
    </row>
    <row r="405" spans="1:14" ht="12.95">
      <c r="N405" s="263" t="s">
        <v>134</v>
      </c>
    </row>
    <row r="406" spans="1:14" ht="12.95">
      <c r="A406" s="158" t="s">
        <v>135</v>
      </c>
      <c r="B406" s="364" t="s">
        <v>136</v>
      </c>
      <c r="C406" s="364"/>
      <c r="D406" s="364" t="s">
        <v>137</v>
      </c>
      <c r="E406" s="364"/>
      <c r="F406" s="364" t="s">
        <v>138</v>
      </c>
      <c r="G406" s="364"/>
      <c r="H406" s="364" t="s">
        <v>119</v>
      </c>
      <c r="I406" s="364"/>
      <c r="J406" s="158"/>
      <c r="K406" s="273" t="s">
        <v>139</v>
      </c>
      <c r="L406" s="273" t="s">
        <v>140</v>
      </c>
      <c r="M406" s="273" t="s">
        <v>141</v>
      </c>
      <c r="N406" s="273" t="s">
        <v>119</v>
      </c>
    </row>
    <row r="407" spans="1:14" ht="12.95">
      <c r="A407" s="268">
        <f>$A$8</f>
        <v>2020</v>
      </c>
      <c r="B407" s="263" t="s">
        <v>142</v>
      </c>
      <c r="C407" s="18" t="s">
        <v>143</v>
      </c>
      <c r="D407" s="263" t="s">
        <v>142</v>
      </c>
      <c r="E407" s="18" t="s">
        <v>143</v>
      </c>
      <c r="F407" s="263" t="s">
        <v>142</v>
      </c>
      <c r="G407" s="18" t="s">
        <v>143</v>
      </c>
      <c r="H407" s="263" t="s">
        <v>142</v>
      </c>
      <c r="I407" s="18" t="s">
        <v>143</v>
      </c>
      <c r="J407" s="158"/>
      <c r="K407" s="262" t="str">
        <f>CONCATENATE(A407," - ",A412)</f>
        <v>2020 - 2025</v>
      </c>
      <c r="L407" s="261"/>
      <c r="M407" s="261"/>
    </row>
    <row r="408" spans="1:14">
      <c r="A408" s="258" t="s">
        <v>144</v>
      </c>
      <c r="B408" s="278">
        <f>'Ind T6'!L485</f>
        <v>463.67000001585257</v>
      </c>
      <c r="C408" s="275" t="str">
        <f>CONCATENATE("(",ROUND((B408/$H410)*100,1),")")</f>
        <v>(18.3)</v>
      </c>
      <c r="D408" s="278">
        <f>'Ind T6'!M485</f>
        <v>181.83700000541276</v>
      </c>
      <c r="E408" s="275" t="str">
        <f>CONCATENATE("(",ROUND((D408/$H410)*100,1),")")</f>
        <v>(7.2)</v>
      </c>
      <c r="F408" s="278">
        <f>'Ind T6'!N485</f>
        <v>107.05800000301586</v>
      </c>
      <c r="G408" s="275" t="str">
        <f>CONCATENATE("(",ROUND((F408/$H410)*100,1),")")</f>
        <v>(4.2)</v>
      </c>
      <c r="H408" s="278">
        <f>SUM(B408,D408,F408)</f>
        <v>752.56500002428118</v>
      </c>
      <c r="I408" s="275" t="str">
        <f>CONCATENATE("(",ROUND((H408/$H410)*100,1),")")</f>
        <v>(29.7)</v>
      </c>
      <c r="K408" s="278">
        <f>B413-B408</f>
        <v>-3.1890000263148295</v>
      </c>
      <c r="L408" s="278">
        <f>D413-D408</f>
        <v>3.1549999764313554</v>
      </c>
      <c r="M408" s="278">
        <f>F413-F408</f>
        <v>2.0560000079687342</v>
      </c>
      <c r="N408" s="278">
        <f>SUM(K408:M408)</f>
        <v>2.0219999580852601</v>
      </c>
    </row>
    <row r="409" spans="1:14">
      <c r="A409" s="258" t="s">
        <v>145</v>
      </c>
      <c r="B409" s="278">
        <f>'Ind T6'!L484</f>
        <v>724.83700002866044</v>
      </c>
      <c r="C409" s="275" t="str">
        <f>CONCATENATE("(",ROUND((B409/$H410)*100,1),")")</f>
        <v>(28.6)</v>
      </c>
      <c r="D409" s="278">
        <f>'Ind T6'!M484</f>
        <v>877.25199996208812</v>
      </c>
      <c r="E409" s="275" t="str">
        <f>CONCATENATE("(",ROUND((D409/$H410)*100,1),")")</f>
        <v>(34.6)</v>
      </c>
      <c r="F409" s="278">
        <f>'Ind T6'!N484</f>
        <v>177.12599999865341</v>
      </c>
      <c r="G409" s="275" t="str">
        <f>CONCATENATE("(",ROUND((F409/$H410)*100,1),")")</f>
        <v>(7)</v>
      </c>
      <c r="H409" s="278">
        <f t="shared" ref="H409" si="305">SUM(B409,D409,F409)</f>
        <v>1779.214999989402</v>
      </c>
      <c r="I409" s="275" t="str">
        <f>CONCATENATE("(",ROUND((H409/$H410)*100,1),")")</f>
        <v>(70.3)</v>
      </c>
      <c r="K409" s="278">
        <f t="shared" ref="K409:K410" si="306">B414-B409</f>
        <v>21.015999895797677</v>
      </c>
      <c r="L409" s="278">
        <f t="shared" ref="L409:L410" si="307">D414-D409</f>
        <v>-13.069000026244453</v>
      </c>
      <c r="M409" s="278">
        <f t="shared" ref="M409:M410" si="308">F414-F409</f>
        <v>1.5750000017673358</v>
      </c>
      <c r="N409" s="278">
        <f t="shared" ref="N409:N410" si="309">SUM(K409:M409)</f>
        <v>9.5219998713205598</v>
      </c>
    </row>
    <row r="410" spans="1:14">
      <c r="A410" s="258" t="s">
        <v>146</v>
      </c>
      <c r="B410" s="278">
        <f>SUM(B408:B409)</f>
        <v>1188.507000044513</v>
      </c>
      <c r="C410" s="275" t="str">
        <f>CONCATENATE("(",ROUND((B410/$H410)*100,1),")")</f>
        <v>(46.9)</v>
      </c>
      <c r="D410" s="278">
        <f>SUM(D408:D409)</f>
        <v>1059.088999967501</v>
      </c>
      <c r="E410" s="275" t="str">
        <f>CONCATENATE("(",ROUND((D410/$H410)*100,1),")")</f>
        <v>(41.8)</v>
      </c>
      <c r="F410" s="278">
        <f>SUM(F408:F409)</f>
        <v>284.18400000166929</v>
      </c>
      <c r="G410" s="275" t="str">
        <f>CONCATENATE("(",ROUND((F410/$H410)*100,1),")")</f>
        <v>(11.2)</v>
      </c>
      <c r="H410" s="278">
        <f>SUM(H408:H409)</f>
        <v>2531.7800000136831</v>
      </c>
      <c r="I410" s="275" t="str">
        <f>CONCATENATE("(",ROUND((H410/$H410)*100,1),")")</f>
        <v>(100)</v>
      </c>
      <c r="K410" s="278">
        <f t="shared" si="306"/>
        <v>17.826999869482734</v>
      </c>
      <c r="L410" s="278">
        <f t="shared" si="307"/>
        <v>-9.9140000498132395</v>
      </c>
      <c r="M410" s="278">
        <f t="shared" si="308"/>
        <v>3.6310000097360557</v>
      </c>
      <c r="N410" s="278">
        <f t="shared" si="309"/>
        <v>11.54399982940555</v>
      </c>
    </row>
    <row r="411" spans="1:14">
      <c r="B411" s="278"/>
      <c r="C411" s="260"/>
      <c r="D411" s="278"/>
      <c r="E411" s="260"/>
      <c r="F411" s="278"/>
      <c r="G411" s="260"/>
      <c r="H411" s="278"/>
      <c r="I411" s="260"/>
    </row>
    <row r="412" spans="1:14" ht="12.95">
      <c r="A412" s="268">
        <f>$A$13</f>
        <v>2025</v>
      </c>
      <c r="B412" s="278"/>
      <c r="C412" s="260"/>
      <c r="D412" s="278"/>
      <c r="E412" s="260"/>
      <c r="F412" s="278"/>
      <c r="G412" s="260"/>
      <c r="H412" s="278"/>
      <c r="I412" s="260"/>
      <c r="K412" s="262" t="str">
        <f>CONCATENATE(A412," - ",A417)</f>
        <v>2025 - 2035</v>
      </c>
    </row>
    <row r="413" spans="1:14">
      <c r="A413" s="258" t="s">
        <v>144</v>
      </c>
      <c r="B413" s="278">
        <f>'Ind T6'!Q485</f>
        <v>460.48099998953774</v>
      </c>
      <c r="C413" s="275" t="str">
        <f>CONCATENATE("(",ROUND((B413/$H415)*100,1),")")</f>
        <v>(18.1)</v>
      </c>
      <c r="D413" s="278">
        <f>'Ind T6'!R485</f>
        <v>184.99199998184412</v>
      </c>
      <c r="E413" s="275" t="str">
        <f>CONCATENATE("(",ROUND((D413/$H415)*100,1),")")</f>
        <v>(7.3)</v>
      </c>
      <c r="F413" s="278">
        <f>'Ind T6'!S485</f>
        <v>109.1140000109846</v>
      </c>
      <c r="G413" s="275" t="str">
        <f>CONCATENATE("(",ROUND((F413/$H415)*100,1),")")</f>
        <v>(4.3)</v>
      </c>
      <c r="H413" s="278">
        <f>SUM(B413,D413,F413)</f>
        <v>754.58699998236636</v>
      </c>
      <c r="I413" s="275" t="str">
        <f>CONCATENATE("(",ROUND((H413/$H415)*100,1),")")</f>
        <v>(29.7)</v>
      </c>
      <c r="K413" s="278">
        <f>B418-B413</f>
        <v>5.7850000031994</v>
      </c>
      <c r="L413" s="278">
        <f>D418-D413</f>
        <v>11.062999999755164</v>
      </c>
      <c r="M413" s="278">
        <f>F418-F413</f>
        <v>7.2400000000612721</v>
      </c>
      <c r="N413" s="278">
        <f>SUM(K413:M413)</f>
        <v>24.088000003015836</v>
      </c>
    </row>
    <row r="414" spans="1:14">
      <c r="A414" s="258" t="s">
        <v>145</v>
      </c>
      <c r="B414" s="278">
        <f>'Ind T6'!Q484</f>
        <v>745.85299992445812</v>
      </c>
      <c r="C414" s="275" t="str">
        <f>CONCATENATE("(",ROUND((B414/$H415)*100,1),")")</f>
        <v>(29.3)</v>
      </c>
      <c r="D414" s="278">
        <f>'Ind T6'!R484</f>
        <v>864.18299993584367</v>
      </c>
      <c r="E414" s="275" t="str">
        <f>CONCATENATE("(",ROUND((D414/$H415)*100,1),")")</f>
        <v>(34)</v>
      </c>
      <c r="F414" s="278">
        <f>'Ind T6'!S484</f>
        <v>178.70100000042075</v>
      </c>
      <c r="G414" s="275" t="str">
        <f>CONCATENATE("(",ROUND((F414/$H415)*100,1),")")</f>
        <v>(7)</v>
      </c>
      <c r="H414" s="278">
        <f t="shared" ref="H414" si="310">SUM(B414,D414,F414)</f>
        <v>1788.7369998607223</v>
      </c>
      <c r="I414" s="275" t="str">
        <f>CONCATENATE("(",ROUND((H414/$H415)*100,1),")")</f>
        <v>(70.3)</v>
      </c>
      <c r="K414" s="278">
        <f t="shared" ref="K414:K415" si="311">B419-B414</f>
        <v>64.696999997378839</v>
      </c>
      <c r="L414" s="278">
        <f t="shared" ref="L414:L415" si="312">D419-D414</f>
        <v>-5.2940000028759187</v>
      </c>
      <c r="M414" s="278">
        <f t="shared" ref="M414:M415" si="313">F419-F414</f>
        <v>6.4180000010294123</v>
      </c>
      <c r="N414" s="278">
        <f t="shared" ref="N414:N415" si="314">SUM(K414:M414)</f>
        <v>65.820999995532333</v>
      </c>
    </row>
    <row r="415" spans="1:14">
      <c r="A415" s="258" t="s">
        <v>146</v>
      </c>
      <c r="B415" s="278">
        <f>SUM(B413:B414)</f>
        <v>1206.3339999139957</v>
      </c>
      <c r="C415" s="275" t="str">
        <f>CONCATENATE("(",ROUND((B415/$H415)*100,1),")")</f>
        <v>(47.4)</v>
      </c>
      <c r="D415" s="278">
        <f>SUM(D413:D414)</f>
        <v>1049.1749999176877</v>
      </c>
      <c r="E415" s="275" t="str">
        <f>CONCATENATE("(",ROUND((D415/$H415)*100,1),")")</f>
        <v>(41.3)</v>
      </c>
      <c r="F415" s="278">
        <f>SUM(F413:F414)</f>
        <v>287.81500001140535</v>
      </c>
      <c r="G415" s="275" t="str">
        <f>CONCATENATE("(",ROUND((F415/$H415)*100,1),")")</f>
        <v>(11.3)</v>
      </c>
      <c r="H415" s="278">
        <f>SUM(H413:H414)</f>
        <v>2543.3239998430886</v>
      </c>
      <c r="I415" s="275" t="str">
        <f>CONCATENATE("(",ROUND((H415/$H415)*100,1),")")</f>
        <v>(100)</v>
      </c>
      <c r="K415" s="278">
        <f t="shared" si="311"/>
        <v>70.48200000057841</v>
      </c>
      <c r="L415" s="278">
        <f t="shared" si="312"/>
        <v>5.7689999968793018</v>
      </c>
      <c r="M415" s="278">
        <f t="shared" si="313"/>
        <v>13.65800000109067</v>
      </c>
      <c r="N415" s="278">
        <f t="shared" si="314"/>
        <v>89.908999998548381</v>
      </c>
    </row>
    <row r="416" spans="1:14">
      <c r="B416" s="278"/>
      <c r="C416" s="260"/>
      <c r="D416" s="278"/>
      <c r="E416" s="260"/>
      <c r="F416" s="278"/>
      <c r="G416" s="260"/>
      <c r="H416" s="278"/>
      <c r="I416" s="260"/>
    </row>
    <row r="417" spans="1:14" ht="12.95">
      <c r="A417" s="268">
        <f>$A$18</f>
        <v>2035</v>
      </c>
      <c r="B417" s="278"/>
      <c r="C417" s="260"/>
      <c r="D417" s="278"/>
      <c r="E417" s="260"/>
      <c r="F417" s="278"/>
      <c r="G417" s="260"/>
      <c r="H417" s="278"/>
      <c r="I417" s="260"/>
      <c r="K417" s="262" t="str">
        <f>CONCATENATE(A407," - ",A417)</f>
        <v>2020 - 2035</v>
      </c>
    </row>
    <row r="418" spans="1:14">
      <c r="A418" s="258" t="s">
        <v>144</v>
      </c>
      <c r="B418" s="278">
        <f>'Ind T6'!V485</f>
        <v>466.26599999273714</v>
      </c>
      <c r="C418" s="275" t="str">
        <f>CONCATENATE("(",ROUND((B418/$H420)*100,1),")")</f>
        <v>(17.7)</v>
      </c>
      <c r="D418" s="278">
        <f>'Ind T6'!W485</f>
        <v>196.05499998159928</v>
      </c>
      <c r="E418" s="275" t="str">
        <f>CONCATENATE("(",ROUND((D418/$H420)*100,1),")")</f>
        <v>(7.4)</v>
      </c>
      <c r="F418" s="278">
        <f>'Ind T6'!X485</f>
        <v>116.35400001104587</v>
      </c>
      <c r="G418" s="275" t="str">
        <f>CONCATENATE("(",ROUND((F418/$H420)*100,1),")")</f>
        <v>(4.4)</v>
      </c>
      <c r="H418" s="278">
        <f>SUM(B418,D418,F418)</f>
        <v>778.67499998538233</v>
      </c>
      <c r="I418" s="275" t="str">
        <f>CONCATENATE("(",ROUND((H418/$H420)*100,1),")")</f>
        <v>(29.6)</v>
      </c>
      <c r="K418" s="278">
        <f>B418-B408</f>
        <v>2.5959999768845705</v>
      </c>
      <c r="L418" s="278">
        <f>D418-D408</f>
        <v>14.217999976186519</v>
      </c>
      <c r="M418" s="278">
        <f>F418-F408</f>
        <v>9.2960000080300063</v>
      </c>
      <c r="N418" s="278">
        <f>SUM(K418:M418)</f>
        <v>26.109999961101096</v>
      </c>
    </row>
    <row r="419" spans="1:14">
      <c r="A419" s="258" t="s">
        <v>145</v>
      </c>
      <c r="B419" s="278">
        <f>'Ind T6'!V484</f>
        <v>810.54999992183696</v>
      </c>
      <c r="C419" s="275" t="str">
        <f>CONCATENATE("(",ROUND((B419/$H420)*100,1),")")</f>
        <v>(30.8)</v>
      </c>
      <c r="D419" s="278">
        <f>'Ind T6'!W484</f>
        <v>858.88899993296775</v>
      </c>
      <c r="E419" s="275" t="str">
        <f>CONCATENATE("(",ROUND((D419/$H420)*100,1),")")</f>
        <v>(32.6)</v>
      </c>
      <c r="F419" s="278">
        <f>'Ind T6'!X484</f>
        <v>185.11900000145016</v>
      </c>
      <c r="G419" s="275" t="str">
        <f>CONCATENATE("(",ROUND((F419/$H420)*100,1),")")</f>
        <v>(7)</v>
      </c>
      <c r="H419" s="278">
        <f t="shared" ref="H419" si="315">SUM(B419,D419,F419)</f>
        <v>1854.5579998562548</v>
      </c>
      <c r="I419" s="275" t="str">
        <f>CONCATENATE("(",ROUND((H419/$H420)*100,1),")")</f>
        <v>(70.4)</v>
      </c>
      <c r="K419" s="278">
        <f t="shared" ref="K419:K420" si="316">B419-B409</f>
        <v>85.712999893176516</v>
      </c>
      <c r="L419" s="278">
        <f t="shared" ref="L419:L420" si="317">D419-D409</f>
        <v>-18.363000029120371</v>
      </c>
      <c r="M419" s="278">
        <f t="shared" ref="M419:M420" si="318">F419-F409</f>
        <v>7.993000002796748</v>
      </c>
      <c r="N419" s="278">
        <f t="shared" ref="N419:N420" si="319">SUM(K419:M419)</f>
        <v>75.342999866852892</v>
      </c>
    </row>
    <row r="420" spans="1:14">
      <c r="A420" s="258" t="s">
        <v>146</v>
      </c>
      <c r="B420" s="278">
        <f>SUM(B418:B419)</f>
        <v>1276.8159999145741</v>
      </c>
      <c r="C420" s="275" t="str">
        <f>CONCATENATE("(",ROUND((B420/$H420)*100,1),")")</f>
        <v>(48.5)</v>
      </c>
      <c r="D420" s="278">
        <f>SUM(D418:D419)</f>
        <v>1054.943999914567</v>
      </c>
      <c r="E420" s="275" t="str">
        <f>CONCATENATE("(",ROUND((D420/$H420)*100,1),")")</f>
        <v>(40.1)</v>
      </c>
      <c r="F420" s="278">
        <f>SUM(F418:F419)</f>
        <v>301.47300001249602</v>
      </c>
      <c r="G420" s="275" t="str">
        <f>CONCATENATE("(",ROUND((F420/$H420)*100,1),")")</f>
        <v>(11.4)</v>
      </c>
      <c r="H420" s="278">
        <f>SUM(H418:H419)</f>
        <v>2633.2329998416371</v>
      </c>
      <c r="I420" s="275" t="str">
        <f>CONCATENATE("(",ROUND((H420/$H420)*100,1),")")</f>
        <v>(100)</v>
      </c>
      <c r="K420" s="278">
        <f t="shared" si="316"/>
        <v>88.308999870061143</v>
      </c>
      <c r="L420" s="278">
        <f t="shared" si="317"/>
        <v>-4.1450000529339377</v>
      </c>
      <c r="M420" s="278">
        <f t="shared" si="318"/>
        <v>17.289000010826726</v>
      </c>
      <c r="N420" s="278">
        <f t="shared" si="319"/>
        <v>101.45299982795393</v>
      </c>
    </row>
    <row r="421" spans="1:14">
      <c r="A421" s="269"/>
      <c r="B421" s="270"/>
      <c r="C421" s="269"/>
      <c r="D421" s="270"/>
      <c r="E421" s="269"/>
      <c r="F421" s="270"/>
      <c r="G421" s="269"/>
      <c r="H421" s="270"/>
      <c r="I421" s="269"/>
      <c r="J421" s="269"/>
      <c r="K421" s="270"/>
      <c r="L421" s="270"/>
      <c r="M421" s="270"/>
      <c r="N421" s="270"/>
    </row>
    <row r="424" spans="1:14" ht="12.95">
      <c r="C424" s="158"/>
      <c r="E424" s="158"/>
      <c r="G424" s="158"/>
      <c r="I424" s="158"/>
    </row>
    <row r="425" spans="1:14" ht="12.95">
      <c r="A425" s="264"/>
      <c r="B425" s="265" t="s">
        <v>133</v>
      </c>
      <c r="C425" s="264"/>
      <c r="D425" s="265"/>
      <c r="E425" s="264"/>
      <c r="F425" s="265" t="str">
        <f>name!B23</f>
        <v>Health and social work</v>
      </c>
      <c r="G425" s="264"/>
      <c r="H425" s="267"/>
      <c r="I425" s="264"/>
      <c r="J425" s="266"/>
      <c r="K425" s="267"/>
      <c r="L425" s="267"/>
      <c r="M425" s="267"/>
      <c r="N425" s="267"/>
    </row>
    <row r="426" spans="1:14" ht="12.95">
      <c r="N426" s="263" t="s">
        <v>134</v>
      </c>
    </row>
    <row r="427" spans="1:14" ht="12.95">
      <c r="A427" s="158" t="s">
        <v>135</v>
      </c>
      <c r="B427" s="364" t="s">
        <v>136</v>
      </c>
      <c r="C427" s="364"/>
      <c r="D427" s="364" t="s">
        <v>137</v>
      </c>
      <c r="E427" s="364"/>
      <c r="F427" s="364" t="s">
        <v>138</v>
      </c>
      <c r="G427" s="364"/>
      <c r="H427" s="364" t="s">
        <v>119</v>
      </c>
      <c r="I427" s="364"/>
      <c r="J427" s="158"/>
      <c r="K427" s="273" t="s">
        <v>139</v>
      </c>
      <c r="L427" s="273" t="s">
        <v>140</v>
      </c>
      <c r="M427" s="273" t="s">
        <v>141</v>
      </c>
      <c r="N427" s="273" t="s">
        <v>119</v>
      </c>
    </row>
    <row r="428" spans="1:14" ht="12.95">
      <c r="A428" s="268">
        <f>$A$8</f>
        <v>2020</v>
      </c>
      <c r="B428" s="263" t="s">
        <v>142</v>
      </c>
      <c r="C428" s="18" t="s">
        <v>143</v>
      </c>
      <c r="D428" s="263" t="s">
        <v>142</v>
      </c>
      <c r="E428" s="18" t="s">
        <v>143</v>
      </c>
      <c r="F428" s="263" t="s">
        <v>142</v>
      </c>
      <c r="G428" s="18" t="s">
        <v>143</v>
      </c>
      <c r="H428" s="263" t="s">
        <v>142</v>
      </c>
      <c r="I428" s="18" t="s">
        <v>143</v>
      </c>
      <c r="J428" s="158"/>
      <c r="K428" s="262" t="str">
        <f>CONCATENATE(A428," - ",A433)</f>
        <v>2020 - 2025</v>
      </c>
      <c r="L428" s="261"/>
      <c r="M428" s="261"/>
    </row>
    <row r="429" spans="1:14">
      <c r="A429" s="258" t="s">
        <v>144</v>
      </c>
      <c r="B429" s="278">
        <f>'Ind T6'!L510</f>
        <v>527.54699999770196</v>
      </c>
      <c r="C429" s="275" t="str">
        <f>CONCATENATE("(",ROUND((B429/$H431)*100,1),")")</f>
        <v>(14.5)</v>
      </c>
      <c r="D429" s="278">
        <f>'Ind T6'!M510</f>
        <v>179.72800000039561</v>
      </c>
      <c r="E429" s="275" t="str">
        <f>CONCATENATE("(",ROUND((D429/$H431)*100,1),")")</f>
        <v>(4.9)</v>
      </c>
      <c r="F429" s="278">
        <f>'Ind T6'!N510</f>
        <v>89.560000003780829</v>
      </c>
      <c r="G429" s="275" t="str">
        <f>CONCATENATE("(",ROUND((F429/$H431)*100,1),")")</f>
        <v>(2.5)</v>
      </c>
      <c r="H429" s="278">
        <f>SUM(B429,D429,F429)</f>
        <v>796.83500000187837</v>
      </c>
      <c r="I429" s="275" t="str">
        <f>CONCATENATE("(",ROUND((H429/$H431)*100,1),")")</f>
        <v>(21.8)</v>
      </c>
      <c r="K429" s="278">
        <f>B434-B429</f>
        <v>33.378000001212968</v>
      </c>
      <c r="L429" s="278">
        <f>D434-D429</f>
        <v>14.686999998341264</v>
      </c>
      <c r="M429" s="278">
        <f>F434-F429</f>
        <v>1.5710000049729587</v>
      </c>
      <c r="N429" s="278">
        <f>SUM(K429:M429)</f>
        <v>49.63600000452719</v>
      </c>
    </row>
    <row r="430" spans="1:14">
      <c r="A430" s="258" t="s">
        <v>145</v>
      </c>
      <c r="B430" s="278">
        <f>'Ind T6'!L509</f>
        <v>1412.064999997106</v>
      </c>
      <c r="C430" s="275" t="str">
        <f>CONCATENATE("(",ROUND((B430/$H431)*100,1),")")</f>
        <v>(38.7)</v>
      </c>
      <c r="D430" s="278">
        <f>'Ind T6'!M509</f>
        <v>1240.0099999816748</v>
      </c>
      <c r="E430" s="275" t="str">
        <f>CONCATENATE("(",ROUND((D430/$H431)*100,1),")")</f>
        <v>(34)</v>
      </c>
      <c r="F430" s="278">
        <f>'Ind T6'!N509</f>
        <v>199.13200001371837</v>
      </c>
      <c r="G430" s="275" t="str">
        <f>CONCATENATE("(",ROUND((F430/$H431)*100,1),")")</f>
        <v>(5.5)</v>
      </c>
      <c r="H430" s="278">
        <f t="shared" ref="H430" si="320">SUM(B430,D430,F430)</f>
        <v>2851.2069999924993</v>
      </c>
      <c r="I430" s="275" t="str">
        <f>CONCATENATE("(",ROUND((H430/$H431)*100,1),")")</f>
        <v>(78.2)</v>
      </c>
      <c r="K430" s="278">
        <f t="shared" ref="K430:K431" si="321">B435-B430</f>
        <v>124.28499999721248</v>
      </c>
      <c r="L430" s="278">
        <f t="shared" ref="L430:L431" si="322">D435-D430</f>
        <v>37.458999976373889</v>
      </c>
      <c r="M430" s="278">
        <f t="shared" ref="M430:M431" si="323">F435-F430</f>
        <v>23.791999983856869</v>
      </c>
      <c r="N430" s="278">
        <f t="shared" ref="N430:N431" si="324">SUM(K430:M430)</f>
        <v>185.53599995744324</v>
      </c>
    </row>
    <row r="431" spans="1:14">
      <c r="A431" s="258" t="s">
        <v>146</v>
      </c>
      <c r="B431" s="278">
        <f>SUM(B429:B430)</f>
        <v>1939.611999994808</v>
      </c>
      <c r="C431" s="275" t="str">
        <f>CONCATENATE("(",ROUND((B431/$H431)*100,1),")")</f>
        <v>(53.2)</v>
      </c>
      <c r="D431" s="278">
        <f>SUM(D429:D430)</f>
        <v>1419.7379999820705</v>
      </c>
      <c r="E431" s="275" t="str">
        <f>CONCATENATE("(",ROUND((D431/$H431)*100,1),")")</f>
        <v>(38.9)</v>
      </c>
      <c r="F431" s="278">
        <f>SUM(F429:F430)</f>
        <v>288.6920000174992</v>
      </c>
      <c r="G431" s="275" t="str">
        <f>CONCATENATE("(",ROUND((F431/$H431)*100,1),")")</f>
        <v>(7.9)</v>
      </c>
      <c r="H431" s="278">
        <f>SUM(H429:H430)</f>
        <v>3648.0419999943779</v>
      </c>
      <c r="I431" s="275" t="str">
        <f>CONCATENATE("(",ROUND((H431/$H431)*100,1),")")</f>
        <v>(100)</v>
      </c>
      <c r="K431" s="278">
        <f t="shared" si="321"/>
        <v>157.66299999842545</v>
      </c>
      <c r="L431" s="278">
        <f t="shared" si="322"/>
        <v>52.145999974715096</v>
      </c>
      <c r="M431" s="278">
        <f t="shared" si="323"/>
        <v>25.362999988829813</v>
      </c>
      <c r="N431" s="278">
        <f t="shared" si="324"/>
        <v>235.17199996197036</v>
      </c>
    </row>
    <row r="432" spans="1:14">
      <c r="B432" s="278"/>
      <c r="C432" s="260"/>
      <c r="D432" s="278"/>
      <c r="E432" s="260"/>
      <c r="F432" s="278"/>
      <c r="G432" s="260"/>
      <c r="H432" s="278"/>
      <c r="I432" s="260"/>
    </row>
    <row r="433" spans="1:14" ht="12.95">
      <c r="A433" s="268">
        <f>$A$13</f>
        <v>2025</v>
      </c>
      <c r="B433" s="278"/>
      <c r="C433" s="260"/>
      <c r="D433" s="278"/>
      <c r="E433" s="260"/>
      <c r="F433" s="278"/>
      <c r="G433" s="260"/>
      <c r="H433" s="278"/>
      <c r="I433" s="260"/>
      <c r="K433" s="262" t="str">
        <f>CONCATENATE(A433," - ",A438)</f>
        <v>2025 - 2035</v>
      </c>
    </row>
    <row r="434" spans="1:14">
      <c r="A434" s="258" t="s">
        <v>144</v>
      </c>
      <c r="B434" s="278">
        <f>'Ind T6'!Q510</f>
        <v>560.92499999891493</v>
      </c>
      <c r="C434" s="275" t="str">
        <f>CONCATENATE("(",ROUND((B434/$H436)*100,1),")")</f>
        <v>(14.4)</v>
      </c>
      <c r="D434" s="278">
        <f>'Ind T6'!R510</f>
        <v>194.41499999873687</v>
      </c>
      <c r="E434" s="275" t="str">
        <f>CONCATENATE("(",ROUND((D434/$H436)*100,1),")")</f>
        <v>(5)</v>
      </c>
      <c r="F434" s="278">
        <f>'Ind T6'!S510</f>
        <v>91.131000008753787</v>
      </c>
      <c r="G434" s="275" t="str">
        <f>CONCATENATE("(",ROUND((F434/$H436)*100,1),")")</f>
        <v>(2.3)</v>
      </c>
      <c r="H434" s="278">
        <f>SUM(B434,D434,F434)</f>
        <v>846.47100000640557</v>
      </c>
      <c r="I434" s="275" t="str">
        <f>CONCATENATE("(",ROUND((H434/$H436)*100,1),")")</f>
        <v>(21.8)</v>
      </c>
      <c r="K434" s="278">
        <f>B439-B434</f>
        <v>37.880999999923915</v>
      </c>
      <c r="L434" s="278">
        <f>D439-D434</f>
        <v>19.198000000314323</v>
      </c>
      <c r="M434" s="278">
        <f>F439-F434</f>
        <v>-2.9580000019078057</v>
      </c>
      <c r="N434" s="278">
        <f>SUM(K434:M434)</f>
        <v>54.120999998330433</v>
      </c>
    </row>
    <row r="435" spans="1:14">
      <c r="A435" s="258" t="s">
        <v>145</v>
      </c>
      <c r="B435" s="278">
        <f>'Ind T6'!Q509</f>
        <v>1536.3499999943185</v>
      </c>
      <c r="C435" s="275" t="str">
        <f>CONCATENATE("(",ROUND((B435/$H436)*100,1),")")</f>
        <v>(39.6)</v>
      </c>
      <c r="D435" s="278">
        <f>'Ind T6'!R509</f>
        <v>1277.4689999580487</v>
      </c>
      <c r="E435" s="275" t="str">
        <f>CONCATENATE("(",ROUND((D435/$H436)*100,1),")")</f>
        <v>(32.9)</v>
      </c>
      <c r="F435" s="278">
        <f>'Ind T6'!S509</f>
        <v>222.92399999757524</v>
      </c>
      <c r="G435" s="275" t="str">
        <f>CONCATENATE("(",ROUND((F435/$H436)*100,1),")")</f>
        <v>(5.7)</v>
      </c>
      <c r="H435" s="278">
        <f t="shared" ref="H435" si="325">SUM(B435,D435,F435)</f>
        <v>3036.7429999499427</v>
      </c>
      <c r="I435" s="275" t="str">
        <f>CONCATENATE("(",ROUND((H435/$H436)*100,1),")")</f>
        <v>(78.2)</v>
      </c>
      <c r="K435" s="278">
        <f t="shared" ref="K435:K436" si="326">B440-B435</f>
        <v>176.01899998875979</v>
      </c>
      <c r="L435" s="278">
        <f t="shared" ref="L435:L436" si="327">D440-D435</f>
        <v>-6.9360000136648523</v>
      </c>
      <c r="M435" s="278">
        <f t="shared" ref="M435:M436" si="328">F440-F435</f>
        <v>33.616000002159836</v>
      </c>
      <c r="N435" s="278">
        <f t="shared" ref="N435:N436" si="329">SUM(K435:M435)</f>
        <v>202.69899997725477</v>
      </c>
    </row>
    <row r="436" spans="1:14">
      <c r="A436" s="258" t="s">
        <v>146</v>
      </c>
      <c r="B436" s="278">
        <f>SUM(B434:B435)</f>
        <v>2097.2749999932335</v>
      </c>
      <c r="C436" s="275" t="str">
        <f>CONCATENATE("(",ROUND((B436/$H436)*100,1),")")</f>
        <v>(54)</v>
      </c>
      <c r="D436" s="278">
        <f>SUM(D434:D435)</f>
        <v>1471.8839999567856</v>
      </c>
      <c r="E436" s="275" t="str">
        <f>CONCATENATE("(",ROUND((D436/$H436)*100,1),")")</f>
        <v>(37.9)</v>
      </c>
      <c r="F436" s="278">
        <f>SUM(F434:F435)</f>
        <v>314.05500000632901</v>
      </c>
      <c r="G436" s="275" t="str">
        <f>CONCATENATE("(",ROUND((F436/$H436)*100,1),")")</f>
        <v>(8.1)</v>
      </c>
      <c r="H436" s="278">
        <f>SUM(H434:H435)</f>
        <v>3883.2139999563483</v>
      </c>
      <c r="I436" s="275" t="str">
        <f>CONCATENATE("(",ROUND((H436/$H436)*100,1),")")</f>
        <v>(100)</v>
      </c>
      <c r="K436" s="278">
        <f t="shared" si="326"/>
        <v>213.8999999886837</v>
      </c>
      <c r="L436" s="278">
        <f t="shared" si="327"/>
        <v>12.261999986649471</v>
      </c>
      <c r="M436" s="278">
        <f t="shared" si="328"/>
        <v>30.658000000252059</v>
      </c>
      <c r="N436" s="278">
        <f t="shared" si="329"/>
        <v>256.81999997558523</v>
      </c>
    </row>
    <row r="437" spans="1:14">
      <c r="B437" s="278"/>
      <c r="C437" s="260"/>
      <c r="D437" s="278"/>
      <c r="E437" s="260"/>
      <c r="F437" s="278"/>
      <c r="G437" s="260"/>
      <c r="H437" s="278"/>
      <c r="I437" s="260"/>
    </row>
    <row r="438" spans="1:14" ht="12.95">
      <c r="A438" s="268">
        <f>$A$18</f>
        <v>2035</v>
      </c>
      <c r="B438" s="278"/>
      <c r="C438" s="260"/>
      <c r="D438" s="278"/>
      <c r="E438" s="260"/>
      <c r="F438" s="278"/>
      <c r="G438" s="260"/>
      <c r="H438" s="278"/>
      <c r="I438" s="260"/>
      <c r="K438" s="262" t="str">
        <f>CONCATENATE(A428," - ",A438)</f>
        <v>2020 - 2035</v>
      </c>
    </row>
    <row r="439" spans="1:14">
      <c r="A439" s="258" t="s">
        <v>144</v>
      </c>
      <c r="B439" s="278">
        <f>'Ind T6'!V510</f>
        <v>598.80599999883884</v>
      </c>
      <c r="C439" s="275" t="str">
        <f>CONCATENATE("(",ROUND((B439/$H441)*100,1),")")</f>
        <v>(14.5)</v>
      </c>
      <c r="D439" s="278">
        <f>'Ind T6'!W510</f>
        <v>213.6129999990512</v>
      </c>
      <c r="E439" s="275" t="str">
        <f>CONCATENATE("(",ROUND((D439/$H441)*100,1),")")</f>
        <v>(5.2)</v>
      </c>
      <c r="F439" s="278">
        <f>'Ind T6'!X510</f>
        <v>88.173000006845982</v>
      </c>
      <c r="G439" s="275" t="str">
        <f>CONCATENATE("(",ROUND((F439/$H441)*100,1),")")</f>
        <v>(2.1)</v>
      </c>
      <c r="H439" s="278">
        <f>SUM(B439,D439,F439)</f>
        <v>900.59200000473606</v>
      </c>
      <c r="I439" s="275" t="str">
        <f>CONCATENATE("(",ROUND((H439/$H441)*100,1),")")</f>
        <v>(21.8)</v>
      </c>
      <c r="K439" s="278">
        <f>B439-B429</f>
        <v>71.259000001136883</v>
      </c>
      <c r="L439" s="278">
        <f>D439-D429</f>
        <v>33.884999998655587</v>
      </c>
      <c r="M439" s="278">
        <f>F439-F429</f>
        <v>-1.386999996934847</v>
      </c>
      <c r="N439" s="278">
        <f>SUM(K439:M439)</f>
        <v>103.75700000285762</v>
      </c>
    </row>
    <row r="440" spans="1:14">
      <c r="A440" s="258" t="s">
        <v>145</v>
      </c>
      <c r="B440" s="278">
        <f>'Ind T6'!V509</f>
        <v>1712.3689999830783</v>
      </c>
      <c r="C440" s="275" t="str">
        <f>CONCATENATE("(",ROUND((B440/$H441)*100,1),")")</f>
        <v>(41.4)</v>
      </c>
      <c r="D440" s="278">
        <f>'Ind T6'!W509</f>
        <v>1270.5329999443838</v>
      </c>
      <c r="E440" s="275" t="str">
        <f>CONCATENATE("(",ROUND((D440/$H441)*100,1),")")</f>
        <v>(30.7)</v>
      </c>
      <c r="F440" s="278">
        <f>'Ind T6'!X509</f>
        <v>256.53999999973507</v>
      </c>
      <c r="G440" s="275" t="str">
        <f>CONCATENATE("(",ROUND((F440/$H441)*100,1),")")</f>
        <v>(6.2)</v>
      </c>
      <c r="H440" s="278">
        <f t="shared" ref="H440" si="330">SUM(B440,D440,F440)</f>
        <v>3239.4419999271977</v>
      </c>
      <c r="I440" s="275" t="str">
        <f>CONCATENATE("(",ROUND((H440/$H441)*100,1),")")</f>
        <v>(78.2)</v>
      </c>
      <c r="K440" s="278">
        <f t="shared" ref="K440:K441" si="331">B440-B430</f>
        <v>300.30399998597227</v>
      </c>
      <c r="L440" s="278">
        <f t="shared" ref="L440:L441" si="332">D440-D430</f>
        <v>30.522999962709036</v>
      </c>
      <c r="M440" s="278">
        <f t="shared" ref="M440:M441" si="333">F440-F430</f>
        <v>57.407999986016705</v>
      </c>
      <c r="N440" s="278">
        <f t="shared" ref="N440:N441" si="334">SUM(K440:M440)</f>
        <v>388.23499993469801</v>
      </c>
    </row>
    <row r="441" spans="1:14">
      <c r="A441" s="258" t="s">
        <v>146</v>
      </c>
      <c r="B441" s="278">
        <f>SUM(B439:B440)</f>
        <v>2311.1749999819172</v>
      </c>
      <c r="C441" s="275" t="str">
        <f>CONCATENATE("(",ROUND((B441/$H441)*100,1),")")</f>
        <v>(55.8)</v>
      </c>
      <c r="D441" s="278">
        <f>SUM(D439:D440)</f>
        <v>1484.1459999434351</v>
      </c>
      <c r="E441" s="275" t="str">
        <f>CONCATENATE("(",ROUND((D441/$H441)*100,1),")")</f>
        <v>(35.8)</v>
      </c>
      <c r="F441" s="278">
        <f>SUM(F439:F440)</f>
        <v>344.71300000658107</v>
      </c>
      <c r="G441" s="275" t="str">
        <f>CONCATENATE("(",ROUND((F441/$H441)*100,1),")")</f>
        <v>(8.3)</v>
      </c>
      <c r="H441" s="278">
        <f>SUM(H439:H440)</f>
        <v>4140.033999931934</v>
      </c>
      <c r="I441" s="275" t="str">
        <f>CONCATENATE("(",ROUND((H441/$H441)*100,1),")")</f>
        <v>(100)</v>
      </c>
      <c r="K441" s="278">
        <f t="shared" si="331"/>
        <v>371.56299998710915</v>
      </c>
      <c r="L441" s="278">
        <f t="shared" si="332"/>
        <v>64.407999961364567</v>
      </c>
      <c r="M441" s="278">
        <f t="shared" si="333"/>
        <v>56.020999989081872</v>
      </c>
      <c r="N441" s="278">
        <f t="shared" si="334"/>
        <v>491.99199993755559</v>
      </c>
    </row>
    <row r="442" spans="1:14">
      <c r="A442" s="269"/>
      <c r="B442" s="270"/>
      <c r="C442" s="269"/>
      <c r="D442" s="270"/>
      <c r="E442" s="269"/>
      <c r="F442" s="270"/>
      <c r="G442" s="269"/>
      <c r="H442" s="270"/>
      <c r="I442" s="269"/>
      <c r="J442" s="269"/>
      <c r="K442" s="270"/>
      <c r="L442" s="270"/>
      <c r="M442" s="270"/>
      <c r="N442" s="270"/>
    </row>
    <row r="446" spans="1:14" ht="12.95">
      <c r="A446" s="264"/>
      <c r="B446" s="265" t="s">
        <v>133</v>
      </c>
      <c r="C446" s="264"/>
      <c r="D446" s="265"/>
      <c r="E446" s="264"/>
      <c r="F446" s="265" t="str">
        <f>name!B24</f>
        <v>Arts and entertainment</v>
      </c>
      <c r="G446" s="264"/>
      <c r="H446" s="267"/>
      <c r="I446" s="264"/>
      <c r="J446" s="266"/>
      <c r="K446" s="267"/>
      <c r="L446" s="267"/>
      <c r="M446" s="267"/>
      <c r="N446" s="267"/>
    </row>
    <row r="447" spans="1:14" ht="12.95">
      <c r="N447" s="263" t="s">
        <v>134</v>
      </c>
    </row>
    <row r="448" spans="1:14" ht="12.95">
      <c r="A448" s="158" t="s">
        <v>135</v>
      </c>
      <c r="B448" s="364" t="s">
        <v>136</v>
      </c>
      <c r="C448" s="364"/>
      <c r="D448" s="364" t="s">
        <v>137</v>
      </c>
      <c r="E448" s="364"/>
      <c r="F448" s="364" t="s">
        <v>138</v>
      </c>
      <c r="G448" s="364"/>
      <c r="H448" s="364" t="s">
        <v>119</v>
      </c>
      <c r="I448" s="364"/>
      <c r="J448" s="158"/>
      <c r="K448" s="273" t="s">
        <v>139</v>
      </c>
      <c r="L448" s="273" t="s">
        <v>140</v>
      </c>
      <c r="M448" s="273" t="s">
        <v>141</v>
      </c>
      <c r="N448" s="273" t="s">
        <v>119</v>
      </c>
    </row>
    <row r="449" spans="1:14" ht="12.95">
      <c r="A449" s="268">
        <f>$A$8</f>
        <v>2020</v>
      </c>
      <c r="B449" s="263" t="s">
        <v>142</v>
      </c>
      <c r="C449" s="18" t="s">
        <v>143</v>
      </c>
      <c r="D449" s="263" t="s">
        <v>142</v>
      </c>
      <c r="E449" s="18" t="s">
        <v>143</v>
      </c>
      <c r="F449" s="263" t="s">
        <v>141</v>
      </c>
      <c r="G449" s="18" t="s">
        <v>143</v>
      </c>
      <c r="H449" s="263" t="s">
        <v>142</v>
      </c>
      <c r="I449" s="18" t="s">
        <v>143</v>
      </c>
      <c r="J449" s="158"/>
      <c r="K449" s="262" t="str">
        <f>CONCATENATE(A449," - ",A454)</f>
        <v>2020 - 2025</v>
      </c>
      <c r="L449" s="261"/>
      <c r="M449" s="261"/>
    </row>
    <row r="450" spans="1:14">
      <c r="A450" s="258" t="s">
        <v>144</v>
      </c>
      <c r="B450" s="278">
        <f>'Ind T6'!L540</f>
        <v>160.68999999993417</v>
      </c>
      <c r="C450" s="275" t="str">
        <f>CONCATENATE("(",ROUND((B450/$H452)*100,1),")")</f>
        <v>(18.6)</v>
      </c>
      <c r="D450" s="278">
        <f>'Ind T6'!M540</f>
        <v>131.38600000024275</v>
      </c>
      <c r="E450" s="275" t="str">
        <f>CONCATENATE("(",ROUND((D450/$H452)*100,1),")")</f>
        <v>(15.2)</v>
      </c>
      <c r="F450" s="278">
        <f>'Ind T6'!N540</f>
        <v>121.96400000428186</v>
      </c>
      <c r="G450" s="275" t="str">
        <f>CONCATENATE("(",ROUND((F450/$H452)*100,1),")")</f>
        <v>(14.1)</v>
      </c>
      <c r="H450" s="278">
        <f>SUM(B450,D450,F450)</f>
        <v>414.04000000445876</v>
      </c>
      <c r="I450" s="275" t="str">
        <f>CONCATENATE("(",ROUND((H450/$H452)*100,1),")")</f>
        <v>(47.9)</v>
      </c>
      <c r="K450" s="278">
        <f>B455-B450</f>
        <v>7.3430000002740314</v>
      </c>
      <c r="L450" s="278">
        <f>D455-D450</f>
        <v>7.9530000001985286</v>
      </c>
      <c r="M450" s="278">
        <f>F455-F450</f>
        <v>-0.89999999395853081</v>
      </c>
      <c r="N450" s="278">
        <f>SUM(K450:M450)</f>
        <v>14.396000006514029</v>
      </c>
    </row>
    <row r="451" spans="1:14">
      <c r="A451" s="258" t="s">
        <v>145</v>
      </c>
      <c r="B451" s="278">
        <f>'Ind T6'!L539</f>
        <v>125.30999999943741</v>
      </c>
      <c r="C451" s="275" t="str">
        <f>CONCATENATE("(",ROUND((B451/$H452)*100,1),")")</f>
        <v>(14.5)</v>
      </c>
      <c r="D451" s="278">
        <f>'Ind T6'!M539</f>
        <v>191.72900000091391</v>
      </c>
      <c r="E451" s="275" t="str">
        <f>CONCATENATE("(",ROUND((D451/$H452)*100,1),")")</f>
        <v>(22.2)</v>
      </c>
      <c r="F451" s="278">
        <f>'Ind T6'!N539</f>
        <v>133.65899999740969</v>
      </c>
      <c r="G451" s="275" t="str">
        <f>CONCATENATE("(",ROUND((F451/$H452)*100,1),")")</f>
        <v>(15.5)</v>
      </c>
      <c r="H451" s="278">
        <f t="shared" ref="H451" si="335">SUM(B451,D451,F451)</f>
        <v>450.69799999776103</v>
      </c>
      <c r="I451" s="275" t="str">
        <f>CONCATENATE("(",ROUND((H451/$H452)*100,1),")")</f>
        <v>(52.1)</v>
      </c>
      <c r="K451" s="278">
        <f t="shared" ref="K451:K452" si="336">B456-B451</f>
        <v>-0.53899999785491559</v>
      </c>
      <c r="L451" s="278">
        <f t="shared" ref="L451:L452" si="337">D456-D451</f>
        <v>7.5480000004999681</v>
      </c>
      <c r="M451" s="278">
        <f t="shared" ref="M451:M452" si="338">F456-F451</f>
        <v>-0.53399999692803135</v>
      </c>
      <c r="N451" s="278">
        <f t="shared" ref="N451:N452" si="339">SUM(K451:M451)</f>
        <v>6.4750000057170212</v>
      </c>
    </row>
    <row r="452" spans="1:14">
      <c r="A452" s="258" t="s">
        <v>146</v>
      </c>
      <c r="B452" s="278">
        <f>SUM(B450:B451)</f>
        <v>285.9999999993716</v>
      </c>
      <c r="C452" s="275" t="str">
        <f>CONCATENATE("(",ROUND((B452/$H452)*100,1),")")</f>
        <v>(33.1)</v>
      </c>
      <c r="D452" s="278">
        <f>SUM(D450:D451)</f>
        <v>323.11500000115666</v>
      </c>
      <c r="E452" s="275" t="str">
        <f>CONCATENATE("(",ROUND((D452/$H452)*100,1),")")</f>
        <v>(37.4)</v>
      </c>
      <c r="F452" s="278">
        <f>SUM(F450:F451)</f>
        <v>255.62300000169154</v>
      </c>
      <c r="G452" s="275" t="str">
        <f>CONCATENATE("(",ROUND((F452/$H452)*100,1),")")</f>
        <v>(29.6)</v>
      </c>
      <c r="H452" s="278">
        <f>SUM(H450:H451)</f>
        <v>864.73800000221979</v>
      </c>
      <c r="I452" s="275" t="str">
        <f>CONCATENATE("(",ROUND((H452/$H452)*100,1),")")</f>
        <v>(100)</v>
      </c>
      <c r="K452" s="278">
        <f t="shared" si="336"/>
        <v>6.8040000024191158</v>
      </c>
      <c r="L452" s="278">
        <f t="shared" si="337"/>
        <v>15.501000000698468</v>
      </c>
      <c r="M452" s="278">
        <f t="shared" si="338"/>
        <v>-1.4339999908865479</v>
      </c>
      <c r="N452" s="278">
        <f t="shared" si="339"/>
        <v>20.871000012231036</v>
      </c>
    </row>
    <row r="453" spans="1:14">
      <c r="B453" s="278"/>
      <c r="C453" s="260"/>
      <c r="D453" s="278"/>
      <c r="E453" s="260"/>
      <c r="F453" s="278"/>
      <c r="G453" s="260"/>
      <c r="H453" s="278"/>
      <c r="I453" s="260"/>
    </row>
    <row r="454" spans="1:14" ht="12.95">
      <c r="A454" s="268">
        <f>$A$13</f>
        <v>2025</v>
      </c>
      <c r="B454" s="278"/>
      <c r="C454" s="260"/>
      <c r="D454" s="278"/>
      <c r="E454" s="260"/>
      <c r="F454" s="278"/>
      <c r="G454" s="260"/>
      <c r="H454" s="278"/>
      <c r="I454" s="260"/>
      <c r="K454" s="262" t="str">
        <f>CONCATENATE(A454," - ",A459)</f>
        <v>2025 - 2035</v>
      </c>
    </row>
    <row r="455" spans="1:14">
      <c r="A455" s="258" t="s">
        <v>144</v>
      </c>
      <c r="B455" s="278">
        <f>'Ind T6'!Q540</f>
        <v>168.0330000002082</v>
      </c>
      <c r="C455" s="275" t="str">
        <f>CONCATENATE("(",ROUND((B455/$H457)*100,1),")")</f>
        <v>(19)</v>
      </c>
      <c r="D455" s="278">
        <f>'Ind T6'!R540</f>
        <v>139.33900000044127</v>
      </c>
      <c r="E455" s="275" t="str">
        <f>CONCATENATE("(",ROUND((D455/$H457)*100,1),")")</f>
        <v>(15.7)</v>
      </c>
      <c r="F455" s="278">
        <f>'Ind T6'!S540</f>
        <v>121.06400001032333</v>
      </c>
      <c r="G455" s="275" t="str">
        <f>CONCATENATE("(",ROUND((F455/$H457)*100,1),")")</f>
        <v>(13.7)</v>
      </c>
      <c r="H455" s="278">
        <f>SUM(B455,D455,F455)</f>
        <v>428.43600001097275</v>
      </c>
      <c r="I455" s="275" t="str">
        <f>CONCATENATE("(",ROUND((H455/$H457)*100,1),")")</f>
        <v>(48.4)</v>
      </c>
      <c r="K455" s="278">
        <f>B460-B455</f>
        <v>14.145999999838949</v>
      </c>
      <c r="L455" s="278">
        <f>D460-D455</f>
        <v>16.122000000340023</v>
      </c>
      <c r="M455" s="278">
        <f>F460-F455</f>
        <v>10.935999999604377</v>
      </c>
      <c r="N455" s="278">
        <f>SUM(K455:M455)</f>
        <v>41.203999999783349</v>
      </c>
    </row>
    <row r="456" spans="1:14">
      <c r="A456" s="258" t="s">
        <v>145</v>
      </c>
      <c r="B456" s="278">
        <f>'Ind T6'!Q539</f>
        <v>124.77100000158249</v>
      </c>
      <c r="C456" s="275" t="str">
        <f>CONCATENATE("(",ROUND((B456/$H457)*100,1),")")</f>
        <v>(14.1)</v>
      </c>
      <c r="D456" s="278">
        <f>'Ind T6'!R539</f>
        <v>199.27700000141388</v>
      </c>
      <c r="E456" s="275" t="str">
        <f>CONCATENATE("(",ROUND((D456/$H457)*100,1),")")</f>
        <v>(22.5)</v>
      </c>
      <c r="F456" s="278">
        <f>'Ind T6'!S539</f>
        <v>133.12500000048166</v>
      </c>
      <c r="G456" s="275" t="str">
        <f>CONCATENATE("(",ROUND((F456/$H457)*100,1),")")</f>
        <v>(15)</v>
      </c>
      <c r="H456" s="278">
        <f t="shared" ref="H456" si="340">SUM(B456,D456,F456)</f>
        <v>457.17300000347802</v>
      </c>
      <c r="I456" s="275" t="str">
        <f>CONCATENATE("(",ROUND((H456/$H457)*100,1),")")</f>
        <v>(51.6)</v>
      </c>
      <c r="K456" s="278">
        <f t="shared" ref="K456:K457" si="341">B461-B456</f>
        <v>1.1520000007235041</v>
      </c>
      <c r="L456" s="278">
        <f t="shared" ref="L456:L457" si="342">D461-D456</f>
        <v>14.649000000359109</v>
      </c>
      <c r="M456" s="278">
        <f t="shared" ref="M456:M457" si="343">F461-F456</f>
        <v>14.961000000472467</v>
      </c>
      <c r="N456" s="278">
        <f t="shared" ref="N456:N457" si="344">SUM(K456:M456)</f>
        <v>30.76200000155508</v>
      </c>
    </row>
    <row r="457" spans="1:14">
      <c r="A457" s="258" t="s">
        <v>146</v>
      </c>
      <c r="B457" s="278">
        <f>SUM(B455:B456)</f>
        <v>292.80400000179071</v>
      </c>
      <c r="C457" s="275" t="str">
        <f>CONCATENATE("(",ROUND((B457/$H457)*100,1),")")</f>
        <v>(33.1)</v>
      </c>
      <c r="D457" s="278">
        <f>SUM(D455:D456)</f>
        <v>338.61600000185513</v>
      </c>
      <c r="E457" s="275" t="str">
        <f>CONCATENATE("(",ROUND((D457/$H457)*100,1),")")</f>
        <v>(38.2)</v>
      </c>
      <c r="F457" s="278">
        <f>SUM(F455:F456)</f>
        <v>254.18900001080499</v>
      </c>
      <c r="G457" s="275" t="str">
        <f>CONCATENATE("(",ROUND((F457/$H457)*100,1),")")</f>
        <v>(28.7)</v>
      </c>
      <c r="H457" s="278">
        <f>SUM(H455:H456)</f>
        <v>885.60900001445077</v>
      </c>
      <c r="I457" s="275" t="str">
        <f>CONCATENATE("(",ROUND((H457/$H457)*100,1),")")</f>
        <v>(100)</v>
      </c>
      <c r="K457" s="278">
        <f t="shared" si="341"/>
        <v>15.298000000562467</v>
      </c>
      <c r="L457" s="278">
        <f t="shared" si="342"/>
        <v>30.771000000699132</v>
      </c>
      <c r="M457" s="278">
        <f t="shared" si="343"/>
        <v>25.897000000076844</v>
      </c>
      <c r="N457" s="278">
        <f t="shared" si="344"/>
        <v>71.966000001338443</v>
      </c>
    </row>
    <row r="458" spans="1:14">
      <c r="B458" s="278"/>
      <c r="C458" s="260"/>
      <c r="D458" s="278"/>
      <c r="E458" s="260"/>
      <c r="F458" s="278"/>
      <c r="G458" s="260"/>
      <c r="H458" s="278"/>
      <c r="I458" s="260"/>
    </row>
    <row r="459" spans="1:14" ht="12.95">
      <c r="A459" s="268">
        <f>$A$18</f>
        <v>2035</v>
      </c>
      <c r="B459" s="278"/>
      <c r="C459" s="260"/>
      <c r="D459" s="278"/>
      <c r="E459" s="260"/>
      <c r="F459" s="278"/>
      <c r="G459" s="260"/>
      <c r="H459" s="278"/>
      <c r="I459" s="260"/>
      <c r="K459" s="262" t="str">
        <f>CONCATENATE(A449," - ",A459)</f>
        <v>2020 - 2035</v>
      </c>
    </row>
    <row r="460" spans="1:14">
      <c r="A460" s="258" t="s">
        <v>144</v>
      </c>
      <c r="B460" s="278">
        <f>'Ind T6'!V540</f>
        <v>182.17900000004715</v>
      </c>
      <c r="C460" s="275" t="str">
        <f>CONCATENATE("(",ROUND((B460/$H462)*100,1),")")</f>
        <v>(19)</v>
      </c>
      <c r="D460" s="278">
        <f>'Ind T6'!W540</f>
        <v>155.4610000007813</v>
      </c>
      <c r="E460" s="275" t="str">
        <f>CONCATENATE("(",ROUND((D460/$H462)*100,1),")")</f>
        <v>(16.2)</v>
      </c>
      <c r="F460" s="278">
        <f>'Ind T6'!X540</f>
        <v>132.0000000099277</v>
      </c>
      <c r="G460" s="275" t="str">
        <f>CONCATENATE("(",ROUND((F460/$H462)*100,1),")")</f>
        <v>(13.8)</v>
      </c>
      <c r="H460" s="278">
        <f>SUM(B460,D460,F460)</f>
        <v>469.64000001075613</v>
      </c>
      <c r="I460" s="275" t="str">
        <f>CONCATENATE("(",ROUND((H460/$H462)*100,1),")")</f>
        <v>(49)</v>
      </c>
      <c r="K460" s="278">
        <f>B460-B450</f>
        <v>21.489000000112981</v>
      </c>
      <c r="L460" s="278">
        <f>D460-D450</f>
        <v>24.075000000538552</v>
      </c>
      <c r="M460" s="278">
        <f>F460-F450</f>
        <v>10.036000005645846</v>
      </c>
      <c r="N460" s="278">
        <f>SUM(K460:M460)</f>
        <v>55.600000006297378</v>
      </c>
    </row>
    <row r="461" spans="1:14">
      <c r="A461" s="258" t="s">
        <v>145</v>
      </c>
      <c r="B461" s="278">
        <f>'Ind T6'!V539</f>
        <v>125.923000002306</v>
      </c>
      <c r="C461" s="275" t="str">
        <f>CONCATENATE("(",ROUND((B461/$H462)*100,1),")")</f>
        <v>(13.2)</v>
      </c>
      <c r="D461" s="278">
        <f>'Ind T6'!W539</f>
        <v>213.92600000177299</v>
      </c>
      <c r="E461" s="275" t="str">
        <f>CONCATENATE("(",ROUND((D461/$H462)*100,1),")")</f>
        <v>(22.3)</v>
      </c>
      <c r="F461" s="278">
        <f>'Ind T6'!X539</f>
        <v>148.08600000095413</v>
      </c>
      <c r="G461" s="275" t="str">
        <f>CONCATENATE("(",ROUND((F461/$H462)*100,1),")")</f>
        <v>(15.5)</v>
      </c>
      <c r="H461" s="278">
        <f t="shared" ref="H461" si="345">SUM(B461,D461,F461)</f>
        <v>487.93500000503315</v>
      </c>
      <c r="I461" s="275" t="str">
        <f>CONCATENATE("(",ROUND((H461/$H462)*100,1),")")</f>
        <v>(51)</v>
      </c>
      <c r="K461" s="278">
        <f t="shared" ref="K461:K462" si="346">B461-B451</f>
        <v>0.61300000286858847</v>
      </c>
      <c r="L461" s="278">
        <f t="shared" ref="L461:L462" si="347">D461-D451</f>
        <v>22.197000000859077</v>
      </c>
      <c r="M461" s="278">
        <f t="shared" ref="M461:M462" si="348">F461-F451</f>
        <v>14.427000003544435</v>
      </c>
      <c r="N461" s="278">
        <f t="shared" ref="N461:N462" si="349">SUM(K461:M461)</f>
        <v>37.237000007272101</v>
      </c>
    </row>
    <row r="462" spans="1:14">
      <c r="A462" s="258" t="s">
        <v>146</v>
      </c>
      <c r="B462" s="278">
        <f>SUM(B460:B461)</f>
        <v>308.10200000235318</v>
      </c>
      <c r="C462" s="275" t="str">
        <f>CONCATENATE("(",ROUND((B462/$H462)*100,1),")")</f>
        <v>(32.2)</v>
      </c>
      <c r="D462" s="278">
        <f>SUM(D460:D461)</f>
        <v>369.38700000255426</v>
      </c>
      <c r="E462" s="275" t="str">
        <f>CONCATENATE("(",ROUND((D462/$H462)*100,1),")")</f>
        <v>(38.6)</v>
      </c>
      <c r="F462" s="278">
        <f>SUM(F460:F461)</f>
        <v>280.08600001088183</v>
      </c>
      <c r="G462" s="275" t="str">
        <f>CONCATENATE("(",ROUND((F462/$H462)*100,1),")")</f>
        <v>(29.2)</v>
      </c>
      <c r="H462" s="278">
        <f>SUM(H460:H461)</f>
        <v>957.57500001578933</v>
      </c>
      <c r="I462" s="275" t="str">
        <f>CONCATENATE("(",ROUND((H462/$H462)*100,1),")")</f>
        <v>(100)</v>
      </c>
      <c r="K462" s="278">
        <f t="shared" si="346"/>
        <v>22.102000002981583</v>
      </c>
      <c r="L462" s="278">
        <f t="shared" si="347"/>
        <v>46.2720000013976</v>
      </c>
      <c r="M462" s="278">
        <f t="shared" si="348"/>
        <v>24.463000009190296</v>
      </c>
      <c r="N462" s="278">
        <f t="shared" si="349"/>
        <v>92.83700001356948</v>
      </c>
    </row>
    <row r="463" spans="1:14">
      <c r="A463" s="269"/>
      <c r="B463" s="270"/>
      <c r="C463" s="269"/>
      <c r="D463" s="270"/>
      <c r="E463" s="269"/>
      <c r="F463" s="270"/>
      <c r="G463" s="269"/>
      <c r="H463" s="270"/>
      <c r="I463" s="269"/>
      <c r="J463" s="269"/>
      <c r="K463" s="270"/>
      <c r="L463" s="270"/>
      <c r="M463" s="270"/>
      <c r="N463" s="270"/>
    </row>
    <row r="466" spans="1:14" ht="12.95">
      <c r="C466" s="158"/>
      <c r="E466" s="158"/>
      <c r="G466" s="158"/>
      <c r="I466" s="158"/>
    </row>
    <row r="467" spans="1:14" ht="12.95">
      <c r="A467" s="264"/>
      <c r="B467" s="265" t="s">
        <v>133</v>
      </c>
      <c r="C467" s="264"/>
      <c r="D467" s="265"/>
      <c r="E467" s="264"/>
      <c r="F467" s="265" t="str">
        <f>name!B25</f>
        <v>Other services</v>
      </c>
      <c r="G467" s="264"/>
      <c r="H467" s="267"/>
      <c r="I467" s="264"/>
      <c r="J467" s="266"/>
      <c r="K467" s="267"/>
      <c r="L467" s="267"/>
      <c r="M467" s="267"/>
      <c r="N467" s="267"/>
    </row>
    <row r="468" spans="1:14" ht="12.95">
      <c r="N468" s="263" t="s">
        <v>134</v>
      </c>
    </row>
    <row r="469" spans="1:14" ht="12.95">
      <c r="A469" s="158" t="s">
        <v>135</v>
      </c>
      <c r="B469" s="364" t="s">
        <v>136</v>
      </c>
      <c r="C469" s="364"/>
      <c r="D469" s="364" t="s">
        <v>137</v>
      </c>
      <c r="E469" s="364"/>
      <c r="F469" s="364" t="s">
        <v>138</v>
      </c>
      <c r="G469" s="364"/>
      <c r="H469" s="364" t="s">
        <v>119</v>
      </c>
      <c r="I469" s="364"/>
      <c r="J469" s="158"/>
      <c r="K469" s="273" t="s">
        <v>139</v>
      </c>
      <c r="L469" s="273" t="s">
        <v>140</v>
      </c>
      <c r="M469" s="273" t="s">
        <v>141</v>
      </c>
      <c r="N469" s="273" t="s">
        <v>119</v>
      </c>
    </row>
    <row r="470" spans="1:14" ht="12.95">
      <c r="A470" s="268">
        <f>$A$8</f>
        <v>2020</v>
      </c>
      <c r="B470" s="263" t="s">
        <v>142</v>
      </c>
      <c r="C470" s="18" t="s">
        <v>143</v>
      </c>
      <c r="D470" s="263" t="s">
        <v>142</v>
      </c>
      <c r="E470" s="18" t="s">
        <v>143</v>
      </c>
      <c r="F470" s="263" t="s">
        <v>142</v>
      </c>
      <c r="G470" s="18" t="s">
        <v>143</v>
      </c>
      <c r="H470" s="263" t="s">
        <v>142</v>
      </c>
      <c r="I470" s="18" t="s">
        <v>143</v>
      </c>
      <c r="J470" s="158"/>
      <c r="K470" s="262" t="str">
        <f>CONCATENATE(A470," - ",A475)</f>
        <v>2020 - 2025</v>
      </c>
      <c r="L470" s="261"/>
      <c r="M470" s="261"/>
    </row>
    <row r="471" spans="1:14">
      <c r="A471" s="258" t="s">
        <v>144</v>
      </c>
      <c r="B471" s="278">
        <f>'Ind T6'!L565</f>
        <v>165.03799999967464</v>
      </c>
      <c r="C471" s="275" t="str">
        <f>CONCATENATE("(",ROUND((B471/$H473)*100,1),")")</f>
        <v>(19.3)</v>
      </c>
      <c r="D471" s="278">
        <f>'Ind T6'!M565</f>
        <v>58.0170000001307</v>
      </c>
      <c r="E471" s="275" t="str">
        <f>CONCATENATE("(",ROUND((D471/$H473)*100,1),")")</f>
        <v>(6.8)</v>
      </c>
      <c r="F471" s="278">
        <f>'Ind T6'!N565</f>
        <v>81.063000001534618</v>
      </c>
      <c r="G471" s="275" t="str">
        <f>CONCATENATE("(",ROUND((F471/$H473)*100,1),")")</f>
        <v>(9.5)</v>
      </c>
      <c r="H471" s="278">
        <f>SUM(B471,D471,F471)</f>
        <v>304.11800000133996</v>
      </c>
      <c r="I471" s="275" t="str">
        <f>CONCATENATE("(",ROUND((H471/$H473)*100,1),")")</f>
        <v>(35.5)</v>
      </c>
      <c r="K471" s="278">
        <f>B476-B471</f>
        <v>4.2430000005770978</v>
      </c>
      <c r="L471" s="278">
        <f>D476-D471</f>
        <v>9.4999999701393278E-2</v>
      </c>
      <c r="M471" s="278">
        <f>F476-F471</f>
        <v>2.4860000020786117</v>
      </c>
      <c r="N471" s="278">
        <f>SUM(K471:M471)</f>
        <v>6.8240000023571028</v>
      </c>
    </row>
    <row r="472" spans="1:14">
      <c r="A472" s="258" t="s">
        <v>145</v>
      </c>
      <c r="B472" s="278">
        <f>'Ind T6'!L564</f>
        <v>181.76799999924225</v>
      </c>
      <c r="C472" s="275" t="str">
        <f>CONCATENATE("(",ROUND((B472/$H473)*100,1),")")</f>
        <v>(21.2)</v>
      </c>
      <c r="D472" s="278">
        <f>'Ind T6'!M564</f>
        <v>161.03000000111774</v>
      </c>
      <c r="E472" s="275" t="str">
        <f>CONCATENATE("(",ROUND((D472/$H473)*100,1),")")</f>
        <v>(18.8)</v>
      </c>
      <c r="F472" s="278">
        <f>'Ind T6'!N564</f>
        <v>209.39199999592833</v>
      </c>
      <c r="G472" s="275" t="str">
        <f>CONCATENATE("(",ROUND((F472/$H473)*100,1),")")</f>
        <v>(24.5)</v>
      </c>
      <c r="H472" s="278">
        <f t="shared" ref="H472" si="350">SUM(B472,D472,F472)</f>
        <v>552.18999999628829</v>
      </c>
      <c r="I472" s="275" t="str">
        <f>CONCATENATE("(",ROUND((H472/$H473)*100,1),")")</f>
        <v>(64.5)</v>
      </c>
      <c r="K472" s="278">
        <f t="shared" ref="K472:K473" si="351">B477-B472</f>
        <v>-4.7329999967127776</v>
      </c>
      <c r="L472" s="278">
        <f t="shared" ref="L472:L473" si="352">D477-D472</f>
        <v>-3.9549999997582859</v>
      </c>
      <c r="M472" s="278">
        <f t="shared" ref="M472:M473" si="353">F477-F472</f>
        <v>-4.9969999954613229</v>
      </c>
      <c r="N472" s="278">
        <f t="shared" ref="N472:N473" si="354">SUM(K472:M472)</f>
        <v>-13.684999991932386</v>
      </c>
    </row>
    <row r="473" spans="1:14">
      <c r="A473" s="258" t="s">
        <v>146</v>
      </c>
      <c r="B473" s="278">
        <f>SUM(B471:B472)</f>
        <v>346.80599999891689</v>
      </c>
      <c r="C473" s="275" t="str">
        <f>CONCATENATE("(",ROUND((B473/$H473)*100,1),")")</f>
        <v>(40.5)</v>
      </c>
      <c r="D473" s="278">
        <f>SUM(D471:D472)</f>
        <v>219.04700000124845</v>
      </c>
      <c r="E473" s="275" t="str">
        <f>CONCATENATE("(",ROUND((D473/$H473)*100,1),")")</f>
        <v>(25.6)</v>
      </c>
      <c r="F473" s="278">
        <f>SUM(F471:F472)</f>
        <v>290.45499999746295</v>
      </c>
      <c r="G473" s="275" t="str">
        <f>CONCATENATE("(",ROUND((F473/$H473)*100,1),")")</f>
        <v>(33.9)</v>
      </c>
      <c r="H473" s="278">
        <f>SUM(H471:H472)</f>
        <v>856.30799999762826</v>
      </c>
      <c r="I473" s="275" t="str">
        <f>CONCATENATE("(",ROUND((H473/$H473)*100,1),")")</f>
        <v>(100)</v>
      </c>
      <c r="K473" s="278">
        <f t="shared" si="351"/>
        <v>-0.48999999613567979</v>
      </c>
      <c r="L473" s="278">
        <f t="shared" si="352"/>
        <v>-3.8600000000568855</v>
      </c>
      <c r="M473" s="278">
        <f t="shared" si="353"/>
        <v>-2.5109999933827112</v>
      </c>
      <c r="N473" s="278">
        <f t="shared" si="354"/>
        <v>-6.8609999895752765</v>
      </c>
    </row>
    <row r="474" spans="1:14">
      <c r="B474" s="278"/>
      <c r="C474" s="260"/>
      <c r="D474" s="278"/>
      <c r="E474" s="260"/>
      <c r="F474" s="278"/>
      <c r="G474" s="260"/>
      <c r="H474" s="278"/>
      <c r="I474" s="260"/>
    </row>
    <row r="475" spans="1:14" ht="12.95">
      <c r="A475" s="268">
        <f>$A$13</f>
        <v>2025</v>
      </c>
      <c r="B475" s="278"/>
      <c r="C475" s="260"/>
      <c r="D475" s="278"/>
      <c r="E475" s="260"/>
      <c r="F475" s="278"/>
      <c r="G475" s="260"/>
      <c r="H475" s="278"/>
      <c r="I475" s="260"/>
      <c r="K475" s="262" t="str">
        <f>CONCATENATE(A475," - ",A480)</f>
        <v>2025 - 2035</v>
      </c>
    </row>
    <row r="476" spans="1:14">
      <c r="A476" s="258" t="s">
        <v>144</v>
      </c>
      <c r="B476" s="278">
        <f>'Ind T6'!Q565</f>
        <v>169.28100000025174</v>
      </c>
      <c r="C476" s="275" t="str">
        <f>CONCATENATE("(",ROUND((B476/$H478)*100,1),")")</f>
        <v>(19.9)</v>
      </c>
      <c r="D476" s="278">
        <f>'Ind T6'!R565</f>
        <v>58.111999999832094</v>
      </c>
      <c r="E476" s="275" t="str">
        <f>CONCATENATE("(",ROUND((D476/$H478)*100,1),")")</f>
        <v>(6.8)</v>
      </c>
      <c r="F476" s="278">
        <f>'Ind T6'!S565</f>
        <v>83.54900000361323</v>
      </c>
      <c r="G476" s="275" t="str">
        <f>CONCATENATE("(",ROUND((F476/$H478)*100,1),")")</f>
        <v>(9.8)</v>
      </c>
      <c r="H476" s="278">
        <f>SUM(B476,D476,F476)</f>
        <v>310.94200000369705</v>
      </c>
      <c r="I476" s="275" t="str">
        <f>CONCATENATE("(",ROUND((H476/$H478)*100,1),")")</f>
        <v>(36.6)</v>
      </c>
      <c r="K476" s="278">
        <f>B481-B476</f>
        <v>10.535999999806194</v>
      </c>
      <c r="L476" s="278">
        <f>D481-D476</f>
        <v>1.3110000000142463</v>
      </c>
      <c r="M476" s="278">
        <f>F481-F476</f>
        <v>5.0129999993807246</v>
      </c>
      <c r="N476" s="278">
        <f>SUM(K476:M476)</f>
        <v>16.859999999201165</v>
      </c>
    </row>
    <row r="477" spans="1:14">
      <c r="A477" s="258" t="s">
        <v>145</v>
      </c>
      <c r="B477" s="278">
        <f>'Ind T6'!Q564</f>
        <v>177.03500000252947</v>
      </c>
      <c r="C477" s="275" t="str">
        <f>CONCATENATE("(",ROUND((B477/$H478)*100,1),")")</f>
        <v>(20.8)</v>
      </c>
      <c r="D477" s="278">
        <f>'Ind T6'!R564</f>
        <v>157.07500000135946</v>
      </c>
      <c r="E477" s="275" t="str">
        <f>CONCATENATE("(",ROUND((D477/$H478)*100,1),")")</f>
        <v>(18.5)</v>
      </c>
      <c r="F477" s="278">
        <f>'Ind T6'!S564</f>
        <v>204.39500000046701</v>
      </c>
      <c r="G477" s="275" t="str">
        <f>CONCATENATE("(",ROUND((F477/$H478)*100,1),")")</f>
        <v>(24.1)</v>
      </c>
      <c r="H477" s="278">
        <f t="shared" ref="H477" si="355">SUM(B477,D477,F477)</f>
        <v>538.50500000435591</v>
      </c>
      <c r="I477" s="275" t="str">
        <f>CONCATENATE("(",ROUND((H477/$H478)*100,1),")")</f>
        <v>(63.4)</v>
      </c>
      <c r="K477" s="278">
        <f t="shared" ref="K477:K478" si="356">B482-B477</f>
        <v>-4.8009999999027286</v>
      </c>
      <c r="L477" s="278">
        <f t="shared" ref="L477:L478" si="357">D482-D477</f>
        <v>-3.1679999997636799</v>
      </c>
      <c r="M477" s="278">
        <f t="shared" ref="M477:M478" si="358">F482-F477</f>
        <v>-2.2539999985869201</v>
      </c>
      <c r="N477" s="278">
        <f t="shared" ref="N477:N478" si="359">SUM(K477:M477)</f>
        <v>-10.222999998253329</v>
      </c>
    </row>
    <row r="478" spans="1:14">
      <c r="A478" s="258" t="s">
        <v>146</v>
      </c>
      <c r="B478" s="278">
        <f>SUM(B476:B477)</f>
        <v>346.31600000278121</v>
      </c>
      <c r="C478" s="275" t="str">
        <f>CONCATENATE("(",ROUND((B478/$H478)*100,1),")")</f>
        <v>(40.8)</v>
      </c>
      <c r="D478" s="278">
        <f>SUM(D476:D477)</f>
        <v>215.18700000119156</v>
      </c>
      <c r="E478" s="275" t="str">
        <f>CONCATENATE("(",ROUND((D478/$H478)*100,1),")")</f>
        <v>(25.3)</v>
      </c>
      <c r="F478" s="278">
        <f>SUM(F476:F477)</f>
        <v>287.94400000408024</v>
      </c>
      <c r="G478" s="275" t="str">
        <f>CONCATENATE("(",ROUND((F478/$H478)*100,1),")")</f>
        <v>(33.9)</v>
      </c>
      <c r="H478" s="278">
        <f>SUM(H476:H477)</f>
        <v>849.44700000805301</v>
      </c>
      <c r="I478" s="275" t="str">
        <f>CONCATENATE("(",ROUND((H478/$H478)*100,1),")")</f>
        <v>(100)</v>
      </c>
      <c r="K478" s="278">
        <f t="shared" si="356"/>
        <v>5.7349999999034367</v>
      </c>
      <c r="L478" s="278">
        <f t="shared" si="357"/>
        <v>-1.8569999997494619</v>
      </c>
      <c r="M478" s="278">
        <f t="shared" si="358"/>
        <v>2.7590000007938329</v>
      </c>
      <c r="N478" s="278">
        <f t="shared" si="359"/>
        <v>6.6370000009478076</v>
      </c>
    </row>
    <row r="479" spans="1:14">
      <c r="B479" s="278"/>
      <c r="C479" s="260"/>
      <c r="D479" s="278"/>
      <c r="E479" s="260"/>
      <c r="F479" s="278"/>
      <c r="G479" s="260"/>
      <c r="H479" s="278"/>
      <c r="I479" s="260"/>
    </row>
    <row r="480" spans="1:14" ht="12.95">
      <c r="A480" s="268">
        <f>$A$18</f>
        <v>2035</v>
      </c>
      <c r="B480" s="278"/>
      <c r="C480" s="260"/>
      <c r="D480" s="278"/>
      <c r="E480" s="260"/>
      <c r="F480" s="278"/>
      <c r="G480" s="260"/>
      <c r="H480" s="278"/>
      <c r="I480" s="260"/>
      <c r="K480" s="262" t="str">
        <f>CONCATENATE(A470," - ",A480)</f>
        <v>2020 - 2035</v>
      </c>
    </row>
    <row r="481" spans="1:14">
      <c r="A481" s="258" t="s">
        <v>144</v>
      </c>
      <c r="B481" s="278">
        <f>'Ind T6'!V565</f>
        <v>179.81700000005793</v>
      </c>
      <c r="C481" s="275" t="str">
        <f>CONCATENATE("(",ROUND((B481/$H483)*100,1),")")</f>
        <v>(21)</v>
      </c>
      <c r="D481" s="278">
        <f>'Ind T6'!W565</f>
        <v>59.42299999984634</v>
      </c>
      <c r="E481" s="275" t="str">
        <f>CONCATENATE("(",ROUND((D481/$H483)*100,1),")")</f>
        <v>(6.9)</v>
      </c>
      <c r="F481" s="278">
        <f>'Ind T6'!X565</f>
        <v>88.562000002993955</v>
      </c>
      <c r="G481" s="275" t="str">
        <f>CONCATENATE("(",ROUND((F481/$H483)*100,1),")")</f>
        <v>(10.3)</v>
      </c>
      <c r="H481" s="278">
        <f>SUM(B481,D481,F481)</f>
        <v>327.80200000289824</v>
      </c>
      <c r="I481" s="275" t="str">
        <f>CONCATENATE("(",ROUND((H481/$H483)*100,1),")")</f>
        <v>(38.3)</v>
      </c>
      <c r="K481" s="278">
        <f>B481-B471</f>
        <v>14.779000000383292</v>
      </c>
      <c r="L481" s="278">
        <f>D481-D471</f>
        <v>1.4059999997156396</v>
      </c>
      <c r="M481" s="278">
        <f>F481-F471</f>
        <v>7.4990000014593363</v>
      </c>
      <c r="N481" s="278">
        <f>SUM(K481:M481)</f>
        <v>23.684000001558267</v>
      </c>
    </row>
    <row r="482" spans="1:14">
      <c r="A482" s="258" t="s">
        <v>145</v>
      </c>
      <c r="B482" s="278">
        <f>'Ind T6'!V564</f>
        <v>172.23400000262674</v>
      </c>
      <c r="C482" s="275" t="str">
        <f>CONCATENATE("(",ROUND((B482/$H483)*100,1),")")</f>
        <v>(20.1)</v>
      </c>
      <c r="D482" s="278">
        <f>'Ind T6'!W564</f>
        <v>153.90700000159578</v>
      </c>
      <c r="E482" s="275" t="str">
        <f>CONCATENATE("(",ROUND((D482/$H483)*100,1),")")</f>
        <v>(18)</v>
      </c>
      <c r="F482" s="278">
        <f>'Ind T6'!X564</f>
        <v>202.14100000188009</v>
      </c>
      <c r="G482" s="275" t="str">
        <f>CONCATENATE("(",ROUND((F482/$H483)*100,1),")")</f>
        <v>(23.6)</v>
      </c>
      <c r="H482" s="278">
        <f t="shared" ref="H482" si="360">SUM(B482,D482,F482)</f>
        <v>528.28200000610263</v>
      </c>
      <c r="I482" s="275" t="str">
        <f>CONCATENATE("(",ROUND((H482/$H483)*100,1),")")</f>
        <v>(61.7)</v>
      </c>
      <c r="K482" s="278">
        <f t="shared" ref="K482:K483" si="361">B482-B472</f>
        <v>-9.5339999966155062</v>
      </c>
      <c r="L482" s="278">
        <f t="shared" ref="L482:L483" si="362">D482-D472</f>
        <v>-7.1229999995219657</v>
      </c>
      <c r="M482" s="278">
        <f t="shared" ref="M482:M483" si="363">F482-F472</f>
        <v>-7.250999994048243</v>
      </c>
      <c r="N482" s="278">
        <f t="shared" ref="N482:N483" si="364">SUM(K482:M482)</f>
        <v>-23.907999990185715</v>
      </c>
    </row>
    <row r="483" spans="1:14">
      <c r="A483" s="258" t="s">
        <v>146</v>
      </c>
      <c r="B483" s="278">
        <f>SUM(B481:B482)</f>
        <v>352.05100000268465</v>
      </c>
      <c r="C483" s="275" t="str">
        <f>CONCATENATE("(",ROUND((B483/$H483)*100,1),")")</f>
        <v>(41.1)</v>
      </c>
      <c r="D483" s="278">
        <f>SUM(D481:D482)</f>
        <v>213.3300000014421</v>
      </c>
      <c r="E483" s="275" t="str">
        <f>CONCATENATE("(",ROUND((D483/$H483)*100,1),")")</f>
        <v>(24.9)</v>
      </c>
      <c r="F483" s="278">
        <f>SUM(F481:F482)</f>
        <v>290.70300000487407</v>
      </c>
      <c r="G483" s="275" t="str">
        <f>CONCATENATE("(",ROUND((F483/$H483)*100,1),")")</f>
        <v>(34)</v>
      </c>
      <c r="H483" s="278">
        <f>SUM(H481:H482)</f>
        <v>856.08400000900087</v>
      </c>
      <c r="I483" s="275" t="str">
        <f>CONCATENATE("(",ROUND((H483/$H483)*100,1),")")</f>
        <v>(100)</v>
      </c>
      <c r="K483" s="278">
        <f t="shared" si="361"/>
        <v>5.2450000037677569</v>
      </c>
      <c r="L483" s="278">
        <f t="shared" si="362"/>
        <v>-5.7169999998063474</v>
      </c>
      <c r="M483" s="278">
        <f t="shared" si="363"/>
        <v>0.24800000741112171</v>
      </c>
      <c r="N483" s="278">
        <f t="shared" si="364"/>
        <v>-0.22399998862746884</v>
      </c>
    </row>
    <row r="484" spans="1:14">
      <c r="A484" s="269"/>
      <c r="B484" s="270"/>
      <c r="C484" s="269"/>
      <c r="D484" s="270"/>
      <c r="E484" s="269"/>
      <c r="F484" s="270"/>
      <c r="G484" s="269"/>
      <c r="H484" s="270"/>
      <c r="I484" s="269"/>
      <c r="J484" s="269"/>
      <c r="K484" s="270"/>
      <c r="L484" s="270"/>
      <c r="M484" s="270"/>
      <c r="N484" s="270"/>
    </row>
    <row r="488" spans="1:14" ht="12.95">
      <c r="A488" s="158"/>
      <c r="B488" s="261"/>
      <c r="C488" s="158"/>
      <c r="D488" s="261"/>
      <c r="E488" s="158"/>
      <c r="F488" s="261"/>
      <c r="G488" s="158"/>
      <c r="I488" s="158"/>
    </row>
    <row r="489" spans="1:14" ht="12.95">
      <c r="N489" s="263"/>
    </row>
    <row r="490" spans="1:14" ht="12.95">
      <c r="A490" s="158"/>
      <c r="B490" s="364"/>
      <c r="C490" s="364"/>
      <c r="D490" s="364"/>
      <c r="E490" s="364"/>
      <c r="F490" s="364"/>
      <c r="G490" s="364"/>
      <c r="H490" s="364"/>
      <c r="I490" s="364"/>
      <c r="J490" s="158"/>
      <c r="K490" s="263"/>
      <c r="L490" s="263"/>
      <c r="M490" s="263"/>
      <c r="N490" s="263"/>
    </row>
    <row r="491" spans="1:14" ht="12.95">
      <c r="A491" s="268"/>
      <c r="B491" s="263"/>
      <c r="C491" s="18"/>
      <c r="D491" s="263"/>
      <c r="E491" s="18"/>
      <c r="F491" s="263"/>
      <c r="G491" s="18"/>
      <c r="H491" s="263"/>
      <c r="I491" s="18"/>
      <c r="J491" s="158"/>
      <c r="K491" s="262"/>
      <c r="L491" s="261"/>
      <c r="M491" s="261"/>
    </row>
    <row r="492" spans="1:14">
      <c r="B492" s="225"/>
      <c r="C492" s="260"/>
      <c r="D492" s="225"/>
      <c r="E492" s="260"/>
      <c r="F492" s="225"/>
      <c r="G492" s="260"/>
      <c r="H492" s="225"/>
      <c r="I492" s="260"/>
      <c r="K492" s="225"/>
      <c r="L492" s="225"/>
      <c r="M492" s="225"/>
      <c r="N492" s="225"/>
    </row>
    <row r="493" spans="1:14">
      <c r="B493" s="225"/>
      <c r="C493" s="260"/>
      <c r="D493" s="225"/>
      <c r="E493" s="260"/>
      <c r="F493" s="225"/>
      <c r="G493" s="260"/>
      <c r="H493" s="225"/>
      <c r="I493" s="260"/>
      <c r="K493" s="225"/>
      <c r="L493" s="225"/>
      <c r="M493" s="225"/>
      <c r="N493" s="225"/>
    </row>
    <row r="494" spans="1:14">
      <c r="B494" s="225"/>
      <c r="C494" s="260"/>
      <c r="D494" s="225"/>
      <c r="E494" s="260"/>
      <c r="F494" s="225"/>
      <c r="G494" s="260"/>
      <c r="H494" s="225"/>
      <c r="I494" s="260"/>
      <c r="K494" s="225"/>
      <c r="L494" s="225"/>
      <c r="M494" s="225"/>
      <c r="N494" s="225"/>
    </row>
    <row r="495" spans="1:14">
      <c r="B495" s="225"/>
      <c r="C495" s="260"/>
      <c r="D495" s="225"/>
      <c r="E495" s="260"/>
      <c r="F495" s="225"/>
      <c r="G495" s="260"/>
      <c r="H495" s="225"/>
      <c r="I495" s="260"/>
    </row>
    <row r="496" spans="1:14" ht="12.95">
      <c r="A496" s="268"/>
      <c r="B496" s="225"/>
      <c r="C496" s="260"/>
      <c r="D496" s="225"/>
      <c r="E496" s="260"/>
      <c r="F496" s="225"/>
      <c r="G496" s="260"/>
      <c r="H496" s="225"/>
      <c r="I496" s="260"/>
      <c r="K496" s="261"/>
    </row>
    <row r="497" spans="1:14">
      <c r="B497" s="225"/>
      <c r="C497" s="260"/>
      <c r="D497" s="225"/>
      <c r="E497" s="260"/>
      <c r="F497" s="225"/>
      <c r="G497" s="260"/>
      <c r="H497" s="225"/>
      <c r="I497" s="260"/>
      <c r="K497" s="225"/>
      <c r="L497" s="225"/>
      <c r="M497" s="225"/>
      <c r="N497" s="225"/>
    </row>
    <row r="498" spans="1:14">
      <c r="B498" s="225"/>
      <c r="C498" s="260"/>
      <c r="D498" s="225"/>
      <c r="E498" s="260"/>
      <c r="F498" s="225"/>
      <c r="G498" s="260"/>
      <c r="H498" s="225"/>
      <c r="I498" s="260"/>
      <c r="K498" s="225"/>
      <c r="L498" s="225"/>
      <c r="M498" s="225"/>
      <c r="N498" s="225"/>
    </row>
    <row r="499" spans="1:14">
      <c r="B499" s="225"/>
      <c r="C499" s="260"/>
      <c r="D499" s="225"/>
      <c r="E499" s="260"/>
      <c r="F499" s="225"/>
      <c r="G499" s="260"/>
      <c r="H499" s="225"/>
      <c r="I499" s="260"/>
      <c r="K499" s="225"/>
      <c r="L499" s="225"/>
      <c r="M499" s="225"/>
      <c r="N499" s="225"/>
    </row>
    <row r="500" spans="1:14">
      <c r="B500" s="225"/>
      <c r="C500" s="260"/>
      <c r="D500" s="225"/>
      <c r="E500" s="260"/>
      <c r="F500" s="225"/>
      <c r="G500" s="260"/>
      <c r="H500" s="225"/>
      <c r="I500" s="260"/>
    </row>
    <row r="501" spans="1:14" ht="12.95">
      <c r="A501" s="268"/>
      <c r="B501" s="225"/>
      <c r="C501" s="260"/>
      <c r="D501" s="225"/>
      <c r="E501" s="260"/>
      <c r="F501" s="225"/>
      <c r="G501" s="260"/>
      <c r="H501" s="225"/>
      <c r="I501" s="260"/>
      <c r="K501" s="261"/>
    </row>
    <row r="502" spans="1:14">
      <c r="B502" s="225"/>
      <c r="C502" s="260"/>
      <c r="D502" s="225"/>
      <c r="E502" s="260"/>
      <c r="F502" s="225"/>
      <c r="G502" s="260"/>
      <c r="H502" s="225"/>
      <c r="I502" s="260"/>
      <c r="K502" s="225"/>
      <c r="L502" s="225"/>
      <c r="M502" s="225"/>
      <c r="N502" s="225"/>
    </row>
    <row r="503" spans="1:14">
      <c r="B503" s="225"/>
      <c r="C503" s="260"/>
      <c r="D503" s="225"/>
      <c r="E503" s="260"/>
      <c r="F503" s="225"/>
      <c r="G503" s="260"/>
      <c r="H503" s="225"/>
      <c r="I503" s="260"/>
      <c r="K503" s="225"/>
      <c r="L503" s="225"/>
      <c r="M503" s="225"/>
      <c r="N503" s="225"/>
    </row>
    <row r="504" spans="1:14">
      <c r="B504" s="225"/>
      <c r="C504" s="260"/>
      <c r="D504" s="225"/>
      <c r="E504" s="260"/>
      <c r="F504" s="225"/>
      <c r="G504" s="260"/>
      <c r="H504" s="225"/>
      <c r="I504" s="260"/>
      <c r="K504" s="225"/>
      <c r="L504" s="225"/>
      <c r="M504" s="225"/>
      <c r="N504" s="225"/>
    </row>
    <row r="509" spans="1:14" ht="12.95">
      <c r="A509" s="158"/>
      <c r="B509" s="261"/>
      <c r="C509" s="158"/>
      <c r="D509" s="261"/>
      <c r="E509" s="158"/>
      <c r="F509" s="261"/>
      <c r="G509" s="158"/>
      <c r="I509" s="158"/>
    </row>
    <row r="510" spans="1:14" ht="12.95">
      <c r="N510" s="263"/>
    </row>
    <row r="511" spans="1:14" ht="12.95">
      <c r="A511" s="158"/>
      <c r="B511" s="364"/>
      <c r="C511" s="364"/>
      <c r="D511" s="364"/>
      <c r="E511" s="364"/>
      <c r="F511" s="364"/>
      <c r="G511" s="364"/>
      <c r="H511" s="364"/>
      <c r="I511" s="364"/>
      <c r="J511" s="158"/>
      <c r="K511" s="263"/>
      <c r="L511" s="263"/>
      <c r="M511" s="263"/>
      <c r="N511" s="263"/>
    </row>
    <row r="512" spans="1:14" ht="12.95">
      <c r="A512" s="268"/>
      <c r="B512" s="263"/>
      <c r="C512" s="18"/>
      <c r="D512" s="263"/>
      <c r="E512" s="18"/>
      <c r="F512" s="263"/>
      <c r="G512" s="18"/>
      <c r="H512" s="263"/>
      <c r="I512" s="18"/>
      <c r="J512" s="158"/>
      <c r="K512" s="262"/>
      <c r="L512" s="261"/>
      <c r="M512" s="261"/>
    </row>
    <row r="513" spans="1:14">
      <c r="B513" s="225"/>
      <c r="C513" s="260"/>
      <c r="D513" s="225"/>
      <c r="E513" s="260"/>
      <c r="F513" s="225"/>
      <c r="G513" s="260"/>
      <c r="H513" s="225"/>
      <c r="I513" s="260"/>
      <c r="K513" s="225"/>
      <c r="L513" s="225"/>
      <c r="M513" s="225"/>
      <c r="N513" s="225"/>
    </row>
    <row r="514" spans="1:14">
      <c r="B514" s="225"/>
      <c r="C514" s="260"/>
      <c r="D514" s="225"/>
      <c r="E514" s="260"/>
      <c r="F514" s="225"/>
      <c r="G514" s="260"/>
      <c r="H514" s="225"/>
      <c r="I514" s="260"/>
      <c r="K514" s="225"/>
      <c r="L514" s="225"/>
      <c r="M514" s="225"/>
      <c r="N514" s="225"/>
    </row>
    <row r="515" spans="1:14">
      <c r="B515" s="225"/>
      <c r="C515" s="260"/>
      <c r="D515" s="225"/>
      <c r="E515" s="260"/>
      <c r="F515" s="225"/>
      <c r="G515" s="260"/>
      <c r="H515" s="225"/>
      <c r="I515" s="260"/>
      <c r="K515" s="225"/>
      <c r="L515" s="225"/>
      <c r="M515" s="225"/>
      <c r="N515" s="225"/>
    </row>
    <row r="516" spans="1:14">
      <c r="B516" s="225"/>
      <c r="C516" s="260"/>
      <c r="D516" s="225"/>
      <c r="E516" s="260"/>
      <c r="F516" s="225"/>
      <c r="G516" s="260"/>
      <c r="H516" s="225"/>
      <c r="I516" s="260"/>
    </row>
    <row r="517" spans="1:14" ht="12.95">
      <c r="A517" s="268"/>
      <c r="B517" s="225"/>
      <c r="C517" s="260"/>
      <c r="D517" s="225"/>
      <c r="E517" s="260"/>
      <c r="F517" s="225"/>
      <c r="G517" s="260"/>
      <c r="H517" s="225"/>
      <c r="I517" s="260"/>
      <c r="K517" s="261"/>
    </row>
    <row r="518" spans="1:14">
      <c r="B518" s="225"/>
      <c r="C518" s="260"/>
      <c r="D518" s="225"/>
      <c r="E518" s="260"/>
      <c r="F518" s="225"/>
      <c r="G518" s="260"/>
      <c r="H518" s="225"/>
      <c r="I518" s="260"/>
      <c r="K518" s="225"/>
      <c r="L518" s="225"/>
      <c r="M518" s="225"/>
      <c r="N518" s="225"/>
    </row>
    <row r="519" spans="1:14">
      <c r="B519" s="225"/>
      <c r="C519" s="260"/>
      <c r="D519" s="225"/>
      <c r="E519" s="260"/>
      <c r="F519" s="225"/>
      <c r="G519" s="260"/>
      <c r="H519" s="225"/>
      <c r="I519" s="260"/>
      <c r="K519" s="225"/>
      <c r="L519" s="225"/>
      <c r="M519" s="225"/>
      <c r="N519" s="225"/>
    </row>
    <row r="520" spans="1:14">
      <c r="B520" s="225"/>
      <c r="C520" s="260"/>
      <c r="D520" s="225"/>
      <c r="E520" s="260"/>
      <c r="F520" s="225"/>
      <c r="G520" s="260"/>
      <c r="H520" s="225"/>
      <c r="I520" s="260"/>
      <c r="K520" s="225"/>
      <c r="L520" s="225"/>
      <c r="M520" s="225"/>
      <c r="N520" s="225"/>
    </row>
    <row r="521" spans="1:14">
      <c r="B521" s="225"/>
      <c r="C521" s="260"/>
      <c r="D521" s="225"/>
      <c r="E521" s="260"/>
      <c r="F521" s="225"/>
      <c r="G521" s="260"/>
      <c r="H521" s="225"/>
      <c r="I521" s="260"/>
    </row>
    <row r="522" spans="1:14" ht="12.95">
      <c r="A522" s="268"/>
      <c r="B522" s="225"/>
      <c r="C522" s="260"/>
      <c r="D522" s="225"/>
      <c r="E522" s="260"/>
      <c r="F522" s="225"/>
      <c r="G522" s="260"/>
      <c r="H522" s="225"/>
      <c r="I522" s="260"/>
      <c r="K522" s="261"/>
    </row>
    <row r="523" spans="1:14">
      <c r="B523" s="225"/>
      <c r="C523" s="260"/>
      <c r="D523" s="225"/>
      <c r="E523" s="260"/>
      <c r="F523" s="225"/>
      <c r="G523" s="260"/>
      <c r="H523" s="225"/>
      <c r="I523" s="260"/>
      <c r="K523" s="225"/>
      <c r="L523" s="225"/>
      <c r="M523" s="225"/>
      <c r="N523" s="225"/>
    </row>
    <row r="524" spans="1:14">
      <c r="B524" s="225"/>
      <c r="C524" s="260"/>
      <c r="D524" s="225"/>
      <c r="E524" s="260"/>
      <c r="F524" s="225"/>
      <c r="G524" s="260"/>
      <c r="H524" s="225"/>
      <c r="I524" s="260"/>
      <c r="K524" s="225"/>
      <c r="L524" s="225"/>
      <c r="M524" s="225"/>
      <c r="N524" s="225"/>
    </row>
    <row r="525" spans="1:14">
      <c r="B525" s="225"/>
      <c r="C525" s="260"/>
      <c r="D525" s="225"/>
      <c r="E525" s="260"/>
      <c r="F525" s="225"/>
      <c r="G525" s="260"/>
      <c r="H525" s="225"/>
      <c r="I525" s="260"/>
      <c r="K525" s="225"/>
      <c r="L525" s="225"/>
      <c r="M525" s="225"/>
      <c r="N525" s="225"/>
    </row>
    <row r="530" spans="1:14" ht="12.95">
      <c r="A530" s="158"/>
      <c r="B530" s="261"/>
      <c r="C530" s="158"/>
      <c r="D530" s="261"/>
      <c r="E530" s="158"/>
      <c r="F530" s="261"/>
      <c r="G530" s="158"/>
      <c r="H530" s="261"/>
      <c r="I530" s="158"/>
    </row>
    <row r="531" spans="1:14" ht="12.95">
      <c r="N531" s="263"/>
    </row>
    <row r="532" spans="1:14" ht="12.95">
      <c r="A532" s="158"/>
      <c r="B532" s="261"/>
      <c r="C532" s="158"/>
      <c r="D532" s="261"/>
      <c r="E532" s="158"/>
      <c r="F532" s="261"/>
      <c r="G532" s="158"/>
      <c r="H532" s="261"/>
      <c r="I532" s="158"/>
      <c r="J532" s="158"/>
      <c r="K532" s="263"/>
      <c r="L532" s="263"/>
      <c r="M532" s="263"/>
      <c r="N532" s="263"/>
    </row>
    <row r="533" spans="1:14" ht="12.95">
      <c r="A533" s="268"/>
      <c r="B533" s="263"/>
      <c r="C533" s="18"/>
      <c r="D533" s="263"/>
      <c r="E533" s="18"/>
      <c r="F533" s="263"/>
      <c r="G533" s="18"/>
      <c r="H533" s="263"/>
      <c r="I533" s="18"/>
      <c r="J533" s="158"/>
      <c r="K533" s="262"/>
      <c r="L533" s="261"/>
      <c r="M533" s="261"/>
    </row>
    <row r="534" spans="1:14">
      <c r="C534" s="260"/>
      <c r="E534" s="260"/>
      <c r="G534" s="260"/>
      <c r="I534" s="260"/>
    </row>
    <row r="535" spans="1:14">
      <c r="C535" s="260"/>
      <c r="E535" s="260"/>
      <c r="G535" s="260"/>
      <c r="I535" s="260"/>
    </row>
    <row r="536" spans="1:14">
      <c r="C536" s="260"/>
      <c r="E536" s="260"/>
      <c r="G536" s="260"/>
      <c r="I536" s="260"/>
    </row>
    <row r="537" spans="1:14">
      <c r="C537" s="260"/>
      <c r="E537" s="260"/>
      <c r="G537" s="260"/>
      <c r="I537" s="260"/>
    </row>
    <row r="538" spans="1:14" ht="12.95">
      <c r="A538" s="268"/>
      <c r="C538" s="260"/>
      <c r="E538" s="260"/>
      <c r="G538" s="260"/>
      <c r="I538" s="260"/>
      <c r="K538" s="261"/>
    </row>
    <row r="539" spans="1:14">
      <c r="C539" s="260"/>
      <c r="E539" s="260"/>
      <c r="G539" s="260"/>
      <c r="I539" s="260"/>
    </row>
    <row r="540" spans="1:14">
      <c r="C540" s="260"/>
      <c r="E540" s="260"/>
      <c r="G540" s="260"/>
      <c r="I540" s="260"/>
    </row>
    <row r="541" spans="1:14">
      <c r="C541" s="260"/>
      <c r="E541" s="260"/>
      <c r="G541" s="260"/>
      <c r="I541" s="260"/>
    </row>
    <row r="542" spans="1:14">
      <c r="C542" s="260"/>
      <c r="E542" s="260"/>
      <c r="G542" s="260"/>
      <c r="I542" s="260"/>
    </row>
    <row r="543" spans="1:14" ht="12.95">
      <c r="A543" s="268"/>
      <c r="C543" s="260"/>
      <c r="E543" s="260"/>
      <c r="G543" s="260"/>
      <c r="I543" s="260"/>
      <c r="K543" s="261"/>
    </row>
    <row r="544" spans="1:14">
      <c r="C544" s="260"/>
      <c r="E544" s="260"/>
      <c r="G544" s="260"/>
      <c r="I544" s="260"/>
    </row>
    <row r="545" spans="1:9">
      <c r="C545" s="260"/>
      <c r="E545" s="260"/>
      <c r="G545" s="260"/>
      <c r="I545" s="260"/>
    </row>
    <row r="546" spans="1:9">
      <c r="C546" s="260"/>
      <c r="E546" s="260"/>
      <c r="G546" s="260"/>
      <c r="I546" s="260"/>
    </row>
    <row r="557" spans="1:9" ht="12.95">
      <c r="C557" s="158"/>
      <c r="E557" s="158"/>
      <c r="G557" s="158"/>
      <c r="I557" s="158"/>
    </row>
    <row r="558" spans="1:9" ht="12.95">
      <c r="A558" s="158"/>
      <c r="B558" s="261"/>
      <c r="C558" s="158"/>
      <c r="D558" s="261"/>
      <c r="E558" s="158"/>
      <c r="F558" s="261"/>
      <c r="G558" s="158"/>
      <c r="H558" s="261"/>
      <c r="I558" s="158"/>
    </row>
    <row r="559" spans="1:9" ht="12.95">
      <c r="A559" s="158"/>
      <c r="B559" s="261"/>
      <c r="C559" s="158"/>
      <c r="D559" s="261"/>
      <c r="E559" s="158"/>
      <c r="F559" s="261"/>
      <c r="G559" s="158"/>
      <c r="H559" s="261"/>
      <c r="I559" s="158"/>
    </row>
    <row r="560" spans="1:9" ht="12.95">
      <c r="A560" s="158"/>
      <c r="B560" s="261"/>
      <c r="C560" s="158"/>
      <c r="D560" s="261"/>
      <c r="E560" s="158"/>
      <c r="F560" s="261"/>
      <c r="G560" s="158"/>
      <c r="H560" s="261"/>
      <c r="I560" s="158"/>
    </row>
    <row r="561" spans="1:9" ht="12.95">
      <c r="A561" s="158"/>
      <c r="B561" s="261"/>
      <c r="C561" s="158"/>
      <c r="D561" s="261"/>
      <c r="E561" s="158"/>
      <c r="F561" s="261"/>
      <c r="G561" s="158"/>
      <c r="H561" s="261"/>
      <c r="I561" s="158"/>
    </row>
    <row r="562" spans="1:9" ht="12.95">
      <c r="A562" s="158"/>
      <c r="B562" s="261"/>
      <c r="C562" s="158"/>
      <c r="D562" s="261"/>
      <c r="E562" s="158"/>
      <c r="F562" s="261"/>
      <c r="G562" s="158"/>
      <c r="H562" s="261"/>
      <c r="I562" s="158"/>
    </row>
    <row r="563" spans="1:9" ht="12.95">
      <c r="A563" s="158"/>
      <c r="B563" s="261"/>
      <c r="C563" s="158"/>
      <c r="D563" s="261"/>
      <c r="E563" s="158"/>
      <c r="F563" s="261"/>
      <c r="G563" s="158"/>
      <c r="H563" s="261"/>
      <c r="I563" s="158"/>
    </row>
    <row r="564" spans="1:9" ht="12.95">
      <c r="A564" s="158"/>
      <c r="B564" s="261"/>
      <c r="C564" s="158"/>
      <c r="D564" s="261"/>
      <c r="E564" s="158"/>
      <c r="F564" s="261"/>
      <c r="G564" s="158"/>
      <c r="H564" s="261"/>
      <c r="I564" s="158"/>
    </row>
    <row r="565" spans="1:9" ht="12.95">
      <c r="A565" s="158"/>
      <c r="B565" s="261"/>
      <c r="C565" s="158"/>
      <c r="D565" s="261"/>
      <c r="E565" s="158"/>
      <c r="F565" s="261"/>
      <c r="G565" s="158"/>
      <c r="H565" s="261"/>
      <c r="I565" s="158"/>
    </row>
    <row r="566" spans="1:9" ht="12.95">
      <c r="A566" s="158"/>
      <c r="B566" s="261"/>
      <c r="C566" s="158"/>
      <c r="D566" s="261"/>
      <c r="E566" s="158"/>
      <c r="F566" s="261"/>
      <c r="G566" s="158"/>
      <c r="H566" s="261"/>
      <c r="I566" s="158"/>
    </row>
    <row r="567" spans="1:9" ht="12.95">
      <c r="A567" s="158"/>
      <c r="B567" s="261"/>
      <c r="C567" s="158"/>
      <c r="D567" s="261"/>
      <c r="E567" s="158"/>
      <c r="F567" s="261"/>
      <c r="G567" s="158"/>
      <c r="H567" s="261"/>
      <c r="I567" s="158"/>
    </row>
    <row r="568" spans="1:9" ht="12.95">
      <c r="A568" s="158"/>
      <c r="B568" s="261"/>
      <c r="C568" s="158"/>
      <c r="D568" s="261"/>
      <c r="E568" s="158"/>
      <c r="F568" s="261"/>
      <c r="G568" s="158"/>
      <c r="H568" s="261"/>
      <c r="I568" s="158"/>
    </row>
    <row r="569" spans="1:9" ht="12.95">
      <c r="A569" s="158"/>
      <c r="B569" s="261"/>
      <c r="C569" s="158"/>
      <c r="D569" s="261"/>
      <c r="E569" s="158"/>
      <c r="F569" s="261"/>
      <c r="G569" s="158"/>
      <c r="H569" s="261"/>
      <c r="I569" s="158"/>
    </row>
    <row r="570" spans="1:9" ht="12.95">
      <c r="A570" s="158"/>
      <c r="B570" s="261"/>
      <c r="C570" s="158"/>
      <c r="D570" s="261"/>
      <c r="E570" s="158"/>
      <c r="F570" s="261"/>
      <c r="G570" s="158"/>
      <c r="H570" s="261"/>
      <c r="I570" s="158"/>
    </row>
    <row r="571" spans="1:9" ht="12.95">
      <c r="A571" s="158"/>
      <c r="B571" s="261"/>
      <c r="C571" s="158"/>
      <c r="D571" s="261"/>
      <c r="E571" s="158"/>
      <c r="F571" s="261"/>
      <c r="G571" s="158"/>
      <c r="H571" s="261"/>
      <c r="I571" s="158"/>
    </row>
    <row r="572" spans="1:9" ht="12.95">
      <c r="A572" s="158"/>
      <c r="B572" s="261"/>
      <c r="C572" s="158"/>
      <c r="D572" s="261"/>
      <c r="E572" s="158"/>
      <c r="F572" s="261"/>
      <c r="G572" s="158"/>
      <c r="H572" s="261"/>
      <c r="I572" s="158"/>
    </row>
    <row r="573" spans="1:9" ht="12.95">
      <c r="A573" s="158"/>
      <c r="B573" s="261"/>
      <c r="C573" s="158"/>
      <c r="D573" s="261"/>
      <c r="E573" s="158"/>
      <c r="F573" s="261"/>
      <c r="G573" s="158"/>
      <c r="H573" s="261"/>
      <c r="I573" s="158"/>
    </row>
    <row r="574" spans="1:9" ht="12.95">
      <c r="A574" s="158"/>
      <c r="B574" s="261"/>
      <c r="C574" s="158"/>
      <c r="D574" s="261"/>
      <c r="E574" s="158"/>
      <c r="F574" s="261"/>
      <c r="G574" s="158"/>
      <c r="H574" s="261"/>
      <c r="I574" s="158"/>
    </row>
    <row r="575" spans="1:9" ht="12.95">
      <c r="A575" s="158"/>
      <c r="B575" s="261"/>
      <c r="C575" s="158"/>
      <c r="D575" s="261"/>
      <c r="E575" s="158"/>
      <c r="F575" s="261"/>
      <c r="G575" s="158"/>
      <c r="H575" s="261"/>
      <c r="I575" s="158"/>
    </row>
    <row r="576" spans="1:9" ht="12.95">
      <c r="A576" s="158"/>
      <c r="B576" s="261"/>
      <c r="C576" s="158"/>
      <c r="D576" s="261"/>
      <c r="E576" s="158"/>
      <c r="F576" s="261"/>
      <c r="G576" s="158"/>
      <c r="H576" s="261"/>
      <c r="I576" s="158"/>
    </row>
    <row r="577" spans="1:8" ht="12.95">
      <c r="A577" s="158"/>
      <c r="B577" s="261"/>
      <c r="D577" s="261"/>
      <c r="F577" s="261"/>
      <c r="H577" s="261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95"/>
  <cols>
    <col min="1" max="1" width="40.7109375" style="236" customWidth="1"/>
    <col min="2" max="2" width="6.7109375" style="239" customWidth="1"/>
    <col min="3" max="3" width="6.7109375" style="285" customWidth="1"/>
    <col min="4" max="25" width="6.7109375" style="239" customWidth="1"/>
    <col min="26" max="26" width="7.5703125" style="236" customWidth="1"/>
    <col min="27" max="266" width="6.28515625" style="236"/>
    <col min="267" max="267" width="43.5703125" style="236" customWidth="1"/>
    <col min="268" max="268" width="7.5703125" style="236" customWidth="1"/>
    <col min="269" max="270" width="8.42578125" style="236" customWidth="1"/>
    <col min="271" max="271" width="6.7109375" style="236" customWidth="1"/>
    <col min="272" max="273" width="7.5703125" style="236" customWidth="1"/>
    <col min="274" max="275" width="8.42578125" style="236" customWidth="1"/>
    <col min="276" max="276" width="6.7109375" style="236" customWidth="1"/>
    <col min="277" max="278" width="7.5703125" style="236" customWidth="1"/>
    <col min="279" max="280" width="8.42578125" style="236" customWidth="1"/>
    <col min="281" max="281" width="6.7109375" style="236" customWidth="1"/>
    <col min="282" max="282" width="7.5703125" style="236" customWidth="1"/>
    <col min="283" max="522" width="6.28515625" style="236"/>
    <col min="523" max="523" width="43.5703125" style="236" customWidth="1"/>
    <col min="524" max="524" width="7.5703125" style="236" customWidth="1"/>
    <col min="525" max="526" width="8.42578125" style="236" customWidth="1"/>
    <col min="527" max="527" width="6.7109375" style="236" customWidth="1"/>
    <col min="528" max="529" width="7.5703125" style="236" customWidth="1"/>
    <col min="530" max="531" width="8.42578125" style="236" customWidth="1"/>
    <col min="532" max="532" width="6.7109375" style="236" customWidth="1"/>
    <col min="533" max="534" width="7.5703125" style="236" customWidth="1"/>
    <col min="535" max="536" width="8.42578125" style="236" customWidth="1"/>
    <col min="537" max="537" width="6.7109375" style="236" customWidth="1"/>
    <col min="538" max="538" width="7.5703125" style="236" customWidth="1"/>
    <col min="539" max="778" width="6.28515625" style="236"/>
    <col min="779" max="779" width="43.5703125" style="236" customWidth="1"/>
    <col min="780" max="780" width="7.5703125" style="236" customWidth="1"/>
    <col min="781" max="782" width="8.42578125" style="236" customWidth="1"/>
    <col min="783" max="783" width="6.7109375" style="236" customWidth="1"/>
    <col min="784" max="785" width="7.5703125" style="236" customWidth="1"/>
    <col min="786" max="787" width="8.42578125" style="236" customWidth="1"/>
    <col min="788" max="788" width="6.7109375" style="236" customWidth="1"/>
    <col min="789" max="790" width="7.5703125" style="236" customWidth="1"/>
    <col min="791" max="792" width="8.42578125" style="236" customWidth="1"/>
    <col min="793" max="793" width="6.7109375" style="236" customWidth="1"/>
    <col min="794" max="794" width="7.5703125" style="236" customWidth="1"/>
    <col min="795" max="1034" width="6.28515625" style="236"/>
    <col min="1035" max="1035" width="43.5703125" style="236" customWidth="1"/>
    <col min="1036" max="1036" width="7.5703125" style="236" customWidth="1"/>
    <col min="1037" max="1038" width="8.42578125" style="236" customWidth="1"/>
    <col min="1039" max="1039" width="6.7109375" style="236" customWidth="1"/>
    <col min="1040" max="1041" width="7.5703125" style="236" customWidth="1"/>
    <col min="1042" max="1043" width="8.42578125" style="236" customWidth="1"/>
    <col min="1044" max="1044" width="6.7109375" style="236" customWidth="1"/>
    <col min="1045" max="1046" width="7.5703125" style="236" customWidth="1"/>
    <col min="1047" max="1048" width="8.42578125" style="236" customWidth="1"/>
    <col min="1049" max="1049" width="6.7109375" style="236" customWidth="1"/>
    <col min="1050" max="1050" width="7.5703125" style="236" customWidth="1"/>
    <col min="1051" max="1290" width="6.28515625" style="236"/>
    <col min="1291" max="1291" width="43.5703125" style="236" customWidth="1"/>
    <col min="1292" max="1292" width="7.5703125" style="236" customWidth="1"/>
    <col min="1293" max="1294" width="8.42578125" style="236" customWidth="1"/>
    <col min="1295" max="1295" width="6.7109375" style="236" customWidth="1"/>
    <col min="1296" max="1297" width="7.5703125" style="236" customWidth="1"/>
    <col min="1298" max="1299" width="8.42578125" style="236" customWidth="1"/>
    <col min="1300" max="1300" width="6.7109375" style="236" customWidth="1"/>
    <col min="1301" max="1302" width="7.5703125" style="236" customWidth="1"/>
    <col min="1303" max="1304" width="8.42578125" style="236" customWidth="1"/>
    <col min="1305" max="1305" width="6.7109375" style="236" customWidth="1"/>
    <col min="1306" max="1306" width="7.5703125" style="236" customWidth="1"/>
    <col min="1307" max="1546" width="6.28515625" style="236"/>
    <col min="1547" max="1547" width="43.5703125" style="236" customWidth="1"/>
    <col min="1548" max="1548" width="7.5703125" style="236" customWidth="1"/>
    <col min="1549" max="1550" width="8.42578125" style="236" customWidth="1"/>
    <col min="1551" max="1551" width="6.7109375" style="236" customWidth="1"/>
    <col min="1552" max="1553" width="7.5703125" style="236" customWidth="1"/>
    <col min="1554" max="1555" width="8.42578125" style="236" customWidth="1"/>
    <col min="1556" max="1556" width="6.7109375" style="236" customWidth="1"/>
    <col min="1557" max="1558" width="7.5703125" style="236" customWidth="1"/>
    <col min="1559" max="1560" width="8.42578125" style="236" customWidth="1"/>
    <col min="1561" max="1561" width="6.7109375" style="236" customWidth="1"/>
    <col min="1562" max="1562" width="7.5703125" style="236" customWidth="1"/>
    <col min="1563" max="1802" width="6.28515625" style="236"/>
    <col min="1803" max="1803" width="43.5703125" style="236" customWidth="1"/>
    <col min="1804" max="1804" width="7.5703125" style="236" customWidth="1"/>
    <col min="1805" max="1806" width="8.42578125" style="236" customWidth="1"/>
    <col min="1807" max="1807" width="6.7109375" style="236" customWidth="1"/>
    <col min="1808" max="1809" width="7.5703125" style="236" customWidth="1"/>
    <col min="1810" max="1811" width="8.42578125" style="236" customWidth="1"/>
    <col min="1812" max="1812" width="6.7109375" style="236" customWidth="1"/>
    <col min="1813" max="1814" width="7.5703125" style="236" customWidth="1"/>
    <col min="1815" max="1816" width="8.42578125" style="236" customWidth="1"/>
    <col min="1817" max="1817" width="6.7109375" style="236" customWidth="1"/>
    <col min="1818" max="1818" width="7.5703125" style="236" customWidth="1"/>
    <col min="1819" max="2058" width="6.28515625" style="236"/>
    <col min="2059" max="2059" width="43.5703125" style="236" customWidth="1"/>
    <col min="2060" max="2060" width="7.5703125" style="236" customWidth="1"/>
    <col min="2061" max="2062" width="8.42578125" style="236" customWidth="1"/>
    <col min="2063" max="2063" width="6.7109375" style="236" customWidth="1"/>
    <col min="2064" max="2065" width="7.5703125" style="236" customWidth="1"/>
    <col min="2066" max="2067" width="8.42578125" style="236" customWidth="1"/>
    <col min="2068" max="2068" width="6.7109375" style="236" customWidth="1"/>
    <col min="2069" max="2070" width="7.5703125" style="236" customWidth="1"/>
    <col min="2071" max="2072" width="8.42578125" style="236" customWidth="1"/>
    <col min="2073" max="2073" width="6.7109375" style="236" customWidth="1"/>
    <col min="2074" max="2074" width="7.5703125" style="236" customWidth="1"/>
    <col min="2075" max="2314" width="6.28515625" style="236"/>
    <col min="2315" max="2315" width="43.5703125" style="236" customWidth="1"/>
    <col min="2316" max="2316" width="7.5703125" style="236" customWidth="1"/>
    <col min="2317" max="2318" width="8.42578125" style="236" customWidth="1"/>
    <col min="2319" max="2319" width="6.7109375" style="236" customWidth="1"/>
    <col min="2320" max="2321" width="7.5703125" style="236" customWidth="1"/>
    <col min="2322" max="2323" width="8.42578125" style="236" customWidth="1"/>
    <col min="2324" max="2324" width="6.7109375" style="236" customWidth="1"/>
    <col min="2325" max="2326" width="7.5703125" style="236" customWidth="1"/>
    <col min="2327" max="2328" width="8.42578125" style="236" customWidth="1"/>
    <col min="2329" max="2329" width="6.7109375" style="236" customWidth="1"/>
    <col min="2330" max="2330" width="7.5703125" style="236" customWidth="1"/>
    <col min="2331" max="2570" width="6.28515625" style="236"/>
    <col min="2571" max="2571" width="43.5703125" style="236" customWidth="1"/>
    <col min="2572" max="2572" width="7.5703125" style="236" customWidth="1"/>
    <col min="2573" max="2574" width="8.42578125" style="236" customWidth="1"/>
    <col min="2575" max="2575" width="6.7109375" style="236" customWidth="1"/>
    <col min="2576" max="2577" width="7.5703125" style="236" customWidth="1"/>
    <col min="2578" max="2579" width="8.42578125" style="236" customWidth="1"/>
    <col min="2580" max="2580" width="6.7109375" style="236" customWidth="1"/>
    <col min="2581" max="2582" width="7.5703125" style="236" customWidth="1"/>
    <col min="2583" max="2584" width="8.42578125" style="236" customWidth="1"/>
    <col min="2585" max="2585" width="6.7109375" style="236" customWidth="1"/>
    <col min="2586" max="2586" width="7.5703125" style="236" customWidth="1"/>
    <col min="2587" max="2826" width="6.28515625" style="236"/>
    <col min="2827" max="2827" width="43.5703125" style="236" customWidth="1"/>
    <col min="2828" max="2828" width="7.5703125" style="236" customWidth="1"/>
    <col min="2829" max="2830" width="8.42578125" style="236" customWidth="1"/>
    <col min="2831" max="2831" width="6.7109375" style="236" customWidth="1"/>
    <col min="2832" max="2833" width="7.5703125" style="236" customWidth="1"/>
    <col min="2834" max="2835" width="8.42578125" style="236" customWidth="1"/>
    <col min="2836" max="2836" width="6.7109375" style="236" customWidth="1"/>
    <col min="2837" max="2838" width="7.5703125" style="236" customWidth="1"/>
    <col min="2839" max="2840" width="8.42578125" style="236" customWidth="1"/>
    <col min="2841" max="2841" width="6.7109375" style="236" customWidth="1"/>
    <col min="2842" max="2842" width="7.5703125" style="236" customWidth="1"/>
    <col min="2843" max="3082" width="6.28515625" style="236"/>
    <col min="3083" max="3083" width="43.5703125" style="236" customWidth="1"/>
    <col min="3084" max="3084" width="7.5703125" style="236" customWidth="1"/>
    <col min="3085" max="3086" width="8.42578125" style="236" customWidth="1"/>
    <col min="3087" max="3087" width="6.7109375" style="236" customWidth="1"/>
    <col min="3088" max="3089" width="7.5703125" style="236" customWidth="1"/>
    <col min="3090" max="3091" width="8.42578125" style="236" customWidth="1"/>
    <col min="3092" max="3092" width="6.7109375" style="236" customWidth="1"/>
    <col min="3093" max="3094" width="7.5703125" style="236" customWidth="1"/>
    <col min="3095" max="3096" width="8.42578125" style="236" customWidth="1"/>
    <col min="3097" max="3097" width="6.7109375" style="236" customWidth="1"/>
    <col min="3098" max="3098" width="7.5703125" style="236" customWidth="1"/>
    <col min="3099" max="3338" width="6.28515625" style="236"/>
    <col min="3339" max="3339" width="43.5703125" style="236" customWidth="1"/>
    <col min="3340" max="3340" width="7.5703125" style="236" customWidth="1"/>
    <col min="3341" max="3342" width="8.42578125" style="236" customWidth="1"/>
    <col min="3343" max="3343" width="6.7109375" style="236" customWidth="1"/>
    <col min="3344" max="3345" width="7.5703125" style="236" customWidth="1"/>
    <col min="3346" max="3347" width="8.42578125" style="236" customWidth="1"/>
    <col min="3348" max="3348" width="6.7109375" style="236" customWidth="1"/>
    <col min="3349" max="3350" width="7.5703125" style="236" customWidth="1"/>
    <col min="3351" max="3352" width="8.42578125" style="236" customWidth="1"/>
    <col min="3353" max="3353" width="6.7109375" style="236" customWidth="1"/>
    <col min="3354" max="3354" width="7.5703125" style="236" customWidth="1"/>
    <col min="3355" max="3594" width="6.28515625" style="236"/>
    <col min="3595" max="3595" width="43.5703125" style="236" customWidth="1"/>
    <col min="3596" max="3596" width="7.5703125" style="236" customWidth="1"/>
    <col min="3597" max="3598" width="8.42578125" style="236" customWidth="1"/>
    <col min="3599" max="3599" width="6.7109375" style="236" customWidth="1"/>
    <col min="3600" max="3601" width="7.5703125" style="236" customWidth="1"/>
    <col min="3602" max="3603" width="8.42578125" style="236" customWidth="1"/>
    <col min="3604" max="3604" width="6.7109375" style="236" customWidth="1"/>
    <col min="3605" max="3606" width="7.5703125" style="236" customWidth="1"/>
    <col min="3607" max="3608" width="8.42578125" style="236" customWidth="1"/>
    <col min="3609" max="3609" width="6.7109375" style="236" customWidth="1"/>
    <col min="3610" max="3610" width="7.5703125" style="236" customWidth="1"/>
    <col min="3611" max="3850" width="6.28515625" style="236"/>
    <col min="3851" max="3851" width="43.5703125" style="236" customWidth="1"/>
    <col min="3852" max="3852" width="7.5703125" style="236" customWidth="1"/>
    <col min="3853" max="3854" width="8.42578125" style="236" customWidth="1"/>
    <col min="3855" max="3855" width="6.7109375" style="236" customWidth="1"/>
    <col min="3856" max="3857" width="7.5703125" style="236" customWidth="1"/>
    <col min="3858" max="3859" width="8.42578125" style="236" customWidth="1"/>
    <col min="3860" max="3860" width="6.7109375" style="236" customWidth="1"/>
    <col min="3861" max="3862" width="7.5703125" style="236" customWidth="1"/>
    <col min="3863" max="3864" width="8.42578125" style="236" customWidth="1"/>
    <col min="3865" max="3865" width="6.7109375" style="236" customWidth="1"/>
    <col min="3866" max="3866" width="7.5703125" style="236" customWidth="1"/>
    <col min="3867" max="4106" width="6.28515625" style="236"/>
    <col min="4107" max="4107" width="43.5703125" style="236" customWidth="1"/>
    <col min="4108" max="4108" width="7.5703125" style="236" customWidth="1"/>
    <col min="4109" max="4110" width="8.42578125" style="236" customWidth="1"/>
    <col min="4111" max="4111" width="6.7109375" style="236" customWidth="1"/>
    <col min="4112" max="4113" width="7.5703125" style="236" customWidth="1"/>
    <col min="4114" max="4115" width="8.42578125" style="236" customWidth="1"/>
    <col min="4116" max="4116" width="6.7109375" style="236" customWidth="1"/>
    <col min="4117" max="4118" width="7.5703125" style="236" customWidth="1"/>
    <col min="4119" max="4120" width="8.42578125" style="236" customWidth="1"/>
    <col min="4121" max="4121" width="6.7109375" style="236" customWidth="1"/>
    <col min="4122" max="4122" width="7.5703125" style="236" customWidth="1"/>
    <col min="4123" max="4362" width="6.28515625" style="236"/>
    <col min="4363" max="4363" width="43.5703125" style="236" customWidth="1"/>
    <col min="4364" max="4364" width="7.5703125" style="236" customWidth="1"/>
    <col min="4365" max="4366" width="8.42578125" style="236" customWidth="1"/>
    <col min="4367" max="4367" width="6.7109375" style="236" customWidth="1"/>
    <col min="4368" max="4369" width="7.5703125" style="236" customWidth="1"/>
    <col min="4370" max="4371" width="8.42578125" style="236" customWidth="1"/>
    <col min="4372" max="4372" width="6.7109375" style="236" customWidth="1"/>
    <col min="4373" max="4374" width="7.5703125" style="236" customWidth="1"/>
    <col min="4375" max="4376" width="8.42578125" style="236" customWidth="1"/>
    <col min="4377" max="4377" width="6.7109375" style="236" customWidth="1"/>
    <col min="4378" max="4378" width="7.5703125" style="236" customWidth="1"/>
    <col min="4379" max="4618" width="6.28515625" style="236"/>
    <col min="4619" max="4619" width="43.5703125" style="236" customWidth="1"/>
    <col min="4620" max="4620" width="7.5703125" style="236" customWidth="1"/>
    <col min="4621" max="4622" width="8.42578125" style="236" customWidth="1"/>
    <col min="4623" max="4623" width="6.7109375" style="236" customWidth="1"/>
    <col min="4624" max="4625" width="7.5703125" style="236" customWidth="1"/>
    <col min="4626" max="4627" width="8.42578125" style="236" customWidth="1"/>
    <col min="4628" max="4628" width="6.7109375" style="236" customWidth="1"/>
    <col min="4629" max="4630" width="7.5703125" style="236" customWidth="1"/>
    <col min="4631" max="4632" width="8.42578125" style="236" customWidth="1"/>
    <col min="4633" max="4633" width="6.7109375" style="236" customWidth="1"/>
    <col min="4634" max="4634" width="7.5703125" style="236" customWidth="1"/>
    <col min="4635" max="4874" width="6.28515625" style="236"/>
    <col min="4875" max="4875" width="43.5703125" style="236" customWidth="1"/>
    <col min="4876" max="4876" width="7.5703125" style="236" customWidth="1"/>
    <col min="4877" max="4878" width="8.42578125" style="236" customWidth="1"/>
    <col min="4879" max="4879" width="6.7109375" style="236" customWidth="1"/>
    <col min="4880" max="4881" width="7.5703125" style="236" customWidth="1"/>
    <col min="4882" max="4883" width="8.42578125" style="236" customWidth="1"/>
    <col min="4884" max="4884" width="6.7109375" style="236" customWidth="1"/>
    <col min="4885" max="4886" width="7.5703125" style="236" customWidth="1"/>
    <col min="4887" max="4888" width="8.42578125" style="236" customWidth="1"/>
    <col min="4889" max="4889" width="6.7109375" style="236" customWidth="1"/>
    <col min="4890" max="4890" width="7.5703125" style="236" customWidth="1"/>
    <col min="4891" max="5130" width="6.28515625" style="236"/>
    <col min="5131" max="5131" width="43.5703125" style="236" customWidth="1"/>
    <col min="5132" max="5132" width="7.5703125" style="236" customWidth="1"/>
    <col min="5133" max="5134" width="8.42578125" style="236" customWidth="1"/>
    <col min="5135" max="5135" width="6.7109375" style="236" customWidth="1"/>
    <col min="5136" max="5137" width="7.5703125" style="236" customWidth="1"/>
    <col min="5138" max="5139" width="8.42578125" style="236" customWidth="1"/>
    <col min="5140" max="5140" width="6.7109375" style="236" customWidth="1"/>
    <col min="5141" max="5142" width="7.5703125" style="236" customWidth="1"/>
    <col min="5143" max="5144" width="8.42578125" style="236" customWidth="1"/>
    <col min="5145" max="5145" width="6.7109375" style="236" customWidth="1"/>
    <col min="5146" max="5146" width="7.5703125" style="236" customWidth="1"/>
    <col min="5147" max="5386" width="6.28515625" style="236"/>
    <col min="5387" max="5387" width="43.5703125" style="236" customWidth="1"/>
    <col min="5388" max="5388" width="7.5703125" style="236" customWidth="1"/>
    <col min="5389" max="5390" width="8.42578125" style="236" customWidth="1"/>
    <col min="5391" max="5391" width="6.7109375" style="236" customWidth="1"/>
    <col min="5392" max="5393" width="7.5703125" style="236" customWidth="1"/>
    <col min="5394" max="5395" width="8.42578125" style="236" customWidth="1"/>
    <col min="5396" max="5396" width="6.7109375" style="236" customWidth="1"/>
    <col min="5397" max="5398" width="7.5703125" style="236" customWidth="1"/>
    <col min="5399" max="5400" width="8.42578125" style="236" customWidth="1"/>
    <col min="5401" max="5401" width="6.7109375" style="236" customWidth="1"/>
    <col min="5402" max="5402" width="7.5703125" style="236" customWidth="1"/>
    <col min="5403" max="5642" width="6.28515625" style="236"/>
    <col min="5643" max="5643" width="43.5703125" style="236" customWidth="1"/>
    <col min="5644" max="5644" width="7.5703125" style="236" customWidth="1"/>
    <col min="5645" max="5646" width="8.42578125" style="236" customWidth="1"/>
    <col min="5647" max="5647" width="6.7109375" style="236" customWidth="1"/>
    <col min="5648" max="5649" width="7.5703125" style="236" customWidth="1"/>
    <col min="5650" max="5651" width="8.42578125" style="236" customWidth="1"/>
    <col min="5652" max="5652" width="6.7109375" style="236" customWidth="1"/>
    <col min="5653" max="5654" width="7.5703125" style="236" customWidth="1"/>
    <col min="5655" max="5656" width="8.42578125" style="236" customWidth="1"/>
    <col min="5657" max="5657" width="6.7109375" style="236" customWidth="1"/>
    <col min="5658" max="5658" width="7.5703125" style="236" customWidth="1"/>
    <col min="5659" max="5898" width="6.28515625" style="236"/>
    <col min="5899" max="5899" width="43.5703125" style="236" customWidth="1"/>
    <col min="5900" max="5900" width="7.5703125" style="236" customWidth="1"/>
    <col min="5901" max="5902" width="8.42578125" style="236" customWidth="1"/>
    <col min="5903" max="5903" width="6.7109375" style="236" customWidth="1"/>
    <col min="5904" max="5905" width="7.5703125" style="236" customWidth="1"/>
    <col min="5906" max="5907" width="8.42578125" style="236" customWidth="1"/>
    <col min="5908" max="5908" width="6.7109375" style="236" customWidth="1"/>
    <col min="5909" max="5910" width="7.5703125" style="236" customWidth="1"/>
    <col min="5911" max="5912" width="8.42578125" style="236" customWidth="1"/>
    <col min="5913" max="5913" width="6.7109375" style="236" customWidth="1"/>
    <col min="5914" max="5914" width="7.5703125" style="236" customWidth="1"/>
    <col min="5915" max="6154" width="6.28515625" style="236"/>
    <col min="6155" max="6155" width="43.5703125" style="236" customWidth="1"/>
    <col min="6156" max="6156" width="7.5703125" style="236" customWidth="1"/>
    <col min="6157" max="6158" width="8.42578125" style="236" customWidth="1"/>
    <col min="6159" max="6159" width="6.7109375" style="236" customWidth="1"/>
    <col min="6160" max="6161" width="7.5703125" style="236" customWidth="1"/>
    <col min="6162" max="6163" width="8.42578125" style="236" customWidth="1"/>
    <col min="6164" max="6164" width="6.7109375" style="236" customWidth="1"/>
    <col min="6165" max="6166" width="7.5703125" style="236" customWidth="1"/>
    <col min="6167" max="6168" width="8.42578125" style="236" customWidth="1"/>
    <col min="6169" max="6169" width="6.7109375" style="236" customWidth="1"/>
    <col min="6170" max="6170" width="7.5703125" style="236" customWidth="1"/>
    <col min="6171" max="6410" width="6.28515625" style="236"/>
    <col min="6411" max="6411" width="43.5703125" style="236" customWidth="1"/>
    <col min="6412" max="6412" width="7.5703125" style="236" customWidth="1"/>
    <col min="6413" max="6414" width="8.42578125" style="236" customWidth="1"/>
    <col min="6415" max="6415" width="6.7109375" style="236" customWidth="1"/>
    <col min="6416" max="6417" width="7.5703125" style="236" customWidth="1"/>
    <col min="6418" max="6419" width="8.42578125" style="236" customWidth="1"/>
    <col min="6420" max="6420" width="6.7109375" style="236" customWidth="1"/>
    <col min="6421" max="6422" width="7.5703125" style="236" customWidth="1"/>
    <col min="6423" max="6424" width="8.42578125" style="236" customWidth="1"/>
    <col min="6425" max="6425" width="6.7109375" style="236" customWidth="1"/>
    <col min="6426" max="6426" width="7.5703125" style="236" customWidth="1"/>
    <col min="6427" max="6666" width="6.28515625" style="236"/>
    <col min="6667" max="6667" width="43.5703125" style="236" customWidth="1"/>
    <col min="6668" max="6668" width="7.5703125" style="236" customWidth="1"/>
    <col min="6669" max="6670" width="8.42578125" style="236" customWidth="1"/>
    <col min="6671" max="6671" width="6.7109375" style="236" customWidth="1"/>
    <col min="6672" max="6673" width="7.5703125" style="236" customWidth="1"/>
    <col min="6674" max="6675" width="8.42578125" style="236" customWidth="1"/>
    <col min="6676" max="6676" width="6.7109375" style="236" customWidth="1"/>
    <col min="6677" max="6678" width="7.5703125" style="236" customWidth="1"/>
    <col min="6679" max="6680" width="8.42578125" style="236" customWidth="1"/>
    <col min="6681" max="6681" width="6.7109375" style="236" customWidth="1"/>
    <col min="6682" max="6682" width="7.5703125" style="236" customWidth="1"/>
    <col min="6683" max="6922" width="6.28515625" style="236"/>
    <col min="6923" max="6923" width="43.5703125" style="236" customWidth="1"/>
    <col min="6924" max="6924" width="7.5703125" style="236" customWidth="1"/>
    <col min="6925" max="6926" width="8.42578125" style="236" customWidth="1"/>
    <col min="6927" max="6927" width="6.7109375" style="236" customWidth="1"/>
    <col min="6928" max="6929" width="7.5703125" style="236" customWidth="1"/>
    <col min="6930" max="6931" width="8.42578125" style="236" customWidth="1"/>
    <col min="6932" max="6932" width="6.7109375" style="236" customWidth="1"/>
    <col min="6933" max="6934" width="7.5703125" style="236" customWidth="1"/>
    <col min="6935" max="6936" width="8.42578125" style="236" customWidth="1"/>
    <col min="6937" max="6937" width="6.7109375" style="236" customWidth="1"/>
    <col min="6938" max="6938" width="7.5703125" style="236" customWidth="1"/>
    <col min="6939" max="7178" width="6.28515625" style="236"/>
    <col min="7179" max="7179" width="43.5703125" style="236" customWidth="1"/>
    <col min="7180" max="7180" width="7.5703125" style="236" customWidth="1"/>
    <col min="7181" max="7182" width="8.42578125" style="236" customWidth="1"/>
    <col min="7183" max="7183" width="6.7109375" style="236" customWidth="1"/>
    <col min="7184" max="7185" width="7.5703125" style="236" customWidth="1"/>
    <col min="7186" max="7187" width="8.42578125" style="236" customWidth="1"/>
    <col min="7188" max="7188" width="6.7109375" style="236" customWidth="1"/>
    <col min="7189" max="7190" width="7.5703125" style="236" customWidth="1"/>
    <col min="7191" max="7192" width="8.42578125" style="236" customWidth="1"/>
    <col min="7193" max="7193" width="6.7109375" style="236" customWidth="1"/>
    <col min="7194" max="7194" width="7.5703125" style="236" customWidth="1"/>
    <col min="7195" max="7434" width="6.28515625" style="236"/>
    <col min="7435" max="7435" width="43.5703125" style="236" customWidth="1"/>
    <col min="7436" max="7436" width="7.5703125" style="236" customWidth="1"/>
    <col min="7437" max="7438" width="8.42578125" style="236" customWidth="1"/>
    <col min="7439" max="7439" width="6.7109375" style="236" customWidth="1"/>
    <col min="7440" max="7441" width="7.5703125" style="236" customWidth="1"/>
    <col min="7442" max="7443" width="8.42578125" style="236" customWidth="1"/>
    <col min="7444" max="7444" width="6.7109375" style="236" customWidth="1"/>
    <col min="7445" max="7446" width="7.5703125" style="236" customWidth="1"/>
    <col min="7447" max="7448" width="8.42578125" style="236" customWidth="1"/>
    <col min="7449" max="7449" width="6.7109375" style="236" customWidth="1"/>
    <col min="7450" max="7450" width="7.5703125" style="236" customWidth="1"/>
    <col min="7451" max="7690" width="6.28515625" style="236"/>
    <col min="7691" max="7691" width="43.5703125" style="236" customWidth="1"/>
    <col min="7692" max="7692" width="7.5703125" style="236" customWidth="1"/>
    <col min="7693" max="7694" width="8.42578125" style="236" customWidth="1"/>
    <col min="7695" max="7695" width="6.7109375" style="236" customWidth="1"/>
    <col min="7696" max="7697" width="7.5703125" style="236" customWidth="1"/>
    <col min="7698" max="7699" width="8.42578125" style="236" customWidth="1"/>
    <col min="7700" max="7700" width="6.7109375" style="236" customWidth="1"/>
    <col min="7701" max="7702" width="7.5703125" style="236" customWidth="1"/>
    <col min="7703" max="7704" width="8.42578125" style="236" customWidth="1"/>
    <col min="7705" max="7705" width="6.7109375" style="236" customWidth="1"/>
    <col min="7706" max="7706" width="7.5703125" style="236" customWidth="1"/>
    <col min="7707" max="7946" width="6.28515625" style="236"/>
    <col min="7947" max="7947" width="43.5703125" style="236" customWidth="1"/>
    <col min="7948" max="7948" width="7.5703125" style="236" customWidth="1"/>
    <col min="7949" max="7950" width="8.42578125" style="236" customWidth="1"/>
    <col min="7951" max="7951" width="6.7109375" style="236" customWidth="1"/>
    <col min="7952" max="7953" width="7.5703125" style="236" customWidth="1"/>
    <col min="7954" max="7955" width="8.42578125" style="236" customWidth="1"/>
    <col min="7956" max="7956" width="6.7109375" style="236" customWidth="1"/>
    <col min="7957" max="7958" width="7.5703125" style="236" customWidth="1"/>
    <col min="7959" max="7960" width="8.42578125" style="236" customWidth="1"/>
    <col min="7961" max="7961" width="6.7109375" style="236" customWidth="1"/>
    <col min="7962" max="7962" width="7.5703125" style="236" customWidth="1"/>
    <col min="7963" max="8202" width="6.28515625" style="236"/>
    <col min="8203" max="8203" width="43.5703125" style="236" customWidth="1"/>
    <col min="8204" max="8204" width="7.5703125" style="236" customWidth="1"/>
    <col min="8205" max="8206" width="8.42578125" style="236" customWidth="1"/>
    <col min="8207" max="8207" width="6.7109375" style="236" customWidth="1"/>
    <col min="8208" max="8209" width="7.5703125" style="236" customWidth="1"/>
    <col min="8210" max="8211" width="8.42578125" style="236" customWidth="1"/>
    <col min="8212" max="8212" width="6.7109375" style="236" customWidth="1"/>
    <col min="8213" max="8214" width="7.5703125" style="236" customWidth="1"/>
    <col min="8215" max="8216" width="8.42578125" style="236" customWidth="1"/>
    <col min="8217" max="8217" width="6.7109375" style="236" customWidth="1"/>
    <col min="8218" max="8218" width="7.5703125" style="236" customWidth="1"/>
    <col min="8219" max="8458" width="6.28515625" style="236"/>
    <col min="8459" max="8459" width="43.5703125" style="236" customWidth="1"/>
    <col min="8460" max="8460" width="7.5703125" style="236" customWidth="1"/>
    <col min="8461" max="8462" width="8.42578125" style="236" customWidth="1"/>
    <col min="8463" max="8463" width="6.7109375" style="236" customWidth="1"/>
    <col min="8464" max="8465" width="7.5703125" style="236" customWidth="1"/>
    <col min="8466" max="8467" width="8.42578125" style="236" customWidth="1"/>
    <col min="8468" max="8468" width="6.7109375" style="236" customWidth="1"/>
    <col min="8469" max="8470" width="7.5703125" style="236" customWidth="1"/>
    <col min="8471" max="8472" width="8.42578125" style="236" customWidth="1"/>
    <col min="8473" max="8473" width="6.7109375" style="236" customWidth="1"/>
    <col min="8474" max="8474" width="7.5703125" style="236" customWidth="1"/>
    <col min="8475" max="8714" width="6.28515625" style="236"/>
    <col min="8715" max="8715" width="43.5703125" style="236" customWidth="1"/>
    <col min="8716" max="8716" width="7.5703125" style="236" customWidth="1"/>
    <col min="8717" max="8718" width="8.42578125" style="236" customWidth="1"/>
    <col min="8719" max="8719" width="6.7109375" style="236" customWidth="1"/>
    <col min="8720" max="8721" width="7.5703125" style="236" customWidth="1"/>
    <col min="8722" max="8723" width="8.42578125" style="236" customWidth="1"/>
    <col min="8724" max="8724" width="6.7109375" style="236" customWidth="1"/>
    <col min="8725" max="8726" width="7.5703125" style="236" customWidth="1"/>
    <col min="8727" max="8728" width="8.42578125" style="236" customWidth="1"/>
    <col min="8729" max="8729" width="6.7109375" style="236" customWidth="1"/>
    <col min="8730" max="8730" width="7.5703125" style="236" customWidth="1"/>
    <col min="8731" max="8970" width="6.28515625" style="236"/>
    <col min="8971" max="8971" width="43.5703125" style="236" customWidth="1"/>
    <col min="8972" max="8972" width="7.5703125" style="236" customWidth="1"/>
    <col min="8973" max="8974" width="8.42578125" style="236" customWidth="1"/>
    <col min="8975" max="8975" width="6.7109375" style="236" customWidth="1"/>
    <col min="8976" max="8977" width="7.5703125" style="236" customWidth="1"/>
    <col min="8978" max="8979" width="8.42578125" style="236" customWidth="1"/>
    <col min="8980" max="8980" width="6.7109375" style="236" customWidth="1"/>
    <col min="8981" max="8982" width="7.5703125" style="236" customWidth="1"/>
    <col min="8983" max="8984" width="8.42578125" style="236" customWidth="1"/>
    <col min="8985" max="8985" width="6.7109375" style="236" customWidth="1"/>
    <col min="8986" max="8986" width="7.5703125" style="236" customWidth="1"/>
    <col min="8987" max="9226" width="6.28515625" style="236"/>
    <col min="9227" max="9227" width="43.5703125" style="236" customWidth="1"/>
    <col min="9228" max="9228" width="7.5703125" style="236" customWidth="1"/>
    <col min="9229" max="9230" width="8.42578125" style="236" customWidth="1"/>
    <col min="9231" max="9231" width="6.7109375" style="236" customWidth="1"/>
    <col min="9232" max="9233" width="7.5703125" style="236" customWidth="1"/>
    <col min="9234" max="9235" width="8.42578125" style="236" customWidth="1"/>
    <col min="9236" max="9236" width="6.7109375" style="236" customWidth="1"/>
    <col min="9237" max="9238" width="7.5703125" style="236" customWidth="1"/>
    <col min="9239" max="9240" width="8.42578125" style="236" customWidth="1"/>
    <col min="9241" max="9241" width="6.7109375" style="236" customWidth="1"/>
    <col min="9242" max="9242" width="7.5703125" style="236" customWidth="1"/>
    <col min="9243" max="9482" width="6.28515625" style="236"/>
    <col min="9483" max="9483" width="43.5703125" style="236" customWidth="1"/>
    <col min="9484" max="9484" width="7.5703125" style="236" customWidth="1"/>
    <col min="9485" max="9486" width="8.42578125" style="236" customWidth="1"/>
    <col min="9487" max="9487" width="6.7109375" style="236" customWidth="1"/>
    <col min="9488" max="9489" width="7.5703125" style="236" customWidth="1"/>
    <col min="9490" max="9491" width="8.42578125" style="236" customWidth="1"/>
    <col min="9492" max="9492" width="6.7109375" style="236" customWidth="1"/>
    <col min="9493" max="9494" width="7.5703125" style="236" customWidth="1"/>
    <col min="9495" max="9496" width="8.42578125" style="236" customWidth="1"/>
    <col min="9497" max="9497" width="6.7109375" style="236" customWidth="1"/>
    <col min="9498" max="9498" width="7.5703125" style="236" customWidth="1"/>
    <col min="9499" max="9738" width="6.28515625" style="236"/>
    <col min="9739" max="9739" width="43.5703125" style="236" customWidth="1"/>
    <col min="9740" max="9740" width="7.5703125" style="236" customWidth="1"/>
    <col min="9741" max="9742" width="8.42578125" style="236" customWidth="1"/>
    <col min="9743" max="9743" width="6.7109375" style="236" customWidth="1"/>
    <col min="9744" max="9745" width="7.5703125" style="236" customWidth="1"/>
    <col min="9746" max="9747" width="8.42578125" style="236" customWidth="1"/>
    <col min="9748" max="9748" width="6.7109375" style="236" customWidth="1"/>
    <col min="9749" max="9750" width="7.5703125" style="236" customWidth="1"/>
    <col min="9751" max="9752" width="8.42578125" style="236" customWidth="1"/>
    <col min="9753" max="9753" width="6.7109375" style="236" customWidth="1"/>
    <col min="9754" max="9754" width="7.5703125" style="236" customWidth="1"/>
    <col min="9755" max="9994" width="6.28515625" style="236"/>
    <col min="9995" max="9995" width="43.5703125" style="236" customWidth="1"/>
    <col min="9996" max="9996" width="7.5703125" style="236" customWidth="1"/>
    <col min="9997" max="9998" width="8.42578125" style="236" customWidth="1"/>
    <col min="9999" max="9999" width="6.7109375" style="236" customWidth="1"/>
    <col min="10000" max="10001" width="7.5703125" style="236" customWidth="1"/>
    <col min="10002" max="10003" width="8.42578125" style="236" customWidth="1"/>
    <col min="10004" max="10004" width="6.7109375" style="236" customWidth="1"/>
    <col min="10005" max="10006" width="7.5703125" style="236" customWidth="1"/>
    <col min="10007" max="10008" width="8.42578125" style="236" customWidth="1"/>
    <col min="10009" max="10009" width="6.7109375" style="236" customWidth="1"/>
    <col min="10010" max="10010" width="7.5703125" style="236" customWidth="1"/>
    <col min="10011" max="10250" width="6.28515625" style="236"/>
    <col min="10251" max="10251" width="43.5703125" style="236" customWidth="1"/>
    <col min="10252" max="10252" width="7.5703125" style="236" customWidth="1"/>
    <col min="10253" max="10254" width="8.42578125" style="236" customWidth="1"/>
    <col min="10255" max="10255" width="6.7109375" style="236" customWidth="1"/>
    <col min="10256" max="10257" width="7.5703125" style="236" customWidth="1"/>
    <col min="10258" max="10259" width="8.42578125" style="236" customWidth="1"/>
    <col min="10260" max="10260" width="6.7109375" style="236" customWidth="1"/>
    <col min="10261" max="10262" width="7.5703125" style="236" customWidth="1"/>
    <col min="10263" max="10264" width="8.42578125" style="236" customWidth="1"/>
    <col min="10265" max="10265" width="6.7109375" style="236" customWidth="1"/>
    <col min="10266" max="10266" width="7.5703125" style="236" customWidth="1"/>
    <col min="10267" max="10506" width="6.28515625" style="236"/>
    <col min="10507" max="10507" width="43.5703125" style="236" customWidth="1"/>
    <col min="10508" max="10508" width="7.5703125" style="236" customWidth="1"/>
    <col min="10509" max="10510" width="8.42578125" style="236" customWidth="1"/>
    <col min="10511" max="10511" width="6.7109375" style="236" customWidth="1"/>
    <col min="10512" max="10513" width="7.5703125" style="236" customWidth="1"/>
    <col min="10514" max="10515" width="8.42578125" style="236" customWidth="1"/>
    <col min="10516" max="10516" width="6.7109375" style="236" customWidth="1"/>
    <col min="10517" max="10518" width="7.5703125" style="236" customWidth="1"/>
    <col min="10519" max="10520" width="8.42578125" style="236" customWidth="1"/>
    <col min="10521" max="10521" width="6.7109375" style="236" customWidth="1"/>
    <col min="10522" max="10522" width="7.5703125" style="236" customWidth="1"/>
    <col min="10523" max="10762" width="6.28515625" style="236"/>
    <col min="10763" max="10763" width="43.5703125" style="236" customWidth="1"/>
    <col min="10764" max="10764" width="7.5703125" style="236" customWidth="1"/>
    <col min="10765" max="10766" width="8.42578125" style="236" customWidth="1"/>
    <col min="10767" max="10767" width="6.7109375" style="236" customWidth="1"/>
    <col min="10768" max="10769" width="7.5703125" style="236" customWidth="1"/>
    <col min="10770" max="10771" width="8.42578125" style="236" customWidth="1"/>
    <col min="10772" max="10772" width="6.7109375" style="236" customWidth="1"/>
    <col min="10773" max="10774" width="7.5703125" style="236" customWidth="1"/>
    <col min="10775" max="10776" width="8.42578125" style="236" customWidth="1"/>
    <col min="10777" max="10777" width="6.7109375" style="236" customWidth="1"/>
    <col min="10778" max="10778" width="7.5703125" style="236" customWidth="1"/>
    <col min="10779" max="11018" width="6.28515625" style="236"/>
    <col min="11019" max="11019" width="43.5703125" style="236" customWidth="1"/>
    <col min="11020" max="11020" width="7.5703125" style="236" customWidth="1"/>
    <col min="11021" max="11022" width="8.42578125" style="236" customWidth="1"/>
    <col min="11023" max="11023" width="6.7109375" style="236" customWidth="1"/>
    <col min="11024" max="11025" width="7.5703125" style="236" customWidth="1"/>
    <col min="11026" max="11027" width="8.42578125" style="236" customWidth="1"/>
    <col min="11028" max="11028" width="6.7109375" style="236" customWidth="1"/>
    <col min="11029" max="11030" width="7.5703125" style="236" customWidth="1"/>
    <col min="11031" max="11032" width="8.42578125" style="236" customWidth="1"/>
    <col min="11033" max="11033" width="6.7109375" style="236" customWidth="1"/>
    <col min="11034" max="11034" width="7.5703125" style="236" customWidth="1"/>
    <col min="11035" max="11274" width="6.28515625" style="236"/>
    <col min="11275" max="11275" width="43.5703125" style="236" customWidth="1"/>
    <col min="11276" max="11276" width="7.5703125" style="236" customWidth="1"/>
    <col min="11277" max="11278" width="8.42578125" style="236" customWidth="1"/>
    <col min="11279" max="11279" width="6.7109375" style="236" customWidth="1"/>
    <col min="11280" max="11281" width="7.5703125" style="236" customWidth="1"/>
    <col min="11282" max="11283" width="8.42578125" style="236" customWidth="1"/>
    <col min="11284" max="11284" width="6.7109375" style="236" customWidth="1"/>
    <col min="11285" max="11286" width="7.5703125" style="236" customWidth="1"/>
    <col min="11287" max="11288" width="8.42578125" style="236" customWidth="1"/>
    <col min="11289" max="11289" width="6.7109375" style="236" customWidth="1"/>
    <col min="11290" max="11290" width="7.5703125" style="236" customWidth="1"/>
    <col min="11291" max="11530" width="6.28515625" style="236"/>
    <col min="11531" max="11531" width="43.5703125" style="236" customWidth="1"/>
    <col min="11532" max="11532" width="7.5703125" style="236" customWidth="1"/>
    <col min="11533" max="11534" width="8.42578125" style="236" customWidth="1"/>
    <col min="11535" max="11535" width="6.7109375" style="236" customWidth="1"/>
    <col min="11536" max="11537" width="7.5703125" style="236" customWidth="1"/>
    <col min="11538" max="11539" width="8.42578125" style="236" customWidth="1"/>
    <col min="11540" max="11540" width="6.7109375" style="236" customWidth="1"/>
    <col min="11541" max="11542" width="7.5703125" style="236" customWidth="1"/>
    <col min="11543" max="11544" width="8.42578125" style="236" customWidth="1"/>
    <col min="11545" max="11545" width="6.7109375" style="236" customWidth="1"/>
    <col min="11546" max="11546" width="7.5703125" style="236" customWidth="1"/>
    <col min="11547" max="11786" width="6.28515625" style="236"/>
    <col min="11787" max="11787" width="43.5703125" style="236" customWidth="1"/>
    <col min="11788" max="11788" width="7.5703125" style="236" customWidth="1"/>
    <col min="11789" max="11790" width="8.42578125" style="236" customWidth="1"/>
    <col min="11791" max="11791" width="6.7109375" style="236" customWidth="1"/>
    <col min="11792" max="11793" width="7.5703125" style="236" customWidth="1"/>
    <col min="11794" max="11795" width="8.42578125" style="236" customWidth="1"/>
    <col min="11796" max="11796" width="6.7109375" style="236" customWidth="1"/>
    <col min="11797" max="11798" width="7.5703125" style="236" customWidth="1"/>
    <col min="11799" max="11800" width="8.42578125" style="236" customWidth="1"/>
    <col min="11801" max="11801" width="6.7109375" style="236" customWidth="1"/>
    <col min="11802" max="11802" width="7.5703125" style="236" customWidth="1"/>
    <col min="11803" max="12042" width="6.28515625" style="236"/>
    <col min="12043" max="12043" width="43.5703125" style="236" customWidth="1"/>
    <col min="12044" max="12044" width="7.5703125" style="236" customWidth="1"/>
    <col min="12045" max="12046" width="8.42578125" style="236" customWidth="1"/>
    <col min="12047" max="12047" width="6.7109375" style="236" customWidth="1"/>
    <col min="12048" max="12049" width="7.5703125" style="236" customWidth="1"/>
    <col min="12050" max="12051" width="8.42578125" style="236" customWidth="1"/>
    <col min="12052" max="12052" width="6.7109375" style="236" customWidth="1"/>
    <col min="12053" max="12054" width="7.5703125" style="236" customWidth="1"/>
    <col min="12055" max="12056" width="8.42578125" style="236" customWidth="1"/>
    <col min="12057" max="12057" width="6.7109375" style="236" customWidth="1"/>
    <col min="12058" max="12058" width="7.5703125" style="236" customWidth="1"/>
    <col min="12059" max="12298" width="6.28515625" style="236"/>
    <col min="12299" max="12299" width="43.5703125" style="236" customWidth="1"/>
    <col min="12300" max="12300" width="7.5703125" style="236" customWidth="1"/>
    <col min="12301" max="12302" width="8.42578125" style="236" customWidth="1"/>
    <col min="12303" max="12303" width="6.7109375" style="236" customWidth="1"/>
    <col min="12304" max="12305" width="7.5703125" style="236" customWidth="1"/>
    <col min="12306" max="12307" width="8.42578125" style="236" customWidth="1"/>
    <col min="12308" max="12308" width="6.7109375" style="236" customWidth="1"/>
    <col min="12309" max="12310" width="7.5703125" style="236" customWidth="1"/>
    <col min="12311" max="12312" width="8.42578125" style="236" customWidth="1"/>
    <col min="12313" max="12313" width="6.7109375" style="236" customWidth="1"/>
    <col min="12314" max="12314" width="7.5703125" style="236" customWidth="1"/>
    <col min="12315" max="12554" width="6.28515625" style="236"/>
    <col min="12555" max="12555" width="43.5703125" style="236" customWidth="1"/>
    <col min="12556" max="12556" width="7.5703125" style="236" customWidth="1"/>
    <col min="12557" max="12558" width="8.42578125" style="236" customWidth="1"/>
    <col min="12559" max="12559" width="6.7109375" style="236" customWidth="1"/>
    <col min="12560" max="12561" width="7.5703125" style="236" customWidth="1"/>
    <col min="12562" max="12563" width="8.42578125" style="236" customWidth="1"/>
    <col min="12564" max="12564" width="6.7109375" style="236" customWidth="1"/>
    <col min="12565" max="12566" width="7.5703125" style="236" customWidth="1"/>
    <col min="12567" max="12568" width="8.42578125" style="236" customWidth="1"/>
    <col min="12569" max="12569" width="6.7109375" style="236" customWidth="1"/>
    <col min="12570" max="12570" width="7.5703125" style="236" customWidth="1"/>
    <col min="12571" max="12810" width="6.28515625" style="236"/>
    <col min="12811" max="12811" width="43.5703125" style="236" customWidth="1"/>
    <col min="12812" max="12812" width="7.5703125" style="236" customWidth="1"/>
    <col min="12813" max="12814" width="8.42578125" style="236" customWidth="1"/>
    <col min="12815" max="12815" width="6.7109375" style="236" customWidth="1"/>
    <col min="12816" max="12817" width="7.5703125" style="236" customWidth="1"/>
    <col min="12818" max="12819" width="8.42578125" style="236" customWidth="1"/>
    <col min="12820" max="12820" width="6.7109375" style="236" customWidth="1"/>
    <col min="12821" max="12822" width="7.5703125" style="236" customWidth="1"/>
    <col min="12823" max="12824" width="8.42578125" style="236" customWidth="1"/>
    <col min="12825" max="12825" width="6.7109375" style="236" customWidth="1"/>
    <col min="12826" max="12826" width="7.5703125" style="236" customWidth="1"/>
    <col min="12827" max="13066" width="6.28515625" style="236"/>
    <col min="13067" max="13067" width="43.5703125" style="236" customWidth="1"/>
    <col min="13068" max="13068" width="7.5703125" style="236" customWidth="1"/>
    <col min="13069" max="13070" width="8.42578125" style="236" customWidth="1"/>
    <col min="13071" max="13071" width="6.7109375" style="236" customWidth="1"/>
    <col min="13072" max="13073" width="7.5703125" style="236" customWidth="1"/>
    <col min="13074" max="13075" width="8.42578125" style="236" customWidth="1"/>
    <col min="13076" max="13076" width="6.7109375" style="236" customWidth="1"/>
    <col min="13077" max="13078" width="7.5703125" style="236" customWidth="1"/>
    <col min="13079" max="13080" width="8.42578125" style="236" customWidth="1"/>
    <col min="13081" max="13081" width="6.7109375" style="236" customWidth="1"/>
    <col min="13082" max="13082" width="7.5703125" style="236" customWidth="1"/>
    <col min="13083" max="13322" width="6.28515625" style="236"/>
    <col min="13323" max="13323" width="43.5703125" style="236" customWidth="1"/>
    <col min="13324" max="13324" width="7.5703125" style="236" customWidth="1"/>
    <col min="13325" max="13326" width="8.42578125" style="236" customWidth="1"/>
    <col min="13327" max="13327" width="6.7109375" style="236" customWidth="1"/>
    <col min="13328" max="13329" width="7.5703125" style="236" customWidth="1"/>
    <col min="13330" max="13331" width="8.42578125" style="236" customWidth="1"/>
    <col min="13332" max="13332" width="6.7109375" style="236" customWidth="1"/>
    <col min="13333" max="13334" width="7.5703125" style="236" customWidth="1"/>
    <col min="13335" max="13336" width="8.42578125" style="236" customWidth="1"/>
    <col min="13337" max="13337" width="6.7109375" style="236" customWidth="1"/>
    <col min="13338" max="13338" width="7.5703125" style="236" customWidth="1"/>
    <col min="13339" max="13578" width="6.28515625" style="236"/>
    <col min="13579" max="13579" width="43.5703125" style="236" customWidth="1"/>
    <col min="13580" max="13580" width="7.5703125" style="236" customWidth="1"/>
    <col min="13581" max="13582" width="8.42578125" style="236" customWidth="1"/>
    <col min="13583" max="13583" width="6.7109375" style="236" customWidth="1"/>
    <col min="13584" max="13585" width="7.5703125" style="236" customWidth="1"/>
    <col min="13586" max="13587" width="8.42578125" style="236" customWidth="1"/>
    <col min="13588" max="13588" width="6.7109375" style="236" customWidth="1"/>
    <col min="13589" max="13590" width="7.5703125" style="236" customWidth="1"/>
    <col min="13591" max="13592" width="8.42578125" style="236" customWidth="1"/>
    <col min="13593" max="13593" width="6.7109375" style="236" customWidth="1"/>
    <col min="13594" max="13594" width="7.5703125" style="236" customWidth="1"/>
    <col min="13595" max="13834" width="6.28515625" style="236"/>
    <col min="13835" max="13835" width="43.5703125" style="236" customWidth="1"/>
    <col min="13836" max="13836" width="7.5703125" style="236" customWidth="1"/>
    <col min="13837" max="13838" width="8.42578125" style="236" customWidth="1"/>
    <col min="13839" max="13839" width="6.7109375" style="236" customWidth="1"/>
    <col min="13840" max="13841" width="7.5703125" style="236" customWidth="1"/>
    <col min="13842" max="13843" width="8.42578125" style="236" customWidth="1"/>
    <col min="13844" max="13844" width="6.7109375" style="236" customWidth="1"/>
    <col min="13845" max="13846" width="7.5703125" style="236" customWidth="1"/>
    <col min="13847" max="13848" width="8.42578125" style="236" customWidth="1"/>
    <col min="13849" max="13849" width="6.7109375" style="236" customWidth="1"/>
    <col min="13850" max="13850" width="7.5703125" style="236" customWidth="1"/>
    <col min="13851" max="14090" width="6.28515625" style="236"/>
    <col min="14091" max="14091" width="43.5703125" style="236" customWidth="1"/>
    <col min="14092" max="14092" width="7.5703125" style="236" customWidth="1"/>
    <col min="14093" max="14094" width="8.42578125" style="236" customWidth="1"/>
    <col min="14095" max="14095" width="6.7109375" style="236" customWidth="1"/>
    <col min="14096" max="14097" width="7.5703125" style="236" customWidth="1"/>
    <col min="14098" max="14099" width="8.42578125" style="236" customWidth="1"/>
    <col min="14100" max="14100" width="6.7109375" style="236" customWidth="1"/>
    <col min="14101" max="14102" width="7.5703125" style="236" customWidth="1"/>
    <col min="14103" max="14104" width="8.42578125" style="236" customWidth="1"/>
    <col min="14105" max="14105" width="6.7109375" style="236" customWidth="1"/>
    <col min="14106" max="14106" width="7.5703125" style="236" customWidth="1"/>
    <col min="14107" max="14346" width="6.28515625" style="236"/>
    <col min="14347" max="14347" width="43.5703125" style="236" customWidth="1"/>
    <col min="14348" max="14348" width="7.5703125" style="236" customWidth="1"/>
    <col min="14349" max="14350" width="8.42578125" style="236" customWidth="1"/>
    <col min="14351" max="14351" width="6.7109375" style="236" customWidth="1"/>
    <col min="14352" max="14353" width="7.5703125" style="236" customWidth="1"/>
    <col min="14354" max="14355" width="8.42578125" style="236" customWidth="1"/>
    <col min="14356" max="14356" width="6.7109375" style="236" customWidth="1"/>
    <col min="14357" max="14358" width="7.5703125" style="236" customWidth="1"/>
    <col min="14359" max="14360" width="8.42578125" style="236" customWidth="1"/>
    <col min="14361" max="14361" width="6.7109375" style="236" customWidth="1"/>
    <col min="14362" max="14362" width="7.5703125" style="236" customWidth="1"/>
    <col min="14363" max="14602" width="6.28515625" style="236"/>
    <col min="14603" max="14603" width="43.5703125" style="236" customWidth="1"/>
    <col min="14604" max="14604" width="7.5703125" style="236" customWidth="1"/>
    <col min="14605" max="14606" width="8.42578125" style="236" customWidth="1"/>
    <col min="14607" max="14607" width="6.7109375" style="236" customWidth="1"/>
    <col min="14608" max="14609" width="7.5703125" style="236" customWidth="1"/>
    <col min="14610" max="14611" width="8.42578125" style="236" customWidth="1"/>
    <col min="14612" max="14612" width="6.7109375" style="236" customWidth="1"/>
    <col min="14613" max="14614" width="7.5703125" style="236" customWidth="1"/>
    <col min="14615" max="14616" width="8.42578125" style="236" customWidth="1"/>
    <col min="14617" max="14617" width="6.7109375" style="236" customWidth="1"/>
    <col min="14618" max="14618" width="7.5703125" style="236" customWidth="1"/>
    <col min="14619" max="14858" width="6.28515625" style="236"/>
    <col min="14859" max="14859" width="43.5703125" style="236" customWidth="1"/>
    <col min="14860" max="14860" width="7.5703125" style="236" customWidth="1"/>
    <col min="14861" max="14862" width="8.42578125" style="236" customWidth="1"/>
    <col min="14863" max="14863" width="6.7109375" style="236" customWidth="1"/>
    <col min="14864" max="14865" width="7.5703125" style="236" customWidth="1"/>
    <col min="14866" max="14867" width="8.42578125" style="236" customWidth="1"/>
    <col min="14868" max="14868" width="6.7109375" style="236" customWidth="1"/>
    <col min="14869" max="14870" width="7.5703125" style="236" customWidth="1"/>
    <col min="14871" max="14872" width="8.42578125" style="236" customWidth="1"/>
    <col min="14873" max="14873" width="6.7109375" style="236" customWidth="1"/>
    <col min="14874" max="14874" width="7.5703125" style="236" customWidth="1"/>
    <col min="14875" max="15114" width="6.28515625" style="236"/>
    <col min="15115" max="15115" width="43.5703125" style="236" customWidth="1"/>
    <col min="15116" max="15116" width="7.5703125" style="236" customWidth="1"/>
    <col min="15117" max="15118" width="8.42578125" style="236" customWidth="1"/>
    <col min="15119" max="15119" width="6.7109375" style="236" customWidth="1"/>
    <col min="15120" max="15121" width="7.5703125" style="236" customWidth="1"/>
    <col min="15122" max="15123" width="8.42578125" style="236" customWidth="1"/>
    <col min="15124" max="15124" width="6.7109375" style="236" customWidth="1"/>
    <col min="15125" max="15126" width="7.5703125" style="236" customWidth="1"/>
    <col min="15127" max="15128" width="8.42578125" style="236" customWidth="1"/>
    <col min="15129" max="15129" width="6.7109375" style="236" customWidth="1"/>
    <col min="15130" max="15130" width="7.5703125" style="236" customWidth="1"/>
    <col min="15131" max="15370" width="6.28515625" style="236"/>
    <col min="15371" max="15371" width="43.5703125" style="236" customWidth="1"/>
    <col min="15372" max="15372" width="7.5703125" style="236" customWidth="1"/>
    <col min="15373" max="15374" width="8.42578125" style="236" customWidth="1"/>
    <col min="15375" max="15375" width="6.7109375" style="236" customWidth="1"/>
    <col min="15376" max="15377" width="7.5703125" style="236" customWidth="1"/>
    <col min="15378" max="15379" width="8.42578125" style="236" customWidth="1"/>
    <col min="15380" max="15380" width="6.7109375" style="236" customWidth="1"/>
    <col min="15381" max="15382" width="7.5703125" style="236" customWidth="1"/>
    <col min="15383" max="15384" width="8.42578125" style="236" customWidth="1"/>
    <col min="15385" max="15385" width="6.7109375" style="236" customWidth="1"/>
    <col min="15386" max="15386" width="7.5703125" style="236" customWidth="1"/>
    <col min="15387" max="15626" width="6.28515625" style="236"/>
    <col min="15627" max="15627" width="43.5703125" style="236" customWidth="1"/>
    <col min="15628" max="15628" width="7.5703125" style="236" customWidth="1"/>
    <col min="15629" max="15630" width="8.42578125" style="236" customWidth="1"/>
    <col min="15631" max="15631" width="6.7109375" style="236" customWidth="1"/>
    <col min="15632" max="15633" width="7.5703125" style="236" customWidth="1"/>
    <col min="15634" max="15635" width="8.42578125" style="236" customWidth="1"/>
    <col min="15636" max="15636" width="6.7109375" style="236" customWidth="1"/>
    <col min="15637" max="15638" width="7.5703125" style="236" customWidth="1"/>
    <col min="15639" max="15640" width="8.42578125" style="236" customWidth="1"/>
    <col min="15641" max="15641" width="6.7109375" style="236" customWidth="1"/>
    <col min="15642" max="15642" width="7.5703125" style="236" customWidth="1"/>
    <col min="15643" max="15882" width="6.28515625" style="236"/>
    <col min="15883" max="15883" width="43.5703125" style="236" customWidth="1"/>
    <col min="15884" max="15884" width="7.5703125" style="236" customWidth="1"/>
    <col min="15885" max="15886" width="8.42578125" style="236" customWidth="1"/>
    <col min="15887" max="15887" width="6.7109375" style="236" customWidth="1"/>
    <col min="15888" max="15889" width="7.5703125" style="236" customWidth="1"/>
    <col min="15890" max="15891" width="8.42578125" style="236" customWidth="1"/>
    <col min="15892" max="15892" width="6.7109375" style="236" customWidth="1"/>
    <col min="15893" max="15894" width="7.5703125" style="236" customWidth="1"/>
    <col min="15895" max="15896" width="8.42578125" style="236" customWidth="1"/>
    <col min="15897" max="15897" width="6.7109375" style="236" customWidth="1"/>
    <col min="15898" max="15898" width="7.5703125" style="236" customWidth="1"/>
    <col min="15899" max="16138" width="6.28515625" style="236"/>
    <col min="16139" max="16139" width="43.5703125" style="236" customWidth="1"/>
    <col min="16140" max="16140" width="7.5703125" style="236" customWidth="1"/>
    <col min="16141" max="16142" width="8.42578125" style="236" customWidth="1"/>
    <col min="16143" max="16143" width="6.7109375" style="236" customWidth="1"/>
    <col min="16144" max="16145" width="7.5703125" style="236" customWidth="1"/>
    <col min="16146" max="16147" width="8.42578125" style="236" customWidth="1"/>
    <col min="16148" max="16148" width="6.7109375" style="236" customWidth="1"/>
    <col min="16149" max="16150" width="7.5703125" style="236" customWidth="1"/>
    <col min="16151" max="16152" width="8.42578125" style="236" customWidth="1"/>
    <col min="16153" max="16153" width="6.7109375" style="236" customWidth="1"/>
    <col min="16154" max="16154" width="7.5703125" style="236" customWidth="1"/>
    <col min="16155" max="16384" width="6.28515625" style="236"/>
  </cols>
  <sheetData>
    <row r="1" spans="1:25" ht="15.6">
      <c r="A1" s="17" t="str">
        <f>CONCATENATE("Industry Table 6  Employment status by Industry (SIC 2007) and Gender, ",B$5,"-",V$5,", ",Info!B5)</f>
        <v>Industry Table 6  Employment status by Industry (SIC 2007) and Gender, 2015-2035, England</v>
      </c>
    </row>
    <row r="2" spans="1:25">
      <c r="A2" s="1" t="s">
        <v>128</v>
      </c>
    </row>
    <row r="4" spans="1:25">
      <c r="A4" s="240"/>
      <c r="B4" s="286"/>
      <c r="C4" s="287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 t="s">
        <v>114</v>
      </c>
    </row>
    <row r="5" spans="1:25" ht="14.1">
      <c r="A5" s="241" t="str">
        <f>"Industry 1 : "&amp; name!B4</f>
        <v>Industry 1 : Agriculture</v>
      </c>
      <c r="B5" s="366">
        <v>2015</v>
      </c>
      <c r="C5" s="366"/>
      <c r="D5" s="366"/>
      <c r="E5" s="366"/>
      <c r="F5" s="288"/>
      <c r="G5" s="366">
        <v>2019</v>
      </c>
      <c r="H5" s="366"/>
      <c r="I5" s="366"/>
      <c r="J5" s="366"/>
      <c r="K5" s="289"/>
      <c r="L5" s="366">
        <v>2020</v>
      </c>
      <c r="M5" s="366"/>
      <c r="N5" s="366"/>
      <c r="O5" s="366"/>
      <c r="P5" s="289"/>
      <c r="Q5" s="366">
        <v>2025</v>
      </c>
      <c r="R5" s="366"/>
      <c r="S5" s="366"/>
      <c r="T5" s="366"/>
      <c r="U5" s="288"/>
      <c r="V5" s="366">
        <v>2035</v>
      </c>
      <c r="W5" s="366"/>
      <c r="X5" s="366"/>
      <c r="Y5" s="366"/>
    </row>
    <row r="6" spans="1:25">
      <c r="A6" s="243"/>
      <c r="B6" s="244" t="str">
        <f>name!$J$5</f>
        <v>FT</v>
      </c>
      <c r="C6" s="244" t="str">
        <f>name!$J$6</f>
        <v>PT</v>
      </c>
      <c r="D6" s="244" t="str">
        <f>name!$J$4</f>
        <v>SE</v>
      </c>
      <c r="E6" s="244" t="s">
        <v>119</v>
      </c>
      <c r="F6" s="244"/>
      <c r="G6" s="244" t="str">
        <f>name!$J$5</f>
        <v>FT</v>
      </c>
      <c r="H6" s="244" t="str">
        <f>name!$J$6</f>
        <v>PT</v>
      </c>
      <c r="I6" s="244" t="str">
        <f>name!$J$4</f>
        <v>SE</v>
      </c>
      <c r="J6" s="244" t="s">
        <v>119</v>
      </c>
      <c r="K6" s="244"/>
      <c r="L6" s="244" t="str">
        <f>name!$J$5</f>
        <v>FT</v>
      </c>
      <c r="M6" s="244" t="str">
        <f>name!$J$6</f>
        <v>PT</v>
      </c>
      <c r="N6" s="244" t="str">
        <f>name!$J$4</f>
        <v>SE</v>
      </c>
      <c r="O6" s="244" t="s">
        <v>119</v>
      </c>
      <c r="P6" s="244"/>
      <c r="Q6" s="244" t="str">
        <f>name!$J$5</f>
        <v>FT</v>
      </c>
      <c r="R6" s="244" t="str">
        <f>name!$J$6</f>
        <v>PT</v>
      </c>
      <c r="S6" s="244" t="str">
        <f>name!$J$4</f>
        <v>SE</v>
      </c>
      <c r="T6" s="244" t="s">
        <v>119</v>
      </c>
      <c r="U6" s="244"/>
      <c r="V6" s="244" t="str">
        <f>name!$J$5</f>
        <v>FT</v>
      </c>
      <c r="W6" s="244" t="str">
        <f>name!$J$6</f>
        <v>PT</v>
      </c>
      <c r="X6" s="244" t="str">
        <f>name!$J$4</f>
        <v>SE</v>
      </c>
      <c r="Y6" s="244" t="s">
        <v>119</v>
      </c>
    </row>
    <row r="7" spans="1:25">
      <c r="A7" s="245"/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</row>
    <row r="8" spans="1:25">
      <c r="A8" s="237" t="str">
        <f>name!A4</f>
        <v>Agriculture, etc</v>
      </c>
      <c r="C8" s="239"/>
    </row>
    <row r="9" spans="1:25" ht="12.6">
      <c r="A9" s="236" t="s">
        <v>145</v>
      </c>
      <c r="B9" s="276">
        <v>28.683999999867751</v>
      </c>
      <c r="C9" s="276">
        <v>19.305000000163119</v>
      </c>
      <c r="D9" s="276">
        <v>22.454000000615615</v>
      </c>
      <c r="E9" s="276">
        <f>SUM(B9:D9)</f>
        <v>70.443000000646492</v>
      </c>
      <c r="F9" s="276"/>
      <c r="G9" s="276">
        <v>25.933999999830029</v>
      </c>
      <c r="H9" s="276">
        <v>24.861000000245383</v>
      </c>
      <c r="I9" s="276">
        <v>31.050000000944394</v>
      </c>
      <c r="J9" s="276">
        <f>SUM(G9:I9)</f>
        <v>81.845000001019798</v>
      </c>
      <c r="K9" s="276"/>
      <c r="L9" s="276">
        <v>31.874999999834873</v>
      </c>
      <c r="M9" s="276">
        <v>17.175000000145953</v>
      </c>
      <c r="N9" s="276">
        <v>25.508999999668479</v>
      </c>
      <c r="O9" s="276">
        <f>SUM(L9:N9)</f>
        <v>74.558999999649302</v>
      </c>
      <c r="P9" s="276"/>
      <c r="Q9" s="276">
        <v>32.579000000617484</v>
      </c>
      <c r="R9" s="276">
        <v>17.140000000403894</v>
      </c>
      <c r="S9" s="276">
        <v>26.617000000191581</v>
      </c>
      <c r="T9" s="276">
        <f>SUM(Q9:S9)</f>
        <v>76.336000001212966</v>
      </c>
      <c r="U9" s="276"/>
      <c r="V9" s="276">
        <v>32.20600000067089</v>
      </c>
      <c r="W9" s="276">
        <v>15.854000000305444</v>
      </c>
      <c r="X9" s="276">
        <v>27.55499999979607</v>
      </c>
      <c r="Y9" s="276">
        <f>SUM(V9:X9)</f>
        <v>75.615000000772397</v>
      </c>
    </row>
    <row r="10" spans="1:25" ht="12.6">
      <c r="A10" s="236" t="s">
        <v>144</v>
      </c>
      <c r="B10" s="276">
        <v>98.11800000005266</v>
      </c>
      <c r="C10" s="276">
        <v>14.097000000069837</v>
      </c>
      <c r="D10" s="276">
        <v>80.006000000108273</v>
      </c>
      <c r="E10" s="276">
        <f t="shared" ref="E10:E11" si="0">SUM(B10:D10)</f>
        <v>192.22100000023079</v>
      </c>
      <c r="F10" s="276"/>
      <c r="G10" s="276">
        <v>86.367000000074043</v>
      </c>
      <c r="H10" s="276">
        <v>8.6590000000321794</v>
      </c>
      <c r="I10" s="276">
        <v>93.530000000741921</v>
      </c>
      <c r="J10" s="276">
        <f t="shared" ref="J10:J11" si="1">SUM(G10:I10)</f>
        <v>188.55600000084814</v>
      </c>
      <c r="K10" s="276"/>
      <c r="L10" s="276">
        <v>90.717000000280578</v>
      </c>
      <c r="M10" s="276">
        <v>9.250000000029301</v>
      </c>
      <c r="N10" s="276">
        <v>65.167999998714706</v>
      </c>
      <c r="O10" s="276">
        <f t="shared" ref="O10:O11" si="2">SUM(L10:N10)</f>
        <v>165.13499999902459</v>
      </c>
      <c r="P10" s="276"/>
      <c r="Q10" s="276">
        <v>95.909000000547096</v>
      </c>
      <c r="R10" s="276">
        <v>9.5390000000092829</v>
      </c>
      <c r="S10" s="276">
        <v>65.113999996654016</v>
      </c>
      <c r="T10" s="276">
        <f t="shared" ref="T10:T11" si="3">SUM(Q10:S10)</f>
        <v>170.56199999721039</v>
      </c>
      <c r="U10" s="276"/>
      <c r="V10" s="276">
        <v>102.9410000006115</v>
      </c>
      <c r="W10" s="276">
        <v>9.5960000000208332</v>
      </c>
      <c r="X10" s="276">
        <v>60.996999996744641</v>
      </c>
      <c r="Y10" s="276">
        <f t="shared" ref="Y10:Y11" si="4">SUM(V10:X10)</f>
        <v>173.53399999737698</v>
      </c>
    </row>
    <row r="11" spans="1:25" ht="12.6">
      <c r="A11" s="240" t="s">
        <v>146</v>
      </c>
      <c r="B11" s="277">
        <f>SUM(B9:B10)</f>
        <v>126.80199999992041</v>
      </c>
      <c r="C11" s="277">
        <f t="shared" ref="C11:D11" si="5">SUM(C9:C10)</f>
        <v>33.40200000023296</v>
      </c>
      <c r="D11" s="277">
        <f t="shared" si="5"/>
        <v>102.46000000072388</v>
      </c>
      <c r="E11" s="277">
        <f t="shared" si="0"/>
        <v>262.66400000087725</v>
      </c>
      <c r="F11" s="277"/>
      <c r="G11" s="277">
        <f>SUM(G9:G10)</f>
        <v>112.30099999990406</v>
      </c>
      <c r="H11" s="277">
        <f t="shared" ref="H11" si="6">SUM(H9:H10)</f>
        <v>33.520000000277562</v>
      </c>
      <c r="I11" s="277">
        <f t="shared" ref="I11" si="7">SUM(I9:I10)</f>
        <v>124.58000000168632</v>
      </c>
      <c r="J11" s="277">
        <f t="shared" si="1"/>
        <v>270.40100000186794</v>
      </c>
      <c r="K11" s="277"/>
      <c r="L11" s="277">
        <f>SUM(L9:L10)</f>
        <v>122.59200000011545</v>
      </c>
      <c r="M11" s="277">
        <f t="shared" ref="M11" si="8">SUM(M9:M10)</f>
        <v>26.425000000175253</v>
      </c>
      <c r="N11" s="277">
        <f t="shared" ref="N11" si="9">SUM(N9:N10)</f>
        <v>90.676999998383181</v>
      </c>
      <c r="O11" s="277">
        <f t="shared" si="2"/>
        <v>239.69399999867386</v>
      </c>
      <c r="P11" s="277"/>
      <c r="Q11" s="277">
        <f>SUM(Q9:Q10)</f>
        <v>128.48800000116458</v>
      </c>
      <c r="R11" s="277">
        <f t="shared" ref="R11" si="10">SUM(R9:R10)</f>
        <v>26.679000000413176</v>
      </c>
      <c r="S11" s="277">
        <f t="shared" ref="S11" si="11">SUM(S9:S10)</f>
        <v>91.730999996845597</v>
      </c>
      <c r="T11" s="277">
        <f t="shared" si="3"/>
        <v>246.89799999842336</v>
      </c>
      <c r="U11" s="277"/>
      <c r="V11" s="277">
        <f>SUM(V9:V10)</f>
        <v>135.14700000128238</v>
      </c>
      <c r="W11" s="277">
        <f t="shared" ref="W11" si="12">SUM(W9:W10)</f>
        <v>25.450000000326277</v>
      </c>
      <c r="X11" s="277">
        <f t="shared" ref="X11" si="13">SUM(X9:X10)</f>
        <v>88.551999996540715</v>
      </c>
      <c r="Y11" s="277">
        <f t="shared" si="4"/>
        <v>249.14899999814935</v>
      </c>
    </row>
    <row r="13" spans="1:25">
      <c r="A13" s="237"/>
    </row>
    <row r="14" spans="1:25" ht="12.6">
      <c r="C14" s="239"/>
    </row>
    <row r="15" spans="1:25" ht="14.1">
      <c r="A15" s="241" t="str">
        <f>"Industry 2 : "&amp; name!B5</f>
        <v>Industry 2 : Mining and quarrying</v>
      </c>
      <c r="B15" s="366">
        <f>$B$5</f>
        <v>2015</v>
      </c>
      <c r="C15" s="366"/>
      <c r="D15" s="366"/>
      <c r="E15" s="366"/>
      <c r="F15" s="291"/>
      <c r="G15" s="366">
        <f>$G$5</f>
        <v>2019</v>
      </c>
      <c r="H15" s="366"/>
      <c r="I15" s="366"/>
      <c r="J15" s="366"/>
      <c r="K15" s="291"/>
      <c r="L15" s="366">
        <f>$L$5</f>
        <v>2020</v>
      </c>
      <c r="M15" s="366"/>
      <c r="N15" s="366"/>
      <c r="O15" s="366"/>
      <c r="P15" s="289"/>
      <c r="Q15" s="366">
        <f>$Q$5</f>
        <v>2025</v>
      </c>
      <c r="R15" s="366"/>
      <c r="S15" s="366"/>
      <c r="T15" s="366"/>
      <c r="U15" s="291"/>
      <c r="V15" s="366">
        <f>$V$5</f>
        <v>2035</v>
      </c>
      <c r="W15" s="366"/>
      <c r="X15" s="366"/>
      <c r="Y15" s="366"/>
    </row>
    <row r="16" spans="1:25">
      <c r="A16" s="240"/>
      <c r="B16" s="244" t="str">
        <f>$B$6</f>
        <v>FT</v>
      </c>
      <c r="C16" s="244" t="str">
        <f>$C$6</f>
        <v>PT</v>
      </c>
      <c r="D16" s="244" t="str">
        <f>$D$6</f>
        <v>SE</v>
      </c>
      <c r="E16" s="244" t="str">
        <f>$E$6</f>
        <v>Total</v>
      </c>
      <c r="F16" s="244"/>
      <c r="G16" s="244" t="str">
        <f>$B$6</f>
        <v>FT</v>
      </c>
      <c r="H16" s="244" t="str">
        <f>$C$6</f>
        <v>PT</v>
      </c>
      <c r="I16" s="244" t="str">
        <f>$D$6</f>
        <v>SE</v>
      </c>
      <c r="J16" s="244" t="str">
        <f>$E$6</f>
        <v>Total</v>
      </c>
      <c r="K16" s="244"/>
      <c r="L16" s="244" t="str">
        <f>$L$6</f>
        <v>FT</v>
      </c>
      <c r="M16" s="244" t="str">
        <f>$M$6</f>
        <v>PT</v>
      </c>
      <c r="N16" s="244" t="str">
        <f>$N$6</f>
        <v>SE</v>
      </c>
      <c r="O16" s="244" t="str">
        <f>$O$6</f>
        <v>Total</v>
      </c>
      <c r="P16" s="244"/>
      <c r="Q16" s="244" t="str">
        <f>$L$6</f>
        <v>FT</v>
      </c>
      <c r="R16" s="244" t="str">
        <f>$M$6</f>
        <v>PT</v>
      </c>
      <c r="S16" s="244" t="str">
        <f>$N$6</f>
        <v>SE</v>
      </c>
      <c r="T16" s="244" t="str">
        <f>$O$6</f>
        <v>Total</v>
      </c>
      <c r="U16" s="244"/>
      <c r="V16" s="244" t="str">
        <f>$V$6</f>
        <v>FT</v>
      </c>
      <c r="W16" s="244" t="str">
        <f>$W$6</f>
        <v>PT</v>
      </c>
      <c r="X16" s="244" t="str">
        <f>$X$6</f>
        <v>SE</v>
      </c>
      <c r="Y16" s="244" t="str">
        <f>$Y$6</f>
        <v>Total</v>
      </c>
    </row>
    <row r="17" spans="1:25"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</row>
    <row r="18" spans="1:25">
      <c r="A18" s="237" t="str">
        <f>name!A5</f>
        <v>Coal, oil &amp; gas; Mining &amp; related</v>
      </c>
      <c r="C18" s="239"/>
    </row>
    <row r="19" spans="1:25" ht="12.6">
      <c r="A19" s="236" t="s">
        <v>145</v>
      </c>
      <c r="B19" s="276">
        <v>2.726999999980821</v>
      </c>
      <c r="C19" s="276">
        <v>0.68099999999736083</v>
      </c>
      <c r="D19" s="276">
        <v>0.84000000000080066</v>
      </c>
      <c r="E19" s="276">
        <f>SUM(B19:D19)</f>
        <v>4.2479999999789824</v>
      </c>
      <c r="F19" s="276"/>
      <c r="G19" s="276">
        <v>2.9149999999788863</v>
      </c>
      <c r="H19" s="276">
        <v>0.72900000000033349</v>
      </c>
      <c r="I19" s="276">
        <v>1.2370000000088064</v>
      </c>
      <c r="J19" s="276">
        <f>SUM(G19:I19)</f>
        <v>4.8809999999880258</v>
      </c>
      <c r="K19" s="276"/>
      <c r="L19" s="276">
        <v>3.0259999999849918</v>
      </c>
      <c r="M19" s="276">
        <v>0.67599999999938798</v>
      </c>
      <c r="N19" s="276">
        <v>0</v>
      </c>
      <c r="O19" s="276">
        <f>SUM(L19:N19)</f>
        <v>3.7019999999843796</v>
      </c>
      <c r="P19" s="276"/>
      <c r="Q19" s="276">
        <v>2.4200000000215338</v>
      </c>
      <c r="R19" s="276">
        <v>0.5540000000012818</v>
      </c>
      <c r="S19" s="276">
        <v>0</v>
      </c>
      <c r="T19" s="276">
        <f>SUM(Q19:S19)</f>
        <v>2.9740000000228157</v>
      </c>
      <c r="U19" s="276"/>
      <c r="V19" s="276">
        <v>1.7370000000286705</v>
      </c>
      <c r="W19" s="276">
        <v>0.43499999999857558</v>
      </c>
      <c r="X19" s="276">
        <v>0</v>
      </c>
      <c r="Y19" s="276">
        <f>SUM(V19:X19)</f>
        <v>2.1720000000272459</v>
      </c>
    </row>
    <row r="20" spans="1:25" ht="12.6">
      <c r="A20" s="236" t="s">
        <v>144</v>
      </c>
      <c r="B20" s="276">
        <v>20.123999999900491</v>
      </c>
      <c r="C20" s="276">
        <v>0.75000000000112743</v>
      </c>
      <c r="D20" s="276">
        <v>5.2729999999771673</v>
      </c>
      <c r="E20" s="276">
        <f t="shared" ref="E20:E21" si="14">SUM(B20:D20)</f>
        <v>26.146999999878783</v>
      </c>
      <c r="F20" s="276"/>
      <c r="G20" s="276">
        <v>17.256999999978632</v>
      </c>
      <c r="H20" s="276">
        <v>0.48699999999928401</v>
      </c>
      <c r="I20" s="276">
        <v>1.3490000000113758</v>
      </c>
      <c r="J20" s="276">
        <f t="shared" ref="J20:J21" si="15">SUM(G20:I20)</f>
        <v>19.092999999989292</v>
      </c>
      <c r="K20" s="276"/>
      <c r="L20" s="276">
        <v>18.18700000002498</v>
      </c>
      <c r="M20" s="276">
        <v>0.72700000000191867</v>
      </c>
      <c r="N20" s="276">
        <v>1.8899999999858341</v>
      </c>
      <c r="O20" s="276">
        <f t="shared" ref="O20:O21" si="16">SUM(L20:N20)</f>
        <v>20.804000000012735</v>
      </c>
      <c r="P20" s="276"/>
      <c r="Q20" s="276">
        <v>14.581000000062579</v>
      </c>
      <c r="R20" s="276">
        <v>0.61600000000328869</v>
      </c>
      <c r="S20" s="276">
        <v>1.5769999999679782</v>
      </c>
      <c r="T20" s="276">
        <f t="shared" ref="T20:T21" si="17">SUM(Q20:S20)</f>
        <v>16.774000000033848</v>
      </c>
      <c r="U20" s="276"/>
      <c r="V20" s="276">
        <v>10.817000000056993</v>
      </c>
      <c r="W20" s="276">
        <v>0.49900000000413314</v>
      </c>
      <c r="X20" s="276">
        <v>1.2099999999796418</v>
      </c>
      <c r="Y20" s="276">
        <f t="shared" ref="Y20:Y21" si="18">SUM(V20:X20)</f>
        <v>12.526000000040767</v>
      </c>
    </row>
    <row r="21" spans="1:25" ht="12.6">
      <c r="A21" s="240" t="s">
        <v>146</v>
      </c>
      <c r="B21" s="277">
        <f>SUM(B19:B20)</f>
        <v>22.85099999988131</v>
      </c>
      <c r="C21" s="277">
        <f t="shared" ref="C21" si="19">SUM(C19:C20)</f>
        <v>1.4309999999984884</v>
      </c>
      <c r="D21" s="277">
        <f t="shared" ref="D21" si="20">SUM(D19:D20)</f>
        <v>6.1129999999779683</v>
      </c>
      <c r="E21" s="277">
        <f t="shared" si="14"/>
        <v>30.394999999857767</v>
      </c>
      <c r="F21" s="277"/>
      <c r="G21" s="277">
        <f>SUM(G19:G20)</f>
        <v>20.171999999957517</v>
      </c>
      <c r="H21" s="277">
        <f t="shared" ref="H21" si="21">SUM(H19:H20)</f>
        <v>1.2159999999996174</v>
      </c>
      <c r="I21" s="277">
        <f t="shared" ref="I21" si="22">SUM(I19:I20)</f>
        <v>2.5860000000201824</v>
      </c>
      <c r="J21" s="277">
        <f t="shared" si="15"/>
        <v>23.973999999977316</v>
      </c>
      <c r="K21" s="277"/>
      <c r="L21" s="277">
        <f>SUM(L19:L20)</f>
        <v>21.213000000009973</v>
      </c>
      <c r="M21" s="277">
        <f t="shared" ref="M21" si="23">SUM(M19:M20)</f>
        <v>1.4030000000013065</v>
      </c>
      <c r="N21" s="277">
        <f t="shared" ref="N21" si="24">SUM(N19:N20)</f>
        <v>1.8899999999858341</v>
      </c>
      <c r="O21" s="277">
        <f t="shared" si="16"/>
        <v>24.505999999997115</v>
      </c>
      <c r="P21" s="277"/>
      <c r="Q21" s="277">
        <f>SUM(Q19:Q20)</f>
        <v>17.001000000084112</v>
      </c>
      <c r="R21" s="277">
        <f t="shared" ref="R21" si="25">SUM(R19:R20)</f>
        <v>1.1700000000045705</v>
      </c>
      <c r="S21" s="277">
        <f t="shared" ref="S21" si="26">SUM(S19:S20)</f>
        <v>1.5769999999679782</v>
      </c>
      <c r="T21" s="277">
        <f t="shared" si="17"/>
        <v>19.74800000005666</v>
      </c>
      <c r="U21" s="277"/>
      <c r="V21" s="277">
        <f>SUM(V19:V20)</f>
        <v>12.554000000085663</v>
      </c>
      <c r="W21" s="277">
        <f t="shared" ref="W21" si="27">SUM(W19:W20)</f>
        <v>0.93400000000270866</v>
      </c>
      <c r="X21" s="277">
        <f t="shared" ref="X21" si="28">SUM(X19:X20)</f>
        <v>1.2099999999796418</v>
      </c>
      <c r="Y21" s="277">
        <f t="shared" si="18"/>
        <v>14.698000000068014</v>
      </c>
    </row>
    <row r="22" spans="1:25">
      <c r="A22" s="238"/>
    </row>
    <row r="23" spans="1:25">
      <c r="A23" s="238"/>
    </row>
    <row r="24" spans="1:25">
      <c r="A24" s="238"/>
    </row>
    <row r="25" spans="1:25" ht="14.1">
      <c r="A25" s="241" t="str">
        <f>"Industry 3 : "&amp; name!B6</f>
        <v>Industry 3 : Food drink and tobacco</v>
      </c>
      <c r="B25" s="366">
        <f>$B$5</f>
        <v>2015</v>
      </c>
      <c r="C25" s="366"/>
      <c r="D25" s="366"/>
      <c r="E25" s="366"/>
      <c r="F25" s="291"/>
      <c r="G25" s="366">
        <f>$G$5</f>
        <v>2019</v>
      </c>
      <c r="H25" s="366"/>
      <c r="I25" s="366"/>
      <c r="J25" s="366"/>
      <c r="K25" s="291"/>
      <c r="L25" s="366">
        <f>$L$5</f>
        <v>2020</v>
      </c>
      <c r="M25" s="366"/>
      <c r="N25" s="366"/>
      <c r="O25" s="366"/>
      <c r="P25" s="289"/>
      <c r="Q25" s="366">
        <f>$Q$5</f>
        <v>2025</v>
      </c>
      <c r="R25" s="366"/>
      <c r="S25" s="366"/>
      <c r="T25" s="366"/>
      <c r="U25" s="291"/>
      <c r="V25" s="366">
        <f>$V$5</f>
        <v>2035</v>
      </c>
      <c r="W25" s="366"/>
      <c r="X25" s="366"/>
      <c r="Y25" s="366"/>
    </row>
    <row r="26" spans="1:25">
      <c r="A26" s="240"/>
      <c r="B26" s="244" t="str">
        <f>$B$6</f>
        <v>FT</v>
      </c>
      <c r="C26" s="244" t="str">
        <f>$C$6</f>
        <v>PT</v>
      </c>
      <c r="D26" s="244" t="str">
        <f>$D$6</f>
        <v>SE</v>
      </c>
      <c r="E26" s="244" t="str">
        <f>$E$6</f>
        <v>Total</v>
      </c>
      <c r="F26" s="244"/>
      <c r="G26" s="244" t="str">
        <f>$B$6</f>
        <v>FT</v>
      </c>
      <c r="H26" s="244" t="str">
        <f>$C$6</f>
        <v>PT</v>
      </c>
      <c r="I26" s="244" t="str">
        <f>$D$6</f>
        <v>SE</v>
      </c>
      <c r="J26" s="244" t="str">
        <f>$E$6</f>
        <v>Total</v>
      </c>
      <c r="K26" s="244"/>
      <c r="L26" s="244" t="str">
        <f>$L$6</f>
        <v>FT</v>
      </c>
      <c r="M26" s="244" t="str">
        <f>$M$6</f>
        <v>PT</v>
      </c>
      <c r="N26" s="244" t="str">
        <f>$N$6</f>
        <v>SE</v>
      </c>
      <c r="O26" s="244" t="str">
        <f>$O$6</f>
        <v>Total</v>
      </c>
      <c r="P26" s="244"/>
      <c r="Q26" s="244" t="str">
        <f>$L$6</f>
        <v>FT</v>
      </c>
      <c r="R26" s="244" t="str">
        <f>$M$6</f>
        <v>PT</v>
      </c>
      <c r="S26" s="244" t="str">
        <f>$N$6</f>
        <v>SE</v>
      </c>
      <c r="T26" s="244" t="str">
        <f>$O$6</f>
        <v>Total</v>
      </c>
      <c r="U26" s="244"/>
      <c r="V26" s="244" t="str">
        <f>$V$6</f>
        <v>FT</v>
      </c>
      <c r="W26" s="244" t="str">
        <f>$W$6</f>
        <v>PT</v>
      </c>
      <c r="X26" s="244" t="str">
        <f>$X$6</f>
        <v>SE</v>
      </c>
      <c r="Y26" s="244" t="str">
        <f>$Y$6</f>
        <v>Total</v>
      </c>
    </row>
    <row r="27" spans="1:25">
      <c r="C27" s="290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  <c r="S27" s="290"/>
      <c r="T27" s="290"/>
      <c r="U27" s="290"/>
      <c r="V27" s="290"/>
      <c r="W27" s="290"/>
      <c r="X27" s="290"/>
      <c r="Y27" s="290"/>
    </row>
    <row r="28" spans="1:25">
      <c r="A28" s="237" t="str">
        <f>name!A6</f>
        <v>Food products</v>
      </c>
      <c r="C28" s="239"/>
    </row>
    <row r="29" spans="1:25" ht="12.6">
      <c r="A29" s="236" t="s">
        <v>145</v>
      </c>
      <c r="B29" s="276">
        <v>79.936999999902312</v>
      </c>
      <c r="C29" s="276">
        <v>25.297000000683138</v>
      </c>
      <c r="D29" s="276">
        <v>5.7010000001154673</v>
      </c>
      <c r="E29" s="276">
        <f>SUM(B29:D29)</f>
        <v>110.93500000070092</v>
      </c>
      <c r="F29" s="276"/>
      <c r="G29" s="276">
        <v>91.04599999898042</v>
      </c>
      <c r="H29" s="276">
        <v>25.496000000562724</v>
      </c>
      <c r="I29" s="276">
        <v>7.1420000001378696</v>
      </c>
      <c r="J29" s="276">
        <f>SUM(G29:I29)</f>
        <v>123.68399999968102</v>
      </c>
      <c r="K29" s="276"/>
      <c r="L29" s="276">
        <v>90.133999999600704</v>
      </c>
      <c r="M29" s="276">
        <v>24.797000000549239</v>
      </c>
      <c r="N29" s="276">
        <v>6.6089999998913136</v>
      </c>
      <c r="O29" s="276">
        <f>SUM(L29:N29)</f>
        <v>121.54000000004125</v>
      </c>
      <c r="P29" s="276"/>
      <c r="Q29" s="276">
        <v>94.149000002248087</v>
      </c>
      <c r="R29" s="276">
        <v>25.208000000984608</v>
      </c>
      <c r="S29" s="276">
        <v>6.7150000000122105</v>
      </c>
      <c r="T29" s="276">
        <f>SUM(Q29:S29)</f>
        <v>126.07200000324491</v>
      </c>
      <c r="U29" s="276"/>
      <c r="V29" s="276">
        <v>97.082000002763706</v>
      </c>
      <c r="W29" s="276">
        <v>24.64600000091994</v>
      </c>
      <c r="X29" s="276">
        <v>6.5339999999887342</v>
      </c>
      <c r="Y29" s="276">
        <f>SUM(V29:X29)</f>
        <v>128.26200000367237</v>
      </c>
    </row>
    <row r="30" spans="1:25" ht="12.6">
      <c r="A30" s="236" t="s">
        <v>144</v>
      </c>
      <c r="B30" s="276">
        <v>181.88100000046455</v>
      </c>
      <c r="C30" s="276">
        <v>12.692000000134367</v>
      </c>
      <c r="D30" s="276">
        <v>6.575999999986931</v>
      </c>
      <c r="E30" s="276">
        <f t="shared" ref="E30:E31" si="29">SUM(B30:D30)</f>
        <v>201.14900000058583</v>
      </c>
      <c r="F30" s="276"/>
      <c r="G30" s="276">
        <v>192.33600000057086</v>
      </c>
      <c r="H30" s="276">
        <v>14.086000000119975</v>
      </c>
      <c r="I30" s="276">
        <v>2.7220000000181637</v>
      </c>
      <c r="J30" s="276">
        <f t="shared" ref="J30:J31" si="30">SUM(G30:I30)</f>
        <v>209.14400000070901</v>
      </c>
      <c r="K30" s="276"/>
      <c r="L30" s="276">
        <v>191.94900000042475</v>
      </c>
      <c r="M30" s="276">
        <v>14.983999999895106</v>
      </c>
      <c r="N30" s="276">
        <v>3.8209999999664874</v>
      </c>
      <c r="O30" s="276">
        <f t="shared" ref="O30:O31" si="31">SUM(L30:N30)</f>
        <v>210.75400000028634</v>
      </c>
      <c r="P30" s="276"/>
      <c r="Q30" s="276">
        <v>191.30300000054353</v>
      </c>
      <c r="R30" s="276">
        <v>15.286000000135431</v>
      </c>
      <c r="S30" s="276">
        <v>3.9209999999403573</v>
      </c>
      <c r="T30" s="276">
        <f t="shared" ref="T30:T31" si="32">SUM(Q30:S30)</f>
        <v>210.51000000061933</v>
      </c>
      <c r="U30" s="276"/>
      <c r="V30" s="276">
        <v>180.83400000050781</v>
      </c>
      <c r="W30" s="276">
        <v>15.093000000110733</v>
      </c>
      <c r="X30" s="276">
        <v>3.8589999999440887</v>
      </c>
      <c r="Y30" s="276">
        <f t="shared" ref="Y30:Y31" si="33">SUM(V30:X30)</f>
        <v>199.78600000056261</v>
      </c>
    </row>
    <row r="31" spans="1:25" ht="12.6">
      <c r="A31" s="236" t="s">
        <v>146</v>
      </c>
      <c r="B31" s="276">
        <f>SUM(B29:B30)</f>
        <v>261.81800000036685</v>
      </c>
      <c r="C31" s="276">
        <f t="shared" ref="C31" si="34">SUM(C29:C30)</f>
        <v>37.989000000817505</v>
      </c>
      <c r="D31" s="276">
        <f t="shared" ref="D31" si="35">SUM(D29:D30)</f>
        <v>12.277000000102397</v>
      </c>
      <c r="E31" s="276">
        <f t="shared" si="29"/>
        <v>312.08400000128677</v>
      </c>
      <c r="F31" s="276"/>
      <c r="G31" s="276">
        <f>SUM(G29:G30)</f>
        <v>283.38199999955128</v>
      </c>
      <c r="H31" s="276">
        <f t="shared" ref="H31" si="36">SUM(H29:H30)</f>
        <v>39.582000000682697</v>
      </c>
      <c r="I31" s="276">
        <f t="shared" ref="I31" si="37">SUM(I29:I30)</f>
        <v>9.8640000001560324</v>
      </c>
      <c r="J31" s="276">
        <f t="shared" si="30"/>
        <v>332.82800000038998</v>
      </c>
      <c r="K31" s="276"/>
      <c r="L31" s="276">
        <f>SUM(L29:L30)</f>
        <v>282.08300000002544</v>
      </c>
      <c r="M31" s="276">
        <f t="shared" ref="M31" si="38">SUM(M29:M30)</f>
        <v>39.781000000444344</v>
      </c>
      <c r="N31" s="276">
        <f t="shared" ref="N31" si="39">SUM(N29:N30)</f>
        <v>10.429999999857801</v>
      </c>
      <c r="O31" s="276">
        <f t="shared" si="31"/>
        <v>332.29400000032757</v>
      </c>
      <c r="P31" s="276"/>
      <c r="Q31" s="276">
        <f>SUM(Q29:Q30)</f>
        <v>285.45200000279164</v>
      </c>
      <c r="R31" s="276">
        <f t="shared" ref="R31" si="40">SUM(R29:R30)</f>
        <v>40.494000001120042</v>
      </c>
      <c r="S31" s="276">
        <f t="shared" ref="S31" si="41">SUM(S29:S30)</f>
        <v>10.635999999952567</v>
      </c>
      <c r="T31" s="276">
        <f t="shared" si="32"/>
        <v>336.58200000386421</v>
      </c>
      <c r="U31" s="276"/>
      <c r="V31" s="276">
        <f>SUM(V29:V30)</f>
        <v>277.91600000327151</v>
      </c>
      <c r="W31" s="276">
        <f t="shared" ref="W31" si="42">SUM(W29:W30)</f>
        <v>39.739000001030675</v>
      </c>
      <c r="X31" s="276">
        <f t="shared" ref="X31" si="43">SUM(X29:X30)</f>
        <v>10.392999999932822</v>
      </c>
      <c r="Y31" s="276">
        <f t="shared" si="33"/>
        <v>328.04800000423501</v>
      </c>
    </row>
    <row r="32" spans="1:25"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290"/>
      <c r="Y32" s="290"/>
    </row>
    <row r="33" spans="1:25">
      <c r="A33" s="237" t="str">
        <f>name!A7</f>
        <v>Beverages and tobacco</v>
      </c>
      <c r="C33" s="239"/>
    </row>
    <row r="34" spans="1:25" ht="12.6">
      <c r="A34" s="236" t="s">
        <v>145</v>
      </c>
      <c r="B34" s="276">
        <v>6.2749999999595865</v>
      </c>
      <c r="C34" s="276">
        <v>3.054000000024335</v>
      </c>
      <c r="D34" s="276">
        <v>0.42300000000458587</v>
      </c>
      <c r="E34" s="276">
        <f>SUM(B34:D34)</f>
        <v>9.7519999999885076</v>
      </c>
      <c r="F34" s="276"/>
      <c r="G34" s="276">
        <v>7.8639999999487058</v>
      </c>
      <c r="H34" s="276">
        <v>4.3790000000521641</v>
      </c>
      <c r="I34" s="276">
        <v>0.20800000000285446</v>
      </c>
      <c r="J34" s="276">
        <f>SUM(G34:I34)</f>
        <v>12.451000000003724</v>
      </c>
      <c r="K34" s="276"/>
      <c r="L34" s="276">
        <v>7.8379999999659713</v>
      </c>
      <c r="M34" s="276">
        <v>4.3340000000258829</v>
      </c>
      <c r="N34" s="276">
        <v>0.68899999999488615</v>
      </c>
      <c r="O34" s="276">
        <f>SUM(L34:N34)</f>
        <v>12.86099999998674</v>
      </c>
      <c r="P34" s="276"/>
      <c r="Q34" s="276">
        <v>8.0220000001433007</v>
      </c>
      <c r="R34" s="276">
        <v>4.3420000000453394</v>
      </c>
      <c r="S34" s="276">
        <v>0.70500000000220442</v>
      </c>
      <c r="T34" s="276">
        <f>SUM(Q34:S34)</f>
        <v>13.069000000190844</v>
      </c>
      <c r="U34" s="276"/>
      <c r="V34" s="276">
        <v>7.9770000001572665</v>
      </c>
      <c r="W34" s="276">
        <v>4.1360000000289485</v>
      </c>
      <c r="X34" s="276">
        <v>0.69499999999540418</v>
      </c>
      <c r="Y34" s="276">
        <f>SUM(V34:X34)</f>
        <v>12.80800000018162</v>
      </c>
    </row>
    <row r="35" spans="1:25" ht="12.6">
      <c r="A35" s="236" t="s">
        <v>144</v>
      </c>
      <c r="B35" s="276">
        <v>15.618000000024407</v>
      </c>
      <c r="C35" s="276">
        <v>0.82300000000298523</v>
      </c>
      <c r="D35" s="276">
        <v>0.65099999999954894</v>
      </c>
      <c r="E35" s="276">
        <f t="shared" ref="E35:E36" si="44">SUM(B35:D35)</f>
        <v>17.092000000026943</v>
      </c>
      <c r="F35" s="276"/>
      <c r="G35" s="276">
        <v>19.269000000011481</v>
      </c>
      <c r="H35" s="276">
        <v>1.521999999999921</v>
      </c>
      <c r="I35" s="276">
        <v>0.3710000000006472</v>
      </c>
      <c r="J35" s="276">
        <f t="shared" ref="J35:J36" si="45">SUM(G35:I35)</f>
        <v>21.16200000001205</v>
      </c>
      <c r="K35" s="276"/>
      <c r="L35" s="276">
        <v>19.170999999915484</v>
      </c>
      <c r="M35" s="276">
        <v>1.6629999999898668</v>
      </c>
      <c r="N35" s="276">
        <v>1.3200000000049505</v>
      </c>
      <c r="O35" s="276">
        <f t="shared" ref="O35:O36" si="46">SUM(L35:N35)</f>
        <v>22.153999999910301</v>
      </c>
      <c r="P35" s="276"/>
      <c r="Q35" s="276">
        <v>19.143999999944516</v>
      </c>
      <c r="R35" s="276">
        <v>1.6800000000014681</v>
      </c>
      <c r="S35" s="276">
        <v>1.3370000000161233</v>
      </c>
      <c r="T35" s="276">
        <f t="shared" ref="T35:T36" si="47">SUM(Q35:S35)</f>
        <v>22.160999999962105</v>
      </c>
      <c r="U35" s="276"/>
      <c r="V35" s="276">
        <v>18.152999999918613</v>
      </c>
      <c r="W35" s="276">
        <v>1.6289999999974301</v>
      </c>
      <c r="X35" s="276">
        <v>1.45500000001397</v>
      </c>
      <c r="Y35" s="276">
        <f t="shared" ref="Y35:Y36" si="48">SUM(V35:X35)</f>
        <v>21.236999999930013</v>
      </c>
    </row>
    <row r="36" spans="1:25" ht="12.6">
      <c r="A36" s="236" t="s">
        <v>146</v>
      </c>
      <c r="B36" s="276">
        <f>SUM(B34:B35)</f>
        <v>21.892999999983992</v>
      </c>
      <c r="C36" s="276">
        <f t="shared" ref="C36" si="49">SUM(C34:C35)</f>
        <v>3.8770000000273201</v>
      </c>
      <c r="D36" s="276">
        <f t="shared" ref="D36" si="50">SUM(D34:D35)</f>
        <v>1.0740000000041348</v>
      </c>
      <c r="E36" s="276">
        <f t="shared" si="44"/>
        <v>26.844000000015445</v>
      </c>
      <c r="F36" s="276"/>
      <c r="G36" s="276">
        <f>SUM(G34:G35)</f>
        <v>27.132999999960187</v>
      </c>
      <c r="H36" s="276">
        <f t="shared" ref="H36" si="51">SUM(H34:H35)</f>
        <v>5.9010000000520852</v>
      </c>
      <c r="I36" s="276">
        <f t="shared" ref="I36" si="52">SUM(I34:I35)</f>
        <v>0.5790000000035016</v>
      </c>
      <c r="J36" s="276">
        <f t="shared" si="45"/>
        <v>33.613000000015774</v>
      </c>
      <c r="K36" s="276"/>
      <c r="L36" s="276">
        <f>SUM(L34:L35)</f>
        <v>27.008999999881453</v>
      </c>
      <c r="M36" s="276">
        <f t="shared" ref="M36" si="53">SUM(M34:M35)</f>
        <v>5.99700000001575</v>
      </c>
      <c r="N36" s="276">
        <f t="shared" ref="N36" si="54">SUM(N34:N35)</f>
        <v>2.0089999999998369</v>
      </c>
      <c r="O36" s="276">
        <f t="shared" si="46"/>
        <v>35.014999999897043</v>
      </c>
      <c r="P36" s="276"/>
      <c r="Q36" s="276">
        <f>SUM(Q34:Q35)</f>
        <v>27.166000000087816</v>
      </c>
      <c r="R36" s="276">
        <f t="shared" ref="R36" si="55">SUM(R34:R35)</f>
        <v>6.0220000000468072</v>
      </c>
      <c r="S36" s="276">
        <f t="shared" ref="S36" si="56">SUM(S34:S35)</f>
        <v>2.0420000000183278</v>
      </c>
      <c r="T36" s="276">
        <f t="shared" si="47"/>
        <v>35.230000000152948</v>
      </c>
      <c r="U36" s="276"/>
      <c r="V36" s="276">
        <f>SUM(V34:V35)</f>
        <v>26.130000000075881</v>
      </c>
      <c r="W36" s="276">
        <f t="shared" ref="W36" si="57">SUM(W34:W35)</f>
        <v>5.7650000000263786</v>
      </c>
      <c r="X36" s="276">
        <f t="shared" ref="X36" si="58">SUM(X34:X35)</f>
        <v>2.1500000000093742</v>
      </c>
      <c r="Y36" s="276">
        <f t="shared" si="48"/>
        <v>34.045000000111635</v>
      </c>
    </row>
    <row r="37" spans="1:25" ht="12.6">
      <c r="C37" s="239"/>
    </row>
    <row r="38" spans="1:25">
      <c r="A38" s="237" t="s">
        <v>147</v>
      </c>
    </row>
    <row r="39" spans="1:25" ht="12.6">
      <c r="A39" s="236" t="s">
        <v>145</v>
      </c>
      <c r="B39" s="276">
        <f>SUM(B29,B34)</f>
        <v>86.211999999861902</v>
      </c>
      <c r="C39" s="276">
        <f t="shared" ref="C39:D40" si="59">SUM(C29,C34)</f>
        <v>28.351000000707472</v>
      </c>
      <c r="D39" s="276">
        <f t="shared" si="59"/>
        <v>6.124000000120053</v>
      </c>
      <c r="E39" s="276">
        <f>SUM(B39:D39)</f>
        <v>120.68700000068942</v>
      </c>
      <c r="F39" s="276"/>
      <c r="G39" s="276">
        <f>SUM(G29,G34)</f>
        <v>98.909999998929123</v>
      </c>
      <c r="H39" s="276">
        <f t="shared" ref="H39:I39" si="60">SUM(H29,H34)</f>
        <v>29.875000000614889</v>
      </c>
      <c r="I39" s="276">
        <f t="shared" si="60"/>
        <v>7.3500000001407244</v>
      </c>
      <c r="J39" s="276">
        <f>SUM(G39:I39)</f>
        <v>136.13499999968474</v>
      </c>
      <c r="K39" s="276"/>
      <c r="L39" s="276">
        <f>SUM(L29,L34)</f>
        <v>97.971999999566677</v>
      </c>
      <c r="M39" s="276">
        <f t="shared" ref="M39:N39" si="61">SUM(M29,M34)</f>
        <v>29.131000000575121</v>
      </c>
      <c r="N39" s="276">
        <f t="shared" si="61"/>
        <v>7.2979999998861995</v>
      </c>
      <c r="O39" s="276">
        <f>SUM(L39:N39)</f>
        <v>134.40100000002801</v>
      </c>
      <c r="P39" s="276"/>
      <c r="Q39" s="276">
        <f>SUM(Q29,Q34)</f>
        <v>102.17100000239139</v>
      </c>
      <c r="R39" s="276">
        <f t="shared" ref="R39:S39" si="62">SUM(R29,R34)</f>
        <v>29.550000001029947</v>
      </c>
      <c r="S39" s="276">
        <f t="shared" si="62"/>
        <v>7.4200000000144151</v>
      </c>
      <c r="T39" s="276">
        <f>SUM(Q39:S39)</f>
        <v>139.14100000343578</v>
      </c>
      <c r="U39" s="276"/>
      <c r="V39" s="276">
        <f>SUM(V29,V34)</f>
        <v>105.05900000292097</v>
      </c>
      <c r="W39" s="276">
        <f t="shared" ref="W39:X39" si="63">SUM(W29,W34)</f>
        <v>28.782000000948891</v>
      </c>
      <c r="X39" s="276">
        <f t="shared" si="63"/>
        <v>7.2289999999841381</v>
      </c>
      <c r="Y39" s="276">
        <f>SUM(V39:X39)</f>
        <v>141.07000000385398</v>
      </c>
    </row>
    <row r="40" spans="1:25" ht="12.6">
      <c r="A40" s="236" t="s">
        <v>144</v>
      </c>
      <c r="B40" s="276">
        <f>SUM(B30,B35)</f>
        <v>197.49900000048896</v>
      </c>
      <c r="C40" s="276">
        <f t="shared" si="59"/>
        <v>13.515000000137352</v>
      </c>
      <c r="D40" s="276">
        <f t="shared" si="59"/>
        <v>7.2269999999864796</v>
      </c>
      <c r="E40" s="276">
        <f t="shared" ref="E40:E41" si="64">SUM(B40:D40)</f>
        <v>218.24100000061279</v>
      </c>
      <c r="F40" s="276"/>
      <c r="G40" s="276">
        <f>SUM(G30,G35)</f>
        <v>211.60500000058235</v>
      </c>
      <c r="H40" s="276">
        <f t="shared" ref="H40:I40" si="65">SUM(H30,H35)</f>
        <v>15.608000000119896</v>
      </c>
      <c r="I40" s="276">
        <f t="shared" si="65"/>
        <v>3.0930000000188107</v>
      </c>
      <c r="J40" s="276">
        <f t="shared" ref="J40:J41" si="66">SUM(G40:I40)</f>
        <v>230.30600000072104</v>
      </c>
      <c r="K40" s="276"/>
      <c r="L40" s="276">
        <f>SUM(L30,L35)</f>
        <v>211.12000000034024</v>
      </c>
      <c r="M40" s="276">
        <f t="shared" ref="M40:N40" si="67">SUM(M30,M35)</f>
        <v>16.646999999884972</v>
      </c>
      <c r="N40" s="276">
        <f t="shared" si="67"/>
        <v>5.140999999971438</v>
      </c>
      <c r="O40" s="276">
        <f t="shared" ref="O40:O41" si="68">SUM(L40:N40)</f>
        <v>232.90800000019664</v>
      </c>
      <c r="P40" s="276"/>
      <c r="Q40" s="276">
        <f>SUM(Q30,Q35)</f>
        <v>210.44700000048806</v>
      </c>
      <c r="R40" s="276">
        <f t="shared" ref="R40:S40" si="69">SUM(R30,R35)</f>
        <v>16.966000000136898</v>
      </c>
      <c r="S40" s="276">
        <f t="shared" si="69"/>
        <v>5.2579999999564802</v>
      </c>
      <c r="T40" s="276">
        <f t="shared" ref="T40:T41" si="70">SUM(Q40:S40)</f>
        <v>232.67100000058142</v>
      </c>
      <c r="U40" s="276"/>
      <c r="V40" s="276">
        <f>SUM(V30,V35)</f>
        <v>198.98700000042643</v>
      </c>
      <c r="W40" s="276">
        <f t="shared" ref="W40:X40" si="71">SUM(W30,W35)</f>
        <v>16.722000000108164</v>
      </c>
      <c r="X40" s="276">
        <f t="shared" si="71"/>
        <v>5.3139999999580585</v>
      </c>
      <c r="Y40" s="276">
        <f t="shared" ref="Y40:Y41" si="72">SUM(V40:X40)</f>
        <v>221.02300000049266</v>
      </c>
    </row>
    <row r="41" spans="1:25" ht="12.6">
      <c r="A41" s="240" t="s">
        <v>146</v>
      </c>
      <c r="B41" s="277">
        <f>SUM(B39:B40)</f>
        <v>283.71100000035085</v>
      </c>
      <c r="C41" s="277">
        <f t="shared" ref="C41" si="73">SUM(C39:C40)</f>
        <v>41.866000000844821</v>
      </c>
      <c r="D41" s="277">
        <f t="shared" ref="D41" si="74">SUM(D39:D40)</f>
        <v>13.351000000106533</v>
      </c>
      <c r="E41" s="277">
        <f t="shared" si="64"/>
        <v>338.92800000130217</v>
      </c>
      <c r="F41" s="277"/>
      <c r="G41" s="277">
        <f>SUM(G39:G40)</f>
        <v>310.51499999951147</v>
      </c>
      <c r="H41" s="277">
        <f t="shared" ref="H41" si="75">SUM(H39:H40)</f>
        <v>45.483000000734783</v>
      </c>
      <c r="I41" s="277">
        <f t="shared" ref="I41" si="76">SUM(I39:I40)</f>
        <v>10.443000000159536</v>
      </c>
      <c r="J41" s="277">
        <f t="shared" si="66"/>
        <v>366.44100000040578</v>
      </c>
      <c r="K41" s="277"/>
      <c r="L41" s="277">
        <f>SUM(L39:L40)</f>
        <v>309.09199999990693</v>
      </c>
      <c r="M41" s="277">
        <f t="shared" ref="M41" si="77">SUM(M39:M40)</f>
        <v>45.778000000460096</v>
      </c>
      <c r="N41" s="277">
        <f t="shared" ref="N41" si="78">SUM(N39:N40)</f>
        <v>12.438999999857637</v>
      </c>
      <c r="O41" s="277">
        <f t="shared" si="68"/>
        <v>367.30900000022467</v>
      </c>
      <c r="P41" s="277"/>
      <c r="Q41" s="277">
        <f>SUM(Q39:Q40)</f>
        <v>312.61800000287946</v>
      </c>
      <c r="R41" s="277">
        <f t="shared" ref="R41" si="79">SUM(R39:R40)</f>
        <v>46.516000001166844</v>
      </c>
      <c r="S41" s="277">
        <f t="shared" ref="S41" si="80">SUM(S39:S40)</f>
        <v>12.677999999970895</v>
      </c>
      <c r="T41" s="277">
        <f t="shared" si="70"/>
        <v>371.81200000401719</v>
      </c>
      <c r="U41" s="277"/>
      <c r="V41" s="277">
        <f>SUM(V39:V40)</f>
        <v>304.04600000334739</v>
      </c>
      <c r="W41" s="277">
        <f t="shared" ref="W41" si="81">SUM(W39:W40)</f>
        <v>45.504000001057051</v>
      </c>
      <c r="X41" s="277">
        <f t="shared" ref="X41" si="82">SUM(X39:X40)</f>
        <v>12.542999999942197</v>
      </c>
      <c r="Y41" s="277">
        <f t="shared" si="72"/>
        <v>362.09300000434661</v>
      </c>
    </row>
    <row r="45" spans="1:25" ht="14.1">
      <c r="A45" s="241" t="str">
        <f>"Industry 4 : "&amp; name!B7</f>
        <v>Industry 4 : Engineering</v>
      </c>
      <c r="B45" s="366">
        <f>$B$5</f>
        <v>2015</v>
      </c>
      <c r="C45" s="366"/>
      <c r="D45" s="366"/>
      <c r="E45" s="366"/>
      <c r="F45" s="291"/>
      <c r="G45" s="366">
        <f>$G$5</f>
        <v>2019</v>
      </c>
      <c r="H45" s="366"/>
      <c r="I45" s="366"/>
      <c r="J45" s="366"/>
      <c r="K45" s="291"/>
      <c r="L45" s="366">
        <f>$L$5</f>
        <v>2020</v>
      </c>
      <c r="M45" s="366"/>
      <c r="N45" s="366"/>
      <c r="O45" s="366"/>
      <c r="P45" s="289"/>
      <c r="Q45" s="366">
        <f>$Q$5</f>
        <v>2025</v>
      </c>
      <c r="R45" s="366"/>
      <c r="S45" s="366"/>
      <c r="T45" s="366"/>
      <c r="U45" s="291"/>
      <c r="V45" s="366">
        <f>$V$5</f>
        <v>2035</v>
      </c>
      <c r="W45" s="366"/>
      <c r="X45" s="366"/>
      <c r="Y45" s="366"/>
    </row>
    <row r="46" spans="1:25">
      <c r="A46" s="240"/>
      <c r="B46" s="244" t="str">
        <f>$B$6</f>
        <v>FT</v>
      </c>
      <c r="C46" s="244" t="str">
        <f>$C$6</f>
        <v>PT</v>
      </c>
      <c r="D46" s="244" t="str">
        <f>$D$6</f>
        <v>SE</v>
      </c>
      <c r="E46" s="244" t="str">
        <f>$E$6</f>
        <v>Total</v>
      </c>
      <c r="F46" s="244"/>
      <c r="G46" s="244" t="str">
        <f>$B$6</f>
        <v>FT</v>
      </c>
      <c r="H46" s="244" t="str">
        <f>$C$6</f>
        <v>PT</v>
      </c>
      <c r="I46" s="244" t="str">
        <f>$D$6</f>
        <v>SE</v>
      </c>
      <c r="J46" s="244" t="str">
        <f>$E$6</f>
        <v>Total</v>
      </c>
      <c r="K46" s="244"/>
      <c r="L46" s="244" t="str">
        <f>$L$6</f>
        <v>FT</v>
      </c>
      <c r="M46" s="244" t="str">
        <f>$M$6</f>
        <v>PT</v>
      </c>
      <c r="N46" s="244" t="str">
        <f>$N$6</f>
        <v>SE</v>
      </c>
      <c r="O46" s="244" t="str">
        <f>$O$6</f>
        <v>Total</v>
      </c>
      <c r="P46" s="244"/>
      <c r="Q46" s="244" t="str">
        <f>$L$6</f>
        <v>FT</v>
      </c>
      <c r="R46" s="244" t="str">
        <f>$M$6</f>
        <v>PT</v>
      </c>
      <c r="S46" s="244" t="str">
        <f>$N$6</f>
        <v>SE</v>
      </c>
      <c r="T46" s="244" t="str">
        <f>$O$6</f>
        <v>Total</v>
      </c>
      <c r="U46" s="244"/>
      <c r="V46" s="244" t="str">
        <f>$V$6</f>
        <v>FT</v>
      </c>
      <c r="W46" s="244" t="str">
        <f>$W$6</f>
        <v>PT</v>
      </c>
      <c r="X46" s="244" t="str">
        <f>$X$6</f>
        <v>SE</v>
      </c>
      <c r="Y46" s="244" t="str">
        <f>$Y$6</f>
        <v>Total</v>
      </c>
    </row>
    <row r="47" spans="1:25"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  <c r="S47" s="290"/>
      <c r="T47" s="290"/>
      <c r="U47" s="290"/>
      <c r="V47" s="290"/>
      <c r="W47" s="290"/>
      <c r="X47" s="290"/>
      <c r="Y47" s="290"/>
    </row>
    <row r="48" spans="1:25">
      <c r="A48" s="237" t="str">
        <f>name!A19</f>
        <v>Computer, etc</v>
      </c>
      <c r="C48" s="239"/>
    </row>
    <row r="49" spans="1:25" ht="12.6">
      <c r="A49" s="236" t="s">
        <v>145</v>
      </c>
      <c r="B49" s="276">
        <v>19.859999999829878</v>
      </c>
      <c r="C49" s="276">
        <v>5.2580000000824025</v>
      </c>
      <c r="D49" s="276">
        <v>0.79500000000040372</v>
      </c>
      <c r="E49" s="276">
        <f>SUM(B49:D49)</f>
        <v>25.912999999912682</v>
      </c>
      <c r="F49" s="276"/>
      <c r="G49" s="276">
        <v>18.595999999742169</v>
      </c>
      <c r="H49" s="276">
        <v>4.3800000000740971</v>
      </c>
      <c r="I49" s="276">
        <v>0.85599999999896814</v>
      </c>
      <c r="J49" s="276">
        <f>SUM(G49:I49)</f>
        <v>23.831999999815235</v>
      </c>
      <c r="K49" s="276"/>
      <c r="L49" s="276">
        <v>22.05799999982051</v>
      </c>
      <c r="M49" s="276">
        <v>4.4510000000528809</v>
      </c>
      <c r="N49" s="276">
        <v>1.6069999999822777</v>
      </c>
      <c r="O49" s="276">
        <f>SUM(L49:N49)</f>
        <v>28.115999999855667</v>
      </c>
      <c r="P49" s="276"/>
      <c r="Q49" s="276">
        <v>21.98100000038816</v>
      </c>
      <c r="R49" s="276">
        <v>4.4340000000968853</v>
      </c>
      <c r="S49" s="276">
        <v>1.6429999999974427</v>
      </c>
      <c r="T49" s="276">
        <f>SUM(Q49:S49)</f>
        <v>28.058000000482487</v>
      </c>
      <c r="U49" s="276"/>
      <c r="V49" s="276">
        <v>17.155000000432278</v>
      </c>
      <c r="W49" s="276">
        <v>3.4370000000723184</v>
      </c>
      <c r="X49" s="276">
        <v>1.3679999999936108</v>
      </c>
      <c r="Y49" s="276">
        <f>SUM(V49:X49)</f>
        <v>21.960000000498209</v>
      </c>
    </row>
    <row r="50" spans="1:25" ht="12.6">
      <c r="A50" s="236" t="s">
        <v>144</v>
      </c>
      <c r="B50" s="276">
        <v>64.817999999727661</v>
      </c>
      <c r="C50" s="276">
        <v>3.635999999995474</v>
      </c>
      <c r="D50" s="276">
        <v>3.970000000066336</v>
      </c>
      <c r="E50" s="276">
        <f t="shared" ref="E50:E51" si="83">SUM(B50:D50)</f>
        <v>72.423999999789473</v>
      </c>
      <c r="F50" s="276"/>
      <c r="G50" s="276">
        <v>68.182999999832205</v>
      </c>
      <c r="H50" s="276">
        <v>2.6629999999989584</v>
      </c>
      <c r="I50" s="276">
        <v>5.6600000000062449</v>
      </c>
      <c r="J50" s="276">
        <f t="shared" ref="J50:J51" si="84">SUM(G50:I50)</f>
        <v>76.505999999837414</v>
      </c>
      <c r="K50" s="276"/>
      <c r="L50" s="276">
        <v>69.108999999803544</v>
      </c>
      <c r="M50" s="276">
        <v>3.6799999999859621</v>
      </c>
      <c r="N50" s="276">
        <v>3.3610000000422717</v>
      </c>
      <c r="O50" s="276">
        <f t="shared" ref="O50:O51" si="85">SUM(L50:N50)</f>
        <v>76.149999999831778</v>
      </c>
      <c r="P50" s="276"/>
      <c r="Q50" s="276">
        <v>72.64600000001353</v>
      </c>
      <c r="R50" s="276">
        <v>3.9000000000068415</v>
      </c>
      <c r="S50" s="276">
        <v>3.6350000001164919</v>
      </c>
      <c r="T50" s="276">
        <f t="shared" ref="T50:T51" si="86">SUM(Q50:S50)</f>
        <v>80.181000000136862</v>
      </c>
      <c r="U50" s="276"/>
      <c r="V50" s="276">
        <v>63.469000000064028</v>
      </c>
      <c r="W50" s="276">
        <v>3.433000000001512</v>
      </c>
      <c r="X50" s="276">
        <v>3.3160000000865377</v>
      </c>
      <c r="Y50" s="276">
        <f t="shared" ref="Y50:Y51" si="87">SUM(V50:X50)</f>
        <v>70.218000000152074</v>
      </c>
    </row>
    <row r="51" spans="1:25" ht="12.6">
      <c r="A51" s="236" t="s">
        <v>146</v>
      </c>
      <c r="B51" s="276">
        <f>SUM(B49:B50)</f>
        <v>84.677999999557542</v>
      </c>
      <c r="C51" s="276">
        <f t="shared" ref="C51" si="88">SUM(C49:C50)</f>
        <v>8.8940000000778774</v>
      </c>
      <c r="D51" s="276">
        <f t="shared" ref="D51" si="89">SUM(D49:D50)</f>
        <v>4.7650000000667401</v>
      </c>
      <c r="E51" s="276">
        <f t="shared" si="83"/>
        <v>98.336999999702158</v>
      </c>
      <c r="F51" s="276"/>
      <c r="G51" s="276">
        <f>SUM(G49:G50)</f>
        <v>86.778999999574381</v>
      </c>
      <c r="H51" s="276">
        <f t="shared" ref="H51" si="90">SUM(H49:H50)</f>
        <v>7.0430000000730555</v>
      </c>
      <c r="I51" s="276">
        <f t="shared" ref="I51" si="91">SUM(I49:I50)</f>
        <v>6.5160000000052127</v>
      </c>
      <c r="J51" s="276">
        <f t="shared" si="84"/>
        <v>100.33799999965264</v>
      </c>
      <c r="K51" s="276"/>
      <c r="L51" s="276">
        <f>SUM(L49:L50)</f>
        <v>91.166999999624053</v>
      </c>
      <c r="M51" s="276">
        <f t="shared" ref="M51" si="92">SUM(M49:M50)</f>
        <v>8.131000000038842</v>
      </c>
      <c r="N51" s="276">
        <f t="shared" ref="N51" si="93">SUM(N49:N50)</f>
        <v>4.9680000000245492</v>
      </c>
      <c r="O51" s="276">
        <f t="shared" si="85"/>
        <v>104.26599999968744</v>
      </c>
      <c r="P51" s="276"/>
      <c r="Q51" s="276">
        <f>SUM(Q49:Q50)</f>
        <v>94.627000000401694</v>
      </c>
      <c r="R51" s="276">
        <f t="shared" ref="R51" si="94">SUM(R49:R50)</f>
        <v>8.3340000001037264</v>
      </c>
      <c r="S51" s="276">
        <f t="shared" ref="S51" si="95">SUM(S49:S50)</f>
        <v>5.2780000001139342</v>
      </c>
      <c r="T51" s="276">
        <f t="shared" si="86"/>
        <v>108.23900000061936</v>
      </c>
      <c r="U51" s="276"/>
      <c r="V51" s="276">
        <f>SUM(V49:V50)</f>
        <v>80.624000000496309</v>
      </c>
      <c r="W51" s="276">
        <f t="shared" ref="W51" si="96">SUM(W49:W50)</f>
        <v>6.8700000000738299</v>
      </c>
      <c r="X51" s="276">
        <f t="shared" ref="X51" si="97">SUM(X49:X50)</f>
        <v>4.6840000000801485</v>
      </c>
      <c r="Y51" s="276">
        <f t="shared" si="87"/>
        <v>92.178000000650286</v>
      </c>
    </row>
    <row r="52" spans="1:25">
      <c r="C52" s="290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290"/>
      <c r="R52" s="290"/>
      <c r="S52" s="290"/>
      <c r="T52" s="290"/>
      <c r="U52" s="290"/>
      <c r="V52" s="290"/>
      <c r="W52" s="290"/>
      <c r="X52" s="290"/>
      <c r="Y52" s="290"/>
    </row>
    <row r="53" spans="1:25">
      <c r="A53" s="237" t="str">
        <f>name!A20</f>
        <v>Electrical equipment</v>
      </c>
      <c r="C53" s="239"/>
    </row>
    <row r="54" spans="1:25" ht="12.6">
      <c r="A54" s="236" t="s">
        <v>145</v>
      </c>
      <c r="B54" s="276">
        <v>15.321999999896509</v>
      </c>
      <c r="C54" s="276">
        <v>3.6630000000289162</v>
      </c>
      <c r="D54" s="276">
        <v>0.71100000000709274</v>
      </c>
      <c r="E54" s="276">
        <f>SUM(B54:D54)</f>
        <v>19.695999999932518</v>
      </c>
      <c r="F54" s="276"/>
      <c r="G54" s="276">
        <v>12.999999999847228</v>
      </c>
      <c r="H54" s="276">
        <v>4.6280000000518573</v>
      </c>
      <c r="I54" s="276">
        <v>1.7590000000191279</v>
      </c>
      <c r="J54" s="276">
        <f>SUM(G54:I54)</f>
        <v>19.386999999918213</v>
      </c>
      <c r="K54" s="276"/>
      <c r="L54" s="276">
        <v>12.157999999906286</v>
      </c>
      <c r="M54" s="276">
        <v>3.701000000035338</v>
      </c>
      <c r="N54" s="276">
        <v>2.7259999999802629</v>
      </c>
      <c r="O54" s="276">
        <f>SUM(L54:N54)</f>
        <v>18.584999999921887</v>
      </c>
      <c r="P54" s="276"/>
      <c r="Q54" s="276">
        <v>12.183000000213598</v>
      </c>
      <c r="R54" s="276">
        <v>3.8010000000407929</v>
      </c>
      <c r="S54" s="276">
        <v>2.7310000000022563</v>
      </c>
      <c r="T54" s="276">
        <f>SUM(Q54:S54)</f>
        <v>18.715000000256648</v>
      </c>
      <c r="U54" s="276"/>
      <c r="V54" s="276">
        <v>12.246000000291959</v>
      </c>
      <c r="W54" s="276">
        <v>3.955000000041387</v>
      </c>
      <c r="X54" s="276">
        <v>2.7269999999874699</v>
      </c>
      <c r="Y54" s="276">
        <f>SUM(V54:X54)</f>
        <v>18.928000000320814</v>
      </c>
    </row>
    <row r="55" spans="1:25" ht="12.6">
      <c r="A55" s="236" t="s">
        <v>144</v>
      </c>
      <c r="B55" s="276">
        <v>52.604999999834341</v>
      </c>
      <c r="C55" s="276">
        <v>1.6860000000005149</v>
      </c>
      <c r="D55" s="276">
        <v>1.6179999999979902</v>
      </c>
      <c r="E55" s="276">
        <f t="shared" ref="E55:E56" si="98">SUM(B55:D55)</f>
        <v>55.908999999832844</v>
      </c>
      <c r="F55" s="276"/>
      <c r="G55" s="276">
        <v>43.383999999927006</v>
      </c>
      <c r="H55" s="276">
        <v>1.7919999999956795</v>
      </c>
      <c r="I55" s="276">
        <v>4.2270000000349706</v>
      </c>
      <c r="J55" s="276">
        <f t="shared" ref="J55:J56" si="99">SUM(G55:I55)</f>
        <v>49.402999999957657</v>
      </c>
      <c r="K55" s="276"/>
      <c r="L55" s="276">
        <v>38.917999999934409</v>
      </c>
      <c r="M55" s="276">
        <v>2.819999999988811</v>
      </c>
      <c r="N55" s="276">
        <v>0.75899999999706169</v>
      </c>
      <c r="O55" s="276">
        <f t="shared" ref="O55:O56" si="100">SUM(L55:N55)</f>
        <v>42.496999999920277</v>
      </c>
      <c r="P55" s="276"/>
      <c r="Q55" s="276">
        <v>37.20500000004936</v>
      </c>
      <c r="R55" s="276">
        <v>2.8469999999914419</v>
      </c>
      <c r="S55" s="276">
        <v>0.89099999998670176</v>
      </c>
      <c r="T55" s="276">
        <f t="shared" ref="T55:T56" si="101">SUM(Q55:S55)</f>
        <v>40.943000000027503</v>
      </c>
      <c r="U55" s="276"/>
      <c r="V55" s="276">
        <v>33.976000000071309</v>
      </c>
      <c r="W55" s="276">
        <v>2.8739999999842696</v>
      </c>
      <c r="X55" s="276">
        <v>1.1269999999831815</v>
      </c>
      <c r="Y55" s="276">
        <f t="shared" ref="Y55:Y56" si="102">SUM(V55:X55)</f>
        <v>37.977000000038764</v>
      </c>
    </row>
    <row r="56" spans="1:25" ht="12.6">
      <c r="A56" s="236" t="s">
        <v>146</v>
      </c>
      <c r="B56" s="276">
        <f>SUM(B54:B55)</f>
        <v>67.926999999730853</v>
      </c>
      <c r="C56" s="276">
        <f t="shared" ref="C56" si="103">SUM(C54:C55)</f>
        <v>5.3490000000294309</v>
      </c>
      <c r="D56" s="276">
        <f t="shared" ref="D56" si="104">SUM(D54:D55)</f>
        <v>2.3290000000050828</v>
      </c>
      <c r="E56" s="276">
        <f t="shared" si="98"/>
        <v>75.604999999765369</v>
      </c>
      <c r="F56" s="276"/>
      <c r="G56" s="276">
        <f>SUM(G54:G55)</f>
        <v>56.383999999774232</v>
      </c>
      <c r="H56" s="276">
        <f t="shared" ref="H56" si="105">SUM(H54:H55)</f>
        <v>6.420000000047537</v>
      </c>
      <c r="I56" s="276">
        <f t="shared" ref="I56" si="106">SUM(I54:I55)</f>
        <v>5.9860000000540987</v>
      </c>
      <c r="J56" s="276">
        <f t="shared" si="99"/>
        <v>68.789999999875874</v>
      </c>
      <c r="K56" s="276"/>
      <c r="L56" s="276">
        <f>SUM(L54:L55)</f>
        <v>51.075999999840697</v>
      </c>
      <c r="M56" s="276">
        <f t="shared" ref="M56" si="107">SUM(M54:M55)</f>
        <v>6.5210000000241486</v>
      </c>
      <c r="N56" s="276">
        <f t="shared" ref="N56" si="108">SUM(N54:N55)</f>
        <v>3.4849999999773247</v>
      </c>
      <c r="O56" s="276">
        <f t="shared" si="100"/>
        <v>61.081999999842175</v>
      </c>
      <c r="P56" s="276"/>
      <c r="Q56" s="276">
        <f>SUM(Q54:Q55)</f>
        <v>49.388000000262956</v>
      </c>
      <c r="R56" s="276">
        <f t="shared" ref="R56" si="109">SUM(R54:R55)</f>
        <v>6.6480000000322352</v>
      </c>
      <c r="S56" s="276">
        <f t="shared" ref="S56" si="110">SUM(S54:S55)</f>
        <v>3.6219999999889581</v>
      </c>
      <c r="T56" s="276">
        <f t="shared" si="101"/>
        <v>59.658000000284147</v>
      </c>
      <c r="U56" s="276"/>
      <c r="V56" s="276">
        <f>SUM(V54:V55)</f>
        <v>46.222000000363266</v>
      </c>
      <c r="W56" s="276">
        <f t="shared" ref="W56" si="111">SUM(W54:W55)</f>
        <v>6.8290000000256565</v>
      </c>
      <c r="X56" s="276">
        <f t="shared" ref="X56" si="112">SUM(X54:X55)</f>
        <v>3.8539999999706511</v>
      </c>
      <c r="Y56" s="276">
        <f t="shared" si="102"/>
        <v>56.905000000359578</v>
      </c>
    </row>
    <row r="57" spans="1:25">
      <c r="C57" s="290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290"/>
      <c r="R57" s="290"/>
      <c r="S57" s="290"/>
      <c r="T57" s="290"/>
      <c r="U57" s="290"/>
      <c r="V57" s="290"/>
      <c r="W57" s="290"/>
      <c r="X57" s="290"/>
      <c r="Y57" s="290"/>
    </row>
    <row r="58" spans="1:25">
      <c r="A58" s="237" t="str">
        <f>name!A21</f>
        <v>Machinery n.e.c.</v>
      </c>
      <c r="C58" s="239"/>
    </row>
    <row r="59" spans="1:25" ht="12.6">
      <c r="A59" s="236" t="s">
        <v>145</v>
      </c>
      <c r="B59" s="276">
        <v>19.672999999878471</v>
      </c>
      <c r="C59" s="276">
        <v>4.8770000000445979</v>
      </c>
      <c r="D59" s="276">
        <v>1.5040000000140388</v>
      </c>
      <c r="E59" s="276">
        <f>SUM(B59:D59)</f>
        <v>26.053999999937105</v>
      </c>
      <c r="F59" s="276"/>
      <c r="G59" s="276">
        <v>21.671999999738333</v>
      </c>
      <c r="H59" s="276">
        <v>5.3060000000369554</v>
      </c>
      <c r="I59" s="276">
        <v>4.4570000000476151</v>
      </c>
      <c r="J59" s="276">
        <f>SUM(G59:I59)</f>
        <v>31.434999999822903</v>
      </c>
      <c r="K59" s="276"/>
      <c r="L59" s="276">
        <v>22.474999999827446</v>
      </c>
      <c r="M59" s="276">
        <v>6.2810000000403114</v>
      </c>
      <c r="N59" s="276">
        <v>2.3099999999754406</v>
      </c>
      <c r="O59" s="276">
        <f>SUM(L59:N59)</f>
        <v>31.0659999998432</v>
      </c>
      <c r="P59" s="276"/>
      <c r="Q59" s="276">
        <v>22.744000000436092</v>
      </c>
      <c r="R59" s="276">
        <v>6.3800000000489652</v>
      </c>
      <c r="S59" s="276">
        <v>2.3940000000032793</v>
      </c>
      <c r="T59" s="276">
        <f>SUM(Q59:S59)</f>
        <v>31.518000000488335</v>
      </c>
      <c r="U59" s="276"/>
      <c r="V59" s="276">
        <v>19.450000000496296</v>
      </c>
      <c r="W59" s="276">
        <v>5.4990000000600627</v>
      </c>
      <c r="X59" s="276">
        <v>2.1589999999902236</v>
      </c>
      <c r="Y59" s="276">
        <f>SUM(V59:X59)</f>
        <v>27.108000000546582</v>
      </c>
    </row>
    <row r="60" spans="1:25" ht="12.6">
      <c r="A60" s="236" t="s">
        <v>144</v>
      </c>
      <c r="B60" s="276">
        <v>120.73099999959069</v>
      </c>
      <c r="C60" s="276">
        <v>2.7070000000010497</v>
      </c>
      <c r="D60" s="276">
        <v>7.720999999987562</v>
      </c>
      <c r="E60" s="276">
        <f t="shared" ref="E60:E61" si="113">SUM(B60:D60)</f>
        <v>131.15899999957929</v>
      </c>
      <c r="F60" s="276"/>
      <c r="G60" s="276">
        <v>125.10499999970747</v>
      </c>
      <c r="H60" s="276">
        <v>2.7759999999975893</v>
      </c>
      <c r="I60" s="276">
        <v>10.258000000103767</v>
      </c>
      <c r="J60" s="276">
        <f t="shared" ref="J60:J61" si="114">SUM(G60:I60)</f>
        <v>138.13899999980885</v>
      </c>
      <c r="K60" s="276"/>
      <c r="L60" s="276">
        <v>117.07199999972731</v>
      </c>
      <c r="M60" s="276">
        <v>3.7639999999990437</v>
      </c>
      <c r="N60" s="276">
        <v>5.4059999999776434</v>
      </c>
      <c r="O60" s="276">
        <f t="shared" ref="O60:O61" si="115">SUM(L60:N60)</f>
        <v>126.24199999970399</v>
      </c>
      <c r="P60" s="276"/>
      <c r="Q60" s="276">
        <v>119.92500000009572</v>
      </c>
      <c r="R60" s="276">
        <v>3.9940000000002782</v>
      </c>
      <c r="S60" s="276">
        <v>5.6509999998910221</v>
      </c>
      <c r="T60" s="276">
        <f t="shared" ref="T60:T61" si="116">SUM(Q60:S60)</f>
        <v>129.56999999998703</v>
      </c>
      <c r="U60" s="276"/>
      <c r="V60" s="276">
        <v>105.12600000015176</v>
      </c>
      <c r="W60" s="276">
        <v>3.7539999999982769</v>
      </c>
      <c r="X60" s="276">
        <v>5.1049999999150062</v>
      </c>
      <c r="Y60" s="276">
        <f t="shared" ref="Y60:Y61" si="117">SUM(V60:X60)</f>
        <v>113.98500000006504</v>
      </c>
    </row>
    <row r="61" spans="1:25" ht="12.6">
      <c r="A61" s="236" t="s">
        <v>146</v>
      </c>
      <c r="B61" s="276">
        <f>SUM(B59:B60)</f>
        <v>140.40399999946916</v>
      </c>
      <c r="C61" s="276">
        <f t="shared" ref="C61" si="118">SUM(C59:C60)</f>
        <v>7.5840000000456476</v>
      </c>
      <c r="D61" s="276">
        <f t="shared" ref="D61" si="119">SUM(D59:D60)</f>
        <v>9.2250000000016001</v>
      </c>
      <c r="E61" s="276">
        <f t="shared" si="113"/>
        <v>157.2129999995164</v>
      </c>
      <c r="F61" s="276"/>
      <c r="G61" s="276">
        <f>SUM(G59:G60)</f>
        <v>146.77699999944582</v>
      </c>
      <c r="H61" s="276">
        <f t="shared" ref="H61" si="120">SUM(H59:H60)</f>
        <v>8.0820000000345438</v>
      </c>
      <c r="I61" s="276">
        <f t="shared" ref="I61" si="121">SUM(I59:I60)</f>
        <v>14.715000000151381</v>
      </c>
      <c r="J61" s="276">
        <f t="shared" si="114"/>
        <v>169.57399999963175</v>
      </c>
      <c r="K61" s="276"/>
      <c r="L61" s="276">
        <f>SUM(L59:L60)</f>
        <v>139.54699999955477</v>
      </c>
      <c r="M61" s="276">
        <f t="shared" ref="M61" si="122">SUM(M59:M60)</f>
        <v>10.045000000039355</v>
      </c>
      <c r="N61" s="276">
        <f t="shared" ref="N61" si="123">SUM(N59:N60)</f>
        <v>7.7159999999530839</v>
      </c>
      <c r="O61" s="276">
        <f t="shared" si="115"/>
        <v>157.30799999954721</v>
      </c>
      <c r="P61" s="276"/>
      <c r="Q61" s="276">
        <f>SUM(Q59:Q60)</f>
        <v>142.66900000053181</v>
      </c>
      <c r="R61" s="276">
        <f t="shared" ref="R61" si="124">SUM(R59:R60)</f>
        <v>10.374000000049243</v>
      </c>
      <c r="S61" s="276">
        <f t="shared" ref="S61" si="125">SUM(S59:S60)</f>
        <v>8.0449999998943014</v>
      </c>
      <c r="T61" s="276">
        <f t="shared" si="116"/>
        <v>161.08800000047535</v>
      </c>
      <c r="U61" s="276"/>
      <c r="V61" s="276">
        <f>SUM(V59:V60)</f>
        <v>124.57600000064807</v>
      </c>
      <c r="W61" s="276">
        <f t="shared" ref="W61" si="126">SUM(W59:W60)</f>
        <v>9.2530000000583392</v>
      </c>
      <c r="X61" s="276">
        <f t="shared" ref="X61" si="127">SUM(X59:X60)</f>
        <v>7.2639999999052298</v>
      </c>
      <c r="Y61" s="276">
        <f t="shared" si="117"/>
        <v>141.09300000061162</v>
      </c>
    </row>
    <row r="62" spans="1:25" ht="12.6">
      <c r="C62" s="239"/>
    </row>
    <row r="63" spans="1:25">
      <c r="A63" s="237" t="s">
        <v>148</v>
      </c>
    </row>
    <row r="64" spans="1:25" ht="12.6">
      <c r="A64" s="236" t="s">
        <v>145</v>
      </c>
      <c r="B64" s="276">
        <f>SUM(B49,B54,B59)</f>
        <v>54.854999999604857</v>
      </c>
      <c r="C64" s="276">
        <f t="shared" ref="C64:D65" si="128">SUM(C49,C54,C59)</f>
        <v>13.798000000155916</v>
      </c>
      <c r="D64" s="276">
        <f t="shared" si="128"/>
        <v>3.0100000000215354</v>
      </c>
      <c r="E64" s="276">
        <f>SUM(B64:D64)</f>
        <v>71.662999999782301</v>
      </c>
      <c r="F64" s="276"/>
      <c r="G64" s="276">
        <f>SUM(G49,G54,G59)</f>
        <v>53.267999999327728</v>
      </c>
      <c r="H64" s="276">
        <f t="shared" ref="H64:I64" si="129">SUM(H49,H54,H59)</f>
        <v>14.31400000016291</v>
      </c>
      <c r="I64" s="276">
        <f t="shared" si="129"/>
        <v>7.0720000000657111</v>
      </c>
      <c r="J64" s="276">
        <f>SUM(G64:I64)</f>
        <v>74.653999999556348</v>
      </c>
      <c r="K64" s="276"/>
      <c r="L64" s="276">
        <f>SUM(L49,L54,L59)</f>
        <v>56.690999999554244</v>
      </c>
      <c r="M64" s="276">
        <f t="shared" ref="M64:N64" si="130">SUM(M49,M54,M59)</f>
        <v>14.43300000012853</v>
      </c>
      <c r="N64" s="276">
        <f t="shared" si="130"/>
        <v>6.642999999937981</v>
      </c>
      <c r="O64" s="276">
        <f>SUM(L64:N64)</f>
        <v>77.766999999620765</v>
      </c>
      <c r="P64" s="276"/>
      <c r="Q64" s="276">
        <f>SUM(Q49,Q54,Q59)</f>
        <v>56.908000001037848</v>
      </c>
      <c r="R64" s="276">
        <f t="shared" ref="R64:S64" si="131">SUM(R49,R54,R59)</f>
        <v>14.615000000186644</v>
      </c>
      <c r="S64" s="276">
        <f t="shared" si="131"/>
        <v>6.7680000000029779</v>
      </c>
      <c r="T64" s="276">
        <f>SUM(Q64:S64)</f>
        <v>78.291000001227474</v>
      </c>
      <c r="U64" s="276"/>
      <c r="V64" s="276">
        <f>SUM(V49,V54,V59)</f>
        <v>48.851000001220534</v>
      </c>
      <c r="W64" s="276">
        <f t="shared" ref="W64:X64" si="132">SUM(W49,W54,W59)</f>
        <v>12.891000000173769</v>
      </c>
      <c r="X64" s="276">
        <f t="shared" si="132"/>
        <v>6.2539999999713043</v>
      </c>
      <c r="Y64" s="276">
        <f>SUM(V64:X64)</f>
        <v>67.996000001365601</v>
      </c>
    </row>
    <row r="65" spans="1:25" ht="12.6">
      <c r="A65" s="236" t="s">
        <v>144</v>
      </c>
      <c r="B65" s="276">
        <f>SUM(B50,B55,B60)</f>
        <v>238.15399999915269</v>
      </c>
      <c r="C65" s="276">
        <f t="shared" si="128"/>
        <v>8.0289999999970387</v>
      </c>
      <c r="D65" s="276">
        <f t="shared" si="128"/>
        <v>13.309000000051888</v>
      </c>
      <c r="E65" s="276">
        <f t="shared" ref="E65:E66" si="133">SUM(B65:D65)</f>
        <v>259.4919999992016</v>
      </c>
      <c r="F65" s="276"/>
      <c r="G65" s="276">
        <f>SUM(G50,G55,G60)</f>
        <v>236.67199999946669</v>
      </c>
      <c r="H65" s="276">
        <f t="shared" ref="H65:I65" si="134">SUM(H50,H55,H60)</f>
        <v>7.2309999999922274</v>
      </c>
      <c r="I65" s="276">
        <f t="shared" si="134"/>
        <v>20.145000000144982</v>
      </c>
      <c r="J65" s="276">
        <f t="shared" ref="J65:J66" si="135">SUM(G65:I65)</f>
        <v>264.04799999960392</v>
      </c>
      <c r="K65" s="276"/>
      <c r="L65" s="276">
        <f>SUM(L50,L55,L60)</f>
        <v>225.09899999946526</v>
      </c>
      <c r="M65" s="276">
        <f t="shared" ref="M65:N65" si="136">SUM(M50,M55,M60)</f>
        <v>10.263999999973816</v>
      </c>
      <c r="N65" s="276">
        <f t="shared" si="136"/>
        <v>9.5260000000169764</v>
      </c>
      <c r="O65" s="276">
        <f t="shared" ref="O65:O66" si="137">SUM(L65:N65)</f>
        <v>244.88899999945605</v>
      </c>
      <c r="P65" s="276"/>
      <c r="Q65" s="276">
        <f>SUM(Q50,Q55,Q60)</f>
        <v>229.7760000001586</v>
      </c>
      <c r="R65" s="276">
        <f t="shared" ref="R65:S65" si="138">SUM(R50,R55,R60)</f>
        <v>10.740999999998563</v>
      </c>
      <c r="S65" s="276">
        <f t="shared" si="138"/>
        <v>10.176999999994216</v>
      </c>
      <c r="T65" s="276">
        <f t="shared" ref="T65:T66" si="139">SUM(Q65:S65)</f>
        <v>250.69400000015139</v>
      </c>
      <c r="U65" s="276"/>
      <c r="V65" s="276">
        <f>SUM(V50,V55,V60)</f>
        <v>202.57100000028709</v>
      </c>
      <c r="W65" s="276">
        <f t="shared" ref="W65:X65" si="140">SUM(W50,W55,W60)</f>
        <v>10.060999999984059</v>
      </c>
      <c r="X65" s="276">
        <f t="shared" si="140"/>
        <v>9.5479999999847252</v>
      </c>
      <c r="Y65" s="276">
        <f t="shared" ref="Y65:Y66" si="141">SUM(V65:X65)</f>
        <v>222.18000000025586</v>
      </c>
    </row>
    <row r="66" spans="1:25" ht="12.6">
      <c r="A66" s="240" t="s">
        <v>146</v>
      </c>
      <c r="B66" s="277">
        <f>SUM(B64:B65)</f>
        <v>293.00899999875753</v>
      </c>
      <c r="C66" s="277">
        <f t="shared" ref="C66" si="142">SUM(C64:C65)</f>
        <v>21.827000000152957</v>
      </c>
      <c r="D66" s="277">
        <f t="shared" ref="D66" si="143">SUM(D64:D65)</f>
        <v>16.319000000073423</v>
      </c>
      <c r="E66" s="277">
        <f t="shared" si="133"/>
        <v>331.1549999989839</v>
      </c>
      <c r="F66" s="277"/>
      <c r="G66" s="277">
        <f>SUM(G64:G65)</f>
        <v>289.93999999879441</v>
      </c>
      <c r="H66" s="277">
        <f t="shared" ref="H66" si="144">SUM(H64:H65)</f>
        <v>21.545000000155138</v>
      </c>
      <c r="I66" s="277">
        <f t="shared" ref="I66" si="145">SUM(I64:I65)</f>
        <v>27.217000000210692</v>
      </c>
      <c r="J66" s="277">
        <f t="shared" si="135"/>
        <v>338.70199999916025</v>
      </c>
      <c r="K66" s="277"/>
      <c r="L66" s="277">
        <f>SUM(L64:L65)</f>
        <v>281.78999999901953</v>
      </c>
      <c r="M66" s="277">
        <f t="shared" ref="M66" si="146">SUM(M64:M65)</f>
        <v>24.697000000102346</v>
      </c>
      <c r="N66" s="277">
        <f t="shared" ref="N66" si="147">SUM(N64:N65)</f>
        <v>16.168999999954956</v>
      </c>
      <c r="O66" s="277">
        <f t="shared" si="137"/>
        <v>322.65599999907681</v>
      </c>
      <c r="P66" s="277"/>
      <c r="Q66" s="277">
        <f>SUM(Q64:Q65)</f>
        <v>286.68400000119647</v>
      </c>
      <c r="R66" s="277">
        <f t="shared" ref="R66" si="148">SUM(R64:R65)</f>
        <v>25.356000000185205</v>
      </c>
      <c r="S66" s="277">
        <f t="shared" ref="S66" si="149">SUM(S64:S65)</f>
        <v>16.944999999997194</v>
      </c>
      <c r="T66" s="277">
        <f t="shared" si="139"/>
        <v>328.98500000137886</v>
      </c>
      <c r="U66" s="277"/>
      <c r="V66" s="277">
        <f>SUM(V64:V65)</f>
        <v>251.42200000150763</v>
      </c>
      <c r="W66" s="277">
        <f t="shared" ref="W66" si="150">SUM(W64:W65)</f>
        <v>22.952000000157827</v>
      </c>
      <c r="X66" s="277">
        <f t="shared" ref="X66" si="151">SUM(X64:X65)</f>
        <v>15.801999999956029</v>
      </c>
      <c r="Y66" s="277">
        <f t="shared" si="141"/>
        <v>290.1760000016215</v>
      </c>
    </row>
    <row r="67" spans="1:25" ht="12.6">
      <c r="C67" s="239"/>
    </row>
    <row r="68" spans="1:25" ht="12.6">
      <c r="C68" s="239"/>
    </row>
    <row r="69" spans="1:25">
      <c r="A69" s="237"/>
    </row>
    <row r="70" spans="1:25" ht="14.1">
      <c r="A70" s="241" t="str">
        <f>"Industry 5 : "&amp; name!B8</f>
        <v>Industry 5 : Rest of manufacturing</v>
      </c>
      <c r="B70" s="366">
        <f>$B$5</f>
        <v>2015</v>
      </c>
      <c r="C70" s="366"/>
      <c r="D70" s="366"/>
      <c r="E70" s="366"/>
      <c r="F70" s="291"/>
      <c r="G70" s="366">
        <f>$G$5</f>
        <v>2019</v>
      </c>
      <c r="H70" s="366"/>
      <c r="I70" s="366"/>
      <c r="J70" s="366"/>
      <c r="K70" s="291"/>
      <c r="L70" s="366">
        <f>$L$5</f>
        <v>2020</v>
      </c>
      <c r="M70" s="366"/>
      <c r="N70" s="366"/>
      <c r="O70" s="366"/>
      <c r="P70" s="289"/>
      <c r="Q70" s="366">
        <f>$Q$5</f>
        <v>2025</v>
      </c>
      <c r="R70" s="366"/>
      <c r="S70" s="366"/>
      <c r="T70" s="366"/>
      <c r="U70" s="291"/>
      <c r="V70" s="366">
        <f>$V$5</f>
        <v>2035</v>
      </c>
      <c r="W70" s="366"/>
      <c r="X70" s="366"/>
      <c r="Y70" s="366"/>
    </row>
    <row r="71" spans="1:25">
      <c r="A71" s="240"/>
      <c r="B71" s="244" t="str">
        <f>$B$6</f>
        <v>FT</v>
      </c>
      <c r="C71" s="244" t="str">
        <f>$C$6</f>
        <v>PT</v>
      </c>
      <c r="D71" s="244" t="str">
        <f>$D$6</f>
        <v>SE</v>
      </c>
      <c r="E71" s="244" t="str">
        <f>$E$6</f>
        <v>Total</v>
      </c>
      <c r="F71" s="244"/>
      <c r="G71" s="244" t="str">
        <f>$B$6</f>
        <v>FT</v>
      </c>
      <c r="H71" s="244" t="str">
        <f>$C$6</f>
        <v>PT</v>
      </c>
      <c r="I71" s="244" t="str">
        <f>$D$6</f>
        <v>SE</v>
      </c>
      <c r="J71" s="244" t="str">
        <f>$E$6</f>
        <v>Total</v>
      </c>
      <c r="K71" s="244"/>
      <c r="L71" s="244" t="str">
        <f>$L$6</f>
        <v>FT</v>
      </c>
      <c r="M71" s="244" t="str">
        <f>$M$6</f>
        <v>PT</v>
      </c>
      <c r="N71" s="244" t="str">
        <f>$N$6</f>
        <v>SE</v>
      </c>
      <c r="O71" s="244" t="str">
        <f>$O$6</f>
        <v>Total</v>
      </c>
      <c r="P71" s="244"/>
      <c r="Q71" s="244" t="str">
        <f>$L$6</f>
        <v>FT</v>
      </c>
      <c r="R71" s="244" t="str">
        <f>$M$6</f>
        <v>PT</v>
      </c>
      <c r="S71" s="244" t="str">
        <f>$N$6</f>
        <v>SE</v>
      </c>
      <c r="T71" s="244" t="str">
        <f>$O$6</f>
        <v>Total</v>
      </c>
      <c r="U71" s="244"/>
      <c r="V71" s="244" t="str">
        <f>$V$6</f>
        <v>FT</v>
      </c>
      <c r="W71" s="244" t="str">
        <f>$W$6</f>
        <v>PT</v>
      </c>
      <c r="X71" s="244" t="str">
        <f>$X$6</f>
        <v>SE</v>
      </c>
      <c r="Y71" s="244" t="str">
        <f>$Y$6</f>
        <v>Total</v>
      </c>
    </row>
    <row r="72" spans="1:25">
      <c r="C72" s="290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290"/>
      <c r="R72" s="290"/>
      <c r="S72" s="290"/>
      <c r="T72" s="290"/>
      <c r="U72" s="290"/>
      <c r="V72" s="290"/>
      <c r="W72" s="290"/>
      <c r="X72" s="290"/>
      <c r="Y72" s="290"/>
    </row>
    <row r="73" spans="1:25">
      <c r="A73" s="237" t="str">
        <f>name!A8</f>
        <v>Textiles</v>
      </c>
      <c r="C73" s="239"/>
    </row>
    <row r="74" spans="1:25" ht="12.6">
      <c r="A74" s="236" t="s">
        <v>145</v>
      </c>
      <c r="B74" s="276">
        <v>9.0369999999681223</v>
      </c>
      <c r="C74" s="276">
        <v>3.8590000000940679</v>
      </c>
      <c r="D74" s="276">
        <v>6.1050000001012332</v>
      </c>
      <c r="E74" s="276">
        <f>SUM(B74:D74)</f>
        <v>19.001000000163422</v>
      </c>
      <c r="F74" s="276"/>
      <c r="G74" s="276">
        <v>9.9129999998401654</v>
      </c>
      <c r="H74" s="276">
        <v>4.7390000000648245</v>
      </c>
      <c r="I74" s="276">
        <v>8.2460000001053455</v>
      </c>
      <c r="J74" s="276">
        <f>SUM(G74:I74)</f>
        <v>22.898000000010335</v>
      </c>
      <c r="K74" s="276"/>
      <c r="L74" s="276">
        <v>9.7479999999310625</v>
      </c>
      <c r="M74" s="276">
        <v>5.2270000001006425</v>
      </c>
      <c r="N74" s="276">
        <v>9.022999999943039</v>
      </c>
      <c r="O74" s="276">
        <f>SUM(L74:N74)</f>
        <v>23.997999999974745</v>
      </c>
      <c r="P74" s="276"/>
      <c r="Q74" s="276">
        <v>8.6670000002028811</v>
      </c>
      <c r="R74" s="276">
        <v>4.5140000001283287</v>
      </c>
      <c r="S74" s="276">
        <v>7.8630000000582365</v>
      </c>
      <c r="T74" s="276">
        <f>SUM(Q74:S74)</f>
        <v>21.044000000389445</v>
      </c>
      <c r="U74" s="276"/>
      <c r="V74" s="276">
        <v>7.5400000002258567</v>
      </c>
      <c r="W74" s="276">
        <v>3.9060000001472623</v>
      </c>
      <c r="X74" s="276">
        <v>6.6680000000754456</v>
      </c>
      <c r="Y74" s="276">
        <f>SUM(V74:X74)</f>
        <v>18.114000000448563</v>
      </c>
    </row>
    <row r="75" spans="1:25" ht="12.6">
      <c r="A75" s="236" t="s">
        <v>144</v>
      </c>
      <c r="B75" s="276">
        <v>23.93899999998051</v>
      </c>
      <c r="C75" s="276">
        <v>1.2980000000180918</v>
      </c>
      <c r="D75" s="276">
        <v>5.2200000000212805</v>
      </c>
      <c r="E75" s="276">
        <f t="shared" ref="E75:E76" si="152">SUM(B75:D75)</f>
        <v>30.457000000019882</v>
      </c>
      <c r="F75" s="276"/>
      <c r="G75" s="276">
        <v>26.250000000010012</v>
      </c>
      <c r="H75" s="276">
        <v>1.4780000000067743</v>
      </c>
      <c r="I75" s="276">
        <v>3.2610000000263262</v>
      </c>
      <c r="J75" s="276">
        <f t="shared" ref="J75:J76" si="153">SUM(G75:I75)</f>
        <v>30.989000000043109</v>
      </c>
      <c r="K75" s="276"/>
      <c r="L75" s="276">
        <v>25.943000000015584</v>
      </c>
      <c r="M75" s="276">
        <v>3.5040000000021849</v>
      </c>
      <c r="N75" s="276">
        <v>3.3760000000065222</v>
      </c>
      <c r="O75" s="276">
        <f t="shared" ref="O75:O76" si="154">SUM(L75:N75)</f>
        <v>32.823000000024294</v>
      </c>
      <c r="P75" s="276"/>
      <c r="Q75" s="276">
        <v>23.189000000060012</v>
      </c>
      <c r="R75" s="276">
        <v>3.0280000000172174</v>
      </c>
      <c r="S75" s="276">
        <v>2.9790000000022165</v>
      </c>
      <c r="T75" s="276">
        <f t="shared" ref="T75:T76" si="155">SUM(Q75:S75)</f>
        <v>29.196000000079447</v>
      </c>
      <c r="U75" s="276"/>
      <c r="V75" s="276">
        <v>19.764000000051826</v>
      </c>
      <c r="W75" s="276">
        <v>2.6600000000132393</v>
      </c>
      <c r="X75" s="276">
        <v>2.4459999999978419</v>
      </c>
      <c r="Y75" s="276">
        <f t="shared" ref="Y75:Y76" si="156">SUM(V75:X75)</f>
        <v>24.870000000062905</v>
      </c>
    </row>
    <row r="76" spans="1:25" ht="12.6">
      <c r="A76" s="236" t="s">
        <v>146</v>
      </c>
      <c r="B76" s="276">
        <f>SUM(B74:B75)</f>
        <v>32.975999999948634</v>
      </c>
      <c r="C76" s="276">
        <f t="shared" ref="C76" si="157">SUM(C74:C75)</f>
        <v>5.1570000001121592</v>
      </c>
      <c r="D76" s="276">
        <f t="shared" ref="D76" si="158">SUM(D74:D75)</f>
        <v>11.325000000122515</v>
      </c>
      <c r="E76" s="276">
        <f t="shared" si="152"/>
        <v>49.458000000183304</v>
      </c>
      <c r="F76" s="276"/>
      <c r="G76" s="276">
        <f>SUM(G74:G75)</f>
        <v>36.162999999850179</v>
      </c>
      <c r="H76" s="276">
        <f t="shared" ref="H76" si="159">SUM(H74:H75)</f>
        <v>6.2170000000715984</v>
      </c>
      <c r="I76" s="276">
        <f t="shared" ref="I76" si="160">SUM(I74:I75)</f>
        <v>11.507000000131672</v>
      </c>
      <c r="J76" s="276">
        <f t="shared" si="153"/>
        <v>53.887000000053447</v>
      </c>
      <c r="K76" s="276"/>
      <c r="L76" s="276">
        <f>SUM(L74:L75)</f>
        <v>35.690999999946648</v>
      </c>
      <c r="M76" s="276">
        <f t="shared" ref="M76" si="161">SUM(M74:M75)</f>
        <v>8.7310000001028278</v>
      </c>
      <c r="N76" s="276">
        <f t="shared" ref="N76" si="162">SUM(N74:N75)</f>
        <v>12.398999999949561</v>
      </c>
      <c r="O76" s="276">
        <f t="shared" si="154"/>
        <v>56.820999999999039</v>
      </c>
      <c r="P76" s="276"/>
      <c r="Q76" s="276">
        <f>SUM(Q74:Q75)</f>
        <v>31.856000000262895</v>
      </c>
      <c r="R76" s="276">
        <f t="shared" ref="R76" si="163">SUM(R74:R75)</f>
        <v>7.5420000001455456</v>
      </c>
      <c r="S76" s="276">
        <f t="shared" ref="S76" si="164">SUM(S74:S75)</f>
        <v>10.842000000060454</v>
      </c>
      <c r="T76" s="276">
        <f t="shared" si="155"/>
        <v>50.240000000468896</v>
      </c>
      <c r="U76" s="276"/>
      <c r="V76" s="276">
        <f>SUM(V74:V75)</f>
        <v>27.304000000277682</v>
      </c>
      <c r="W76" s="276">
        <f t="shared" ref="W76" si="165">SUM(W74:W75)</f>
        <v>6.5660000001605017</v>
      </c>
      <c r="X76" s="276">
        <f t="shared" ref="X76" si="166">SUM(X74:X75)</f>
        <v>9.1140000000732879</v>
      </c>
      <c r="Y76" s="276">
        <f t="shared" si="156"/>
        <v>42.984000000511472</v>
      </c>
    </row>
    <row r="77" spans="1:25">
      <c r="C77" s="290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290"/>
      <c r="R77" s="290"/>
      <c r="S77" s="290"/>
      <c r="T77" s="290"/>
      <c r="U77" s="290"/>
      <c r="V77" s="290"/>
      <c r="W77" s="290"/>
      <c r="X77" s="290"/>
      <c r="Y77" s="290"/>
    </row>
    <row r="78" spans="1:25">
      <c r="A78" s="237" t="str">
        <f>name!A9</f>
        <v>Wearing apparel; Leather, etc</v>
      </c>
      <c r="C78" s="239"/>
    </row>
    <row r="79" spans="1:25" ht="12.6">
      <c r="A79" s="236" t="s">
        <v>145</v>
      </c>
      <c r="B79" s="276">
        <v>18.970999999950809</v>
      </c>
      <c r="C79" s="276">
        <v>6.3510000001797557</v>
      </c>
      <c r="D79" s="276">
        <v>4.8680000000836881</v>
      </c>
      <c r="E79" s="276">
        <f>SUM(B79:D79)</f>
        <v>30.190000000214255</v>
      </c>
      <c r="F79" s="276"/>
      <c r="G79" s="276">
        <v>17.876999999934949</v>
      </c>
      <c r="H79" s="276">
        <v>4.8790000000577853</v>
      </c>
      <c r="I79" s="276">
        <v>6.3420000001165571</v>
      </c>
      <c r="J79" s="276">
        <f>SUM(G79:I79)</f>
        <v>29.098000000109291</v>
      </c>
      <c r="K79" s="276"/>
      <c r="L79" s="276">
        <v>17.622999999955677</v>
      </c>
      <c r="M79" s="276">
        <v>5.2710000001436432</v>
      </c>
      <c r="N79" s="276">
        <v>6.5539999998671652</v>
      </c>
      <c r="O79" s="276">
        <f>SUM(L79:N79)</f>
        <v>29.447999999966488</v>
      </c>
      <c r="P79" s="276"/>
      <c r="Q79" s="276">
        <v>15.676000000115577</v>
      </c>
      <c r="R79" s="276">
        <v>4.5330000000665187</v>
      </c>
      <c r="S79" s="276">
        <v>5.7020000000081401</v>
      </c>
      <c r="T79" s="276">
        <f>SUM(Q79:S79)</f>
        <v>25.911000000190235</v>
      </c>
      <c r="U79" s="276"/>
      <c r="V79" s="276">
        <v>13.622000000086675</v>
      </c>
      <c r="W79" s="276">
        <v>3.8780000000903536</v>
      </c>
      <c r="X79" s="276">
        <v>4.8360000000591148</v>
      </c>
      <c r="Y79" s="276">
        <f>SUM(V79:X79)</f>
        <v>22.336000000236144</v>
      </c>
    </row>
    <row r="80" spans="1:25" ht="12.6">
      <c r="A80" s="236" t="s">
        <v>144</v>
      </c>
      <c r="B80" s="276">
        <v>12.553000000055219</v>
      </c>
      <c r="C80" s="276">
        <v>2.7670000000789461</v>
      </c>
      <c r="D80" s="276">
        <v>2.9110000000221063</v>
      </c>
      <c r="E80" s="276">
        <f t="shared" ref="E80:E81" si="167">SUM(B80:D80)</f>
        <v>18.231000000156271</v>
      </c>
      <c r="F80" s="276"/>
      <c r="G80" s="276">
        <v>11.982000000036923</v>
      </c>
      <c r="H80" s="276">
        <v>1.5140000000235421</v>
      </c>
      <c r="I80" s="276">
        <v>1.7670000000192057</v>
      </c>
      <c r="J80" s="276">
        <f t="shared" ref="J80:J81" si="168">SUM(G80:I80)</f>
        <v>15.26300000007967</v>
      </c>
      <c r="K80" s="276"/>
      <c r="L80" s="276">
        <v>11.888000000035117</v>
      </c>
      <c r="M80" s="276">
        <v>3.5320000000161715</v>
      </c>
      <c r="N80" s="276">
        <v>4.4109999999940568</v>
      </c>
      <c r="O80" s="276">
        <f t="shared" ref="O80:O81" si="169">SUM(L80:N80)</f>
        <v>19.831000000045346</v>
      </c>
      <c r="P80" s="276"/>
      <c r="Q80" s="276">
        <v>10.619000000032976</v>
      </c>
      <c r="R80" s="276">
        <v>3.0420000000377989</v>
      </c>
      <c r="S80" s="276">
        <v>4.044999999969801</v>
      </c>
      <c r="T80" s="276">
        <f t="shared" ref="T80:T81" si="170">SUM(Q80:S80)</f>
        <v>17.706000000040575</v>
      </c>
      <c r="U80" s="276"/>
      <c r="V80" s="276">
        <v>9.0570000000317918</v>
      </c>
      <c r="W80" s="276">
        <v>2.6620000000307558</v>
      </c>
      <c r="X80" s="276">
        <v>3.5749999999773188</v>
      </c>
      <c r="Y80" s="276">
        <f t="shared" ref="Y80:Y81" si="171">SUM(V80:X80)</f>
        <v>15.294000000039865</v>
      </c>
    </row>
    <row r="81" spans="1:25" ht="12.6">
      <c r="A81" s="236" t="s">
        <v>146</v>
      </c>
      <c r="B81" s="276">
        <f>SUM(B79:B80)</f>
        <v>31.524000000006026</v>
      </c>
      <c r="C81" s="276">
        <f t="shared" ref="C81" si="172">SUM(C79:C80)</f>
        <v>9.1180000002587018</v>
      </c>
      <c r="D81" s="276">
        <f t="shared" ref="D81" si="173">SUM(D79:D80)</f>
        <v>7.7790000001057944</v>
      </c>
      <c r="E81" s="276">
        <f t="shared" si="167"/>
        <v>48.421000000370526</v>
      </c>
      <c r="F81" s="276"/>
      <c r="G81" s="276">
        <f>SUM(G79:G80)</f>
        <v>29.858999999971871</v>
      </c>
      <c r="H81" s="276">
        <f t="shared" ref="H81" si="174">SUM(H79:H80)</f>
        <v>6.3930000000813276</v>
      </c>
      <c r="I81" s="276">
        <f t="shared" ref="I81" si="175">SUM(I79:I80)</f>
        <v>8.1090000001357634</v>
      </c>
      <c r="J81" s="276">
        <f t="shared" si="168"/>
        <v>44.361000000188966</v>
      </c>
      <c r="K81" s="276"/>
      <c r="L81" s="276">
        <f>SUM(L79:L80)</f>
        <v>29.510999999990794</v>
      </c>
      <c r="M81" s="276">
        <f t="shared" ref="M81" si="176">SUM(M79:M80)</f>
        <v>8.8030000001598143</v>
      </c>
      <c r="N81" s="276">
        <f t="shared" ref="N81" si="177">SUM(N79:N80)</f>
        <v>10.964999999861222</v>
      </c>
      <c r="O81" s="276">
        <f t="shared" si="169"/>
        <v>49.279000000011827</v>
      </c>
      <c r="P81" s="276"/>
      <c r="Q81" s="276">
        <f>SUM(Q79:Q80)</f>
        <v>26.295000000148555</v>
      </c>
      <c r="R81" s="276">
        <f t="shared" ref="R81" si="178">SUM(R79:R80)</f>
        <v>7.5750000001043176</v>
      </c>
      <c r="S81" s="276">
        <f t="shared" ref="S81" si="179">SUM(S79:S80)</f>
        <v>9.7469999999779411</v>
      </c>
      <c r="T81" s="276">
        <f t="shared" si="170"/>
        <v>43.617000000230817</v>
      </c>
      <c r="U81" s="276"/>
      <c r="V81" s="276">
        <f>SUM(V79:V80)</f>
        <v>22.679000000118467</v>
      </c>
      <c r="W81" s="276">
        <f t="shared" ref="W81" si="180">SUM(W79:W80)</f>
        <v>6.5400000001211094</v>
      </c>
      <c r="X81" s="276">
        <f t="shared" ref="X81" si="181">SUM(X79:X80)</f>
        <v>8.4110000000364344</v>
      </c>
      <c r="Y81" s="276">
        <f t="shared" si="171"/>
        <v>37.630000000276013</v>
      </c>
    </row>
    <row r="82" spans="1:25">
      <c r="C82" s="290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290"/>
      <c r="R82" s="290"/>
      <c r="S82" s="290"/>
      <c r="T82" s="290"/>
      <c r="U82" s="290"/>
      <c r="V82" s="290"/>
      <c r="W82" s="290"/>
      <c r="X82" s="290"/>
      <c r="Y82" s="290"/>
    </row>
    <row r="83" spans="1:25">
      <c r="A83" s="237" t="str">
        <f>name!A10</f>
        <v xml:space="preserve">Wood and cork </v>
      </c>
      <c r="C83" s="239"/>
    </row>
    <row r="84" spans="1:25" ht="12.6">
      <c r="A84" s="236" t="s">
        <v>145</v>
      </c>
      <c r="B84" s="276">
        <v>7.4289999999387462</v>
      </c>
      <c r="C84" s="276">
        <v>5.3670000000687716</v>
      </c>
      <c r="D84" s="276">
        <v>0.41400000001082743</v>
      </c>
      <c r="E84" s="276">
        <f>SUM(B84:D84)</f>
        <v>13.210000000018344</v>
      </c>
      <c r="F84" s="276"/>
      <c r="G84" s="276">
        <v>9.8229999998831037</v>
      </c>
      <c r="H84" s="276">
        <v>6.0140000000392186</v>
      </c>
      <c r="I84" s="276">
        <v>1.7740000000503644</v>
      </c>
      <c r="J84" s="276">
        <f>SUM(G84:I84)</f>
        <v>17.610999999972687</v>
      </c>
      <c r="K84" s="276"/>
      <c r="L84" s="276">
        <v>9.7769999999248061</v>
      </c>
      <c r="M84" s="276">
        <v>3.6760000000276882</v>
      </c>
      <c r="N84" s="276">
        <v>0.50299999999321143</v>
      </c>
      <c r="O84" s="276">
        <f>SUM(L84:N84)</f>
        <v>13.955999999945705</v>
      </c>
      <c r="P84" s="276"/>
      <c r="Q84" s="276">
        <v>9.9830000001358474</v>
      </c>
      <c r="R84" s="276">
        <v>3.7170000000429742</v>
      </c>
      <c r="S84" s="276">
        <v>0.53000000000545977</v>
      </c>
      <c r="T84" s="276">
        <f>SUM(Q84:S84)</f>
        <v>14.230000000184281</v>
      </c>
      <c r="U84" s="276"/>
      <c r="V84" s="276">
        <v>9.8730000002217704</v>
      </c>
      <c r="W84" s="276">
        <v>3.6700000000408752</v>
      </c>
      <c r="X84" s="276">
        <v>0.57000000000481832</v>
      </c>
      <c r="Y84" s="276">
        <f>SUM(V84:X84)</f>
        <v>14.113000000267464</v>
      </c>
    </row>
    <row r="85" spans="1:25" ht="12.6">
      <c r="A85" s="236" t="s">
        <v>144</v>
      </c>
      <c r="B85" s="276">
        <v>41.264000000010356</v>
      </c>
      <c r="C85" s="276">
        <v>2.0330000000260791</v>
      </c>
      <c r="D85" s="276">
        <v>9.8509999998275894</v>
      </c>
      <c r="E85" s="276">
        <f t="shared" ref="E85:E86" si="182">SUM(B85:D85)</f>
        <v>53.147999999864027</v>
      </c>
      <c r="F85" s="276"/>
      <c r="G85" s="276">
        <v>46.609000000108374</v>
      </c>
      <c r="H85" s="276">
        <v>3.0130000000349138</v>
      </c>
      <c r="I85" s="276">
        <v>6.8490000000841942</v>
      </c>
      <c r="J85" s="276">
        <f t="shared" ref="J85:J86" si="183">SUM(G85:I85)</f>
        <v>56.471000000227484</v>
      </c>
      <c r="K85" s="276"/>
      <c r="L85" s="276">
        <v>45.105000000182557</v>
      </c>
      <c r="M85" s="276">
        <v>3.3250000000145619</v>
      </c>
      <c r="N85" s="276">
        <v>14.325999999733314</v>
      </c>
      <c r="O85" s="276">
        <f t="shared" ref="O85:O86" si="184">SUM(L85:N85)</f>
        <v>62.755999999930431</v>
      </c>
      <c r="P85" s="276"/>
      <c r="Q85" s="276">
        <v>44.996000000280524</v>
      </c>
      <c r="R85" s="276">
        <v>3.4050000000496579</v>
      </c>
      <c r="S85" s="276">
        <v>13.716999999237288</v>
      </c>
      <c r="T85" s="276">
        <f t="shared" ref="T85:T86" si="185">SUM(Q85:S85)</f>
        <v>62.117999999567473</v>
      </c>
      <c r="U85" s="276"/>
      <c r="V85" s="276">
        <v>43.152000000318175</v>
      </c>
      <c r="W85" s="276">
        <v>3.402000000051693</v>
      </c>
      <c r="X85" s="276">
        <v>12.834999999370497</v>
      </c>
      <c r="Y85" s="276">
        <f t="shared" ref="Y85:Y86" si="186">SUM(V85:X85)</f>
        <v>59.388999999740363</v>
      </c>
    </row>
    <row r="86" spans="1:25" ht="12.6">
      <c r="A86" s="236" t="s">
        <v>146</v>
      </c>
      <c r="B86" s="276">
        <f>SUM(B84:B85)</f>
        <v>48.692999999949102</v>
      </c>
      <c r="C86" s="276">
        <f t="shared" ref="C86" si="187">SUM(C84:C85)</f>
        <v>7.4000000000948507</v>
      </c>
      <c r="D86" s="276">
        <f t="shared" ref="D86" si="188">SUM(D84:D85)</f>
        <v>10.264999999838416</v>
      </c>
      <c r="E86" s="276">
        <f t="shared" si="182"/>
        <v>66.357999999882367</v>
      </c>
      <c r="F86" s="276"/>
      <c r="G86" s="276">
        <f>SUM(G84:G85)</f>
        <v>56.431999999991476</v>
      </c>
      <c r="H86" s="276">
        <f t="shared" ref="H86" si="189">SUM(H84:H85)</f>
        <v>9.0270000000741319</v>
      </c>
      <c r="I86" s="276">
        <f t="shared" ref="I86" si="190">SUM(I84:I85)</f>
        <v>8.6230000001345584</v>
      </c>
      <c r="J86" s="276">
        <f t="shared" si="183"/>
        <v>74.082000000200154</v>
      </c>
      <c r="K86" s="276"/>
      <c r="L86" s="276">
        <f>SUM(L84:L85)</f>
        <v>54.882000000107361</v>
      </c>
      <c r="M86" s="276">
        <f t="shared" ref="M86" si="191">SUM(M84:M85)</f>
        <v>7.0010000000422501</v>
      </c>
      <c r="N86" s="276">
        <f t="shared" ref="N86" si="192">SUM(N84:N85)</f>
        <v>14.828999999726525</v>
      </c>
      <c r="O86" s="276">
        <f t="shared" si="184"/>
        <v>76.711999999876127</v>
      </c>
      <c r="P86" s="276"/>
      <c r="Q86" s="276">
        <f>SUM(Q84:Q85)</f>
        <v>54.97900000041637</v>
      </c>
      <c r="R86" s="276">
        <f t="shared" ref="R86" si="193">SUM(R84:R85)</f>
        <v>7.1220000000926316</v>
      </c>
      <c r="S86" s="276">
        <f t="shared" ref="S86" si="194">SUM(S84:S85)</f>
        <v>14.246999999242748</v>
      </c>
      <c r="T86" s="276">
        <f t="shared" si="185"/>
        <v>76.34799999975175</v>
      </c>
      <c r="U86" s="276"/>
      <c r="V86" s="276">
        <f>SUM(V84:V85)</f>
        <v>53.025000000539947</v>
      </c>
      <c r="W86" s="276">
        <f t="shared" ref="W86" si="195">SUM(W84:W85)</f>
        <v>7.0720000000925687</v>
      </c>
      <c r="X86" s="276">
        <f t="shared" ref="X86" si="196">SUM(X84:X85)</f>
        <v>13.404999999375315</v>
      </c>
      <c r="Y86" s="276">
        <f t="shared" si="186"/>
        <v>73.50200000000784</v>
      </c>
    </row>
    <row r="87" spans="1:25">
      <c r="C87" s="290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290"/>
      <c r="R87" s="290"/>
      <c r="S87" s="290"/>
      <c r="T87" s="290"/>
      <c r="U87" s="290"/>
      <c r="V87" s="290"/>
      <c r="W87" s="290"/>
      <c r="X87" s="290"/>
      <c r="Y87" s="290"/>
    </row>
    <row r="88" spans="1:25">
      <c r="A88" s="237" t="str">
        <f>name!A11</f>
        <v>Paper, etc</v>
      </c>
      <c r="C88" s="239"/>
    </row>
    <row r="89" spans="1:25" ht="12.6">
      <c r="A89" s="236" t="s">
        <v>145</v>
      </c>
      <c r="B89" s="276">
        <v>4.4629999999712657</v>
      </c>
      <c r="C89" s="276">
        <v>2.6960000000614062</v>
      </c>
      <c r="D89" s="276">
        <v>0.55800000000752248</v>
      </c>
      <c r="E89" s="276">
        <f>SUM(B89:D89)</f>
        <v>7.7170000000401942</v>
      </c>
      <c r="F89" s="276"/>
      <c r="G89" s="276">
        <v>4.5339999999268219</v>
      </c>
      <c r="H89" s="276">
        <v>1.1190000000079396</v>
      </c>
      <c r="I89" s="276">
        <v>0.83400000000825425</v>
      </c>
      <c r="J89" s="276">
        <f>SUM(G89:I89)</f>
        <v>6.4869999999430163</v>
      </c>
      <c r="K89" s="276"/>
      <c r="L89" s="276">
        <v>4.3949999999579115</v>
      </c>
      <c r="M89" s="276">
        <v>0.70800000001117391</v>
      </c>
      <c r="N89" s="276">
        <v>0.54699999999096138</v>
      </c>
      <c r="O89" s="276">
        <f>SUM(L89:N89)</f>
        <v>5.6499999999600474</v>
      </c>
      <c r="P89" s="276"/>
      <c r="Q89" s="276">
        <v>4.4520000000865929</v>
      </c>
      <c r="R89" s="276">
        <v>0.70400000000870944</v>
      </c>
      <c r="S89" s="276">
        <v>0.57299999999599793</v>
      </c>
      <c r="T89" s="276">
        <f>SUM(Q89:S89)</f>
        <v>5.7290000000913004</v>
      </c>
      <c r="U89" s="276"/>
      <c r="V89" s="276">
        <v>4.3710000001171583</v>
      </c>
      <c r="W89" s="276">
        <v>0.68600000001476313</v>
      </c>
      <c r="X89" s="276">
        <v>0.61399999999978261</v>
      </c>
      <c r="Y89" s="276">
        <f>SUM(V89:X89)</f>
        <v>5.6710000001317038</v>
      </c>
    </row>
    <row r="90" spans="1:25" ht="12.6">
      <c r="A90" s="236" t="s">
        <v>144</v>
      </c>
      <c r="B90" s="276">
        <v>38.258999999978364</v>
      </c>
      <c r="C90" s="276">
        <v>1.3980000000119794</v>
      </c>
      <c r="D90" s="276">
        <v>7.5100000000928411</v>
      </c>
      <c r="E90" s="276">
        <f t="shared" ref="E90:E91" si="197">SUM(B90:D90)</f>
        <v>47.167000000083192</v>
      </c>
      <c r="F90" s="276"/>
      <c r="G90" s="276">
        <v>34.701000000003063</v>
      </c>
      <c r="H90" s="276">
        <v>1.3990000000088987</v>
      </c>
      <c r="I90" s="276">
        <v>4.003000000025418</v>
      </c>
      <c r="J90" s="276">
        <f t="shared" ref="J90:J91" si="198">SUM(G90:I90)</f>
        <v>40.103000000037376</v>
      </c>
      <c r="K90" s="276"/>
      <c r="L90" s="276">
        <v>33.63800000010378</v>
      </c>
      <c r="M90" s="276">
        <v>1.67700000000446</v>
      </c>
      <c r="N90" s="276">
        <v>0.43500000000516592</v>
      </c>
      <c r="O90" s="276">
        <f t="shared" ref="O90:O91" si="199">SUM(L90:N90)</f>
        <v>35.75000000011341</v>
      </c>
      <c r="P90" s="276"/>
      <c r="Q90" s="276">
        <v>33.355000000167934</v>
      </c>
      <c r="R90" s="276">
        <v>1.7120000000143871</v>
      </c>
      <c r="S90" s="276">
        <v>0.5000000000144309</v>
      </c>
      <c r="T90" s="276">
        <f t="shared" ref="T90:T91" si="200">SUM(Q90:S90)</f>
        <v>35.567000000196749</v>
      </c>
      <c r="U90" s="276"/>
      <c r="V90" s="276">
        <v>31.868000000134369</v>
      </c>
      <c r="W90" s="276">
        <v>1.7120000000157987</v>
      </c>
      <c r="X90" s="276">
        <v>0.55800000001532601</v>
      </c>
      <c r="Y90" s="276">
        <f t="shared" ref="Y90:Y91" si="201">SUM(V90:X90)</f>
        <v>34.138000000165491</v>
      </c>
    </row>
    <row r="91" spans="1:25" ht="12.6">
      <c r="A91" s="236" t="s">
        <v>146</v>
      </c>
      <c r="B91" s="276">
        <f>SUM(B89:B90)</f>
        <v>42.721999999949631</v>
      </c>
      <c r="C91" s="276">
        <f t="shared" ref="C91" si="202">SUM(C89:C90)</f>
        <v>4.094000000073386</v>
      </c>
      <c r="D91" s="276">
        <f t="shared" ref="D91" si="203">SUM(D89:D90)</f>
        <v>8.0680000001003638</v>
      </c>
      <c r="E91" s="276">
        <f t="shared" si="197"/>
        <v>54.884000000123379</v>
      </c>
      <c r="F91" s="276"/>
      <c r="G91" s="276">
        <f>SUM(G89:G90)</f>
        <v>39.234999999929883</v>
      </c>
      <c r="H91" s="276">
        <f t="shared" ref="H91" si="204">SUM(H89:H90)</f>
        <v>2.5180000000168383</v>
      </c>
      <c r="I91" s="276">
        <f t="shared" ref="I91" si="205">SUM(I89:I90)</f>
        <v>4.8370000000336724</v>
      </c>
      <c r="J91" s="276">
        <f t="shared" si="198"/>
        <v>46.589999999980392</v>
      </c>
      <c r="K91" s="276"/>
      <c r="L91" s="276">
        <f>SUM(L89:L90)</f>
        <v>38.033000000061691</v>
      </c>
      <c r="M91" s="276">
        <f t="shared" ref="M91" si="206">SUM(M89:M90)</f>
        <v>2.3850000000156339</v>
      </c>
      <c r="N91" s="276">
        <f t="shared" ref="N91" si="207">SUM(N89:N90)</f>
        <v>0.9819999999961273</v>
      </c>
      <c r="O91" s="276">
        <f t="shared" si="199"/>
        <v>41.400000000073454</v>
      </c>
      <c r="P91" s="276"/>
      <c r="Q91" s="276">
        <f>SUM(Q89:Q90)</f>
        <v>37.807000000254526</v>
      </c>
      <c r="R91" s="276">
        <f t="shared" ref="R91" si="208">SUM(R89:R90)</f>
        <v>2.4160000000230966</v>
      </c>
      <c r="S91" s="276">
        <f t="shared" ref="S91" si="209">SUM(S89:S90)</f>
        <v>1.0730000000104289</v>
      </c>
      <c r="T91" s="276">
        <f t="shared" si="200"/>
        <v>41.296000000288053</v>
      </c>
      <c r="U91" s="276"/>
      <c r="V91" s="276">
        <f>SUM(V89:V90)</f>
        <v>36.239000000251529</v>
      </c>
      <c r="W91" s="276">
        <f t="shared" ref="W91" si="210">SUM(W89:W90)</f>
        <v>2.3980000000305619</v>
      </c>
      <c r="X91" s="276">
        <f t="shared" ref="X91" si="211">SUM(X89:X90)</f>
        <v>1.1720000000151085</v>
      </c>
      <c r="Y91" s="276">
        <f t="shared" si="201"/>
        <v>39.809000000297203</v>
      </c>
    </row>
    <row r="92" spans="1:25">
      <c r="C92" s="290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290"/>
      <c r="U92" s="290"/>
      <c r="V92" s="290"/>
      <c r="W92" s="290"/>
      <c r="X92" s="290"/>
      <c r="Y92" s="290"/>
    </row>
    <row r="93" spans="1:25">
      <c r="A93" s="237" t="str">
        <f>name!A12</f>
        <v>Printing and recording</v>
      </c>
      <c r="C93" s="239"/>
    </row>
    <row r="94" spans="1:25" ht="12.6">
      <c r="A94" s="236" t="s">
        <v>145</v>
      </c>
      <c r="B94" s="276">
        <v>21.333999999774569</v>
      </c>
      <c r="C94" s="276">
        <v>8.8290000001195548</v>
      </c>
      <c r="D94" s="276">
        <v>4.3480000000561212</v>
      </c>
      <c r="E94" s="276">
        <f>SUM(B94:D94)</f>
        <v>34.510999999950243</v>
      </c>
      <c r="F94" s="276"/>
      <c r="G94" s="276">
        <v>17.049999999724438</v>
      </c>
      <c r="H94" s="276">
        <v>9.2800000000851153</v>
      </c>
      <c r="I94" s="276">
        <v>0.31200000000153461</v>
      </c>
      <c r="J94" s="276">
        <f>SUM(G94:I94)</f>
        <v>26.641999999811087</v>
      </c>
      <c r="K94" s="276"/>
      <c r="L94" s="276">
        <v>15.75399999984994</v>
      </c>
      <c r="M94" s="276">
        <v>7.2230000000789794</v>
      </c>
      <c r="N94" s="276">
        <v>2.7379999999514437</v>
      </c>
      <c r="O94" s="276">
        <f>SUM(L94:N94)</f>
        <v>25.714999999880366</v>
      </c>
      <c r="P94" s="276"/>
      <c r="Q94" s="276">
        <v>14.872000000318049</v>
      </c>
      <c r="R94" s="276">
        <v>6.8510000000723581</v>
      </c>
      <c r="S94" s="276">
        <v>2.5459999999747347</v>
      </c>
      <c r="T94" s="276">
        <f>SUM(Q94:S94)</f>
        <v>24.269000000365143</v>
      </c>
      <c r="U94" s="276"/>
      <c r="V94" s="276">
        <v>13.053000000412275</v>
      </c>
      <c r="W94" s="276">
        <v>6.0700000001123104</v>
      </c>
      <c r="X94" s="276">
        <v>2.1700000000099546</v>
      </c>
      <c r="Y94" s="276">
        <f>SUM(V94:X94)</f>
        <v>21.293000000534541</v>
      </c>
    </row>
    <row r="95" spans="1:25" ht="12.6">
      <c r="A95" s="236" t="s">
        <v>144</v>
      </c>
      <c r="B95" s="276">
        <v>62.483999999766155</v>
      </c>
      <c r="C95" s="276">
        <v>1.7280000000150935</v>
      </c>
      <c r="D95" s="276">
        <v>10.06100000020564</v>
      </c>
      <c r="E95" s="276">
        <f t="shared" ref="E95:E96" si="212">SUM(B95:D95)</f>
        <v>74.272999999986894</v>
      </c>
      <c r="F95" s="276"/>
      <c r="G95" s="276">
        <v>49.068999999869121</v>
      </c>
      <c r="H95" s="276">
        <v>6.322000000046855</v>
      </c>
      <c r="I95" s="276">
        <v>3.0730000000133746</v>
      </c>
      <c r="J95" s="276">
        <f t="shared" ref="J95:J96" si="213">SUM(G95:I95)</f>
        <v>58.463999999929349</v>
      </c>
      <c r="K95" s="276"/>
      <c r="L95" s="276">
        <v>45.075999999933501</v>
      </c>
      <c r="M95" s="276">
        <v>6.5870000000248821</v>
      </c>
      <c r="N95" s="276">
        <v>3.5660000000893159</v>
      </c>
      <c r="O95" s="276">
        <f t="shared" ref="O95:O96" si="214">SUM(L95:N95)</f>
        <v>55.229000000047698</v>
      </c>
      <c r="P95" s="276"/>
      <c r="Q95" s="276">
        <v>41.063000000068179</v>
      </c>
      <c r="R95" s="276">
        <v>6.2230000000432169</v>
      </c>
      <c r="S95" s="276">
        <v>3.3940000001896524</v>
      </c>
      <c r="T95" s="276">
        <f t="shared" ref="T95:T96" si="215">SUM(Q95:S95)</f>
        <v>50.680000000301042</v>
      </c>
      <c r="U95" s="276"/>
      <c r="V95" s="276">
        <v>33.572000000044795</v>
      </c>
      <c r="W95" s="276">
        <v>5.4800000000384985</v>
      </c>
      <c r="X95" s="276">
        <v>3.0220000001489153</v>
      </c>
      <c r="Y95" s="276">
        <f t="shared" ref="Y95:Y96" si="216">SUM(V95:X95)</f>
        <v>42.074000000232211</v>
      </c>
    </row>
    <row r="96" spans="1:25" ht="12.6">
      <c r="A96" s="236" t="s">
        <v>146</v>
      </c>
      <c r="B96" s="276">
        <f>SUM(B94:B95)</f>
        <v>83.817999999540717</v>
      </c>
      <c r="C96" s="276">
        <f t="shared" ref="C96" si="217">SUM(C94:C95)</f>
        <v>10.557000000134648</v>
      </c>
      <c r="D96" s="276">
        <f t="shared" ref="D96" si="218">SUM(D94:D95)</f>
        <v>14.409000000261761</v>
      </c>
      <c r="E96" s="276">
        <f t="shared" si="212"/>
        <v>108.78399999993712</v>
      </c>
      <c r="F96" s="276"/>
      <c r="G96" s="276">
        <f>SUM(G94:G95)</f>
        <v>66.118999999593555</v>
      </c>
      <c r="H96" s="276">
        <f t="shared" ref="H96" si="219">SUM(H94:H95)</f>
        <v>15.602000000131969</v>
      </c>
      <c r="I96" s="276">
        <f t="shared" ref="I96" si="220">SUM(I94:I95)</f>
        <v>3.3850000000149092</v>
      </c>
      <c r="J96" s="276">
        <f t="shared" si="213"/>
        <v>85.105999999740433</v>
      </c>
      <c r="K96" s="276"/>
      <c r="L96" s="276">
        <f>SUM(L94:L95)</f>
        <v>60.829999999783439</v>
      </c>
      <c r="M96" s="276">
        <f t="shared" ref="M96" si="221">SUM(M94:M95)</f>
        <v>13.810000000103862</v>
      </c>
      <c r="N96" s="276">
        <f t="shared" ref="N96" si="222">SUM(N94:N95)</f>
        <v>6.3040000000407597</v>
      </c>
      <c r="O96" s="276">
        <f t="shared" si="214"/>
        <v>80.943999999928053</v>
      </c>
      <c r="P96" s="276"/>
      <c r="Q96" s="276">
        <f>SUM(Q94:Q95)</f>
        <v>55.935000000386225</v>
      </c>
      <c r="R96" s="276">
        <f t="shared" ref="R96" si="223">SUM(R94:R95)</f>
        <v>13.074000000115575</v>
      </c>
      <c r="S96" s="276">
        <f t="shared" ref="S96" si="224">SUM(S94:S95)</f>
        <v>5.9400000001643871</v>
      </c>
      <c r="T96" s="276">
        <f t="shared" si="215"/>
        <v>74.949000000666189</v>
      </c>
      <c r="U96" s="276"/>
      <c r="V96" s="276">
        <f>SUM(V94:V95)</f>
        <v>46.625000000457071</v>
      </c>
      <c r="W96" s="276">
        <f t="shared" ref="W96" si="225">SUM(W94:W95)</f>
        <v>11.55000000015081</v>
      </c>
      <c r="X96" s="276">
        <f t="shared" ref="X96" si="226">SUM(X94:X95)</f>
        <v>5.1920000001588704</v>
      </c>
      <c r="Y96" s="276">
        <f t="shared" si="216"/>
        <v>63.367000000766751</v>
      </c>
    </row>
    <row r="97" spans="1:25">
      <c r="A97" s="238"/>
      <c r="C97" s="290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90"/>
    </row>
    <row r="98" spans="1:25">
      <c r="A98" s="237" t="str">
        <f>name!A13</f>
        <v>Coke and petroleum; Chemicals, etc</v>
      </c>
      <c r="C98" s="239"/>
    </row>
    <row r="99" spans="1:25" ht="12.6">
      <c r="A99" s="236" t="s">
        <v>145</v>
      </c>
      <c r="B99" s="276">
        <v>18.675999999823773</v>
      </c>
      <c r="C99" s="276">
        <v>3.7330000000827952</v>
      </c>
      <c r="D99" s="276">
        <v>1.045000000010317</v>
      </c>
      <c r="E99" s="276">
        <f>SUM(B99:D99)</f>
        <v>23.453999999916888</v>
      </c>
      <c r="F99" s="276"/>
      <c r="G99" s="276">
        <v>20.319999999691515</v>
      </c>
      <c r="H99" s="276">
        <v>3.7480000000612161</v>
      </c>
      <c r="I99" s="276">
        <v>3.1360000000462245</v>
      </c>
      <c r="J99" s="276">
        <f>SUM(G99:I99)</f>
        <v>27.203999999798953</v>
      </c>
      <c r="K99" s="276"/>
      <c r="L99" s="276">
        <v>20.303999999765733</v>
      </c>
      <c r="M99" s="276">
        <v>4.5310000000768493</v>
      </c>
      <c r="N99" s="276">
        <v>2.8309999999858864</v>
      </c>
      <c r="O99" s="276">
        <f>SUM(L99:N99)</f>
        <v>27.665999999828465</v>
      </c>
      <c r="P99" s="276"/>
      <c r="Q99" s="276">
        <v>19.688000000370884</v>
      </c>
      <c r="R99" s="276">
        <v>4.3700000001503145</v>
      </c>
      <c r="S99" s="276">
        <v>2.703000000026615</v>
      </c>
      <c r="T99" s="276">
        <f>SUM(Q99:S99)</f>
        <v>26.761000000547813</v>
      </c>
      <c r="U99" s="276"/>
      <c r="V99" s="276">
        <v>18.916000000570591</v>
      </c>
      <c r="W99" s="276">
        <v>4.1610000001448872</v>
      </c>
      <c r="X99" s="276">
        <v>2.5300000000124663</v>
      </c>
      <c r="Y99" s="276">
        <f>SUM(V99:X99)</f>
        <v>25.607000000727947</v>
      </c>
    </row>
    <row r="100" spans="1:25" ht="12.6">
      <c r="A100" s="236" t="s">
        <v>144</v>
      </c>
      <c r="B100" s="276">
        <v>59.568999999792076</v>
      </c>
      <c r="C100" s="276">
        <v>1.2780000000082397</v>
      </c>
      <c r="D100" s="276">
        <v>3.7730000000438366</v>
      </c>
      <c r="E100" s="276">
        <f t="shared" ref="E100:E101" si="227">SUM(B100:D100)</f>
        <v>64.619999999844154</v>
      </c>
      <c r="F100" s="276"/>
      <c r="G100" s="276">
        <v>62.733999999827212</v>
      </c>
      <c r="H100" s="276">
        <v>1.2170000000062764</v>
      </c>
      <c r="I100" s="276">
        <v>6.1690000000454868</v>
      </c>
      <c r="J100" s="276">
        <f t="shared" ref="J100:J101" si="228">SUM(G100:I100)</f>
        <v>70.119999999878971</v>
      </c>
      <c r="K100" s="276"/>
      <c r="L100" s="276">
        <v>60.314999999766613</v>
      </c>
      <c r="M100" s="276">
        <v>2.1910000000068077</v>
      </c>
      <c r="N100" s="276">
        <v>4.8710000000426215</v>
      </c>
      <c r="O100" s="276">
        <f t="shared" ref="O100:O101" si="229">SUM(L100:N100)</f>
        <v>67.37699999981605</v>
      </c>
      <c r="P100" s="276"/>
      <c r="Q100" s="276">
        <v>56.086999999997495</v>
      </c>
      <c r="R100" s="276">
        <v>2.0890000000105768</v>
      </c>
      <c r="S100" s="276">
        <v>4.5940000000780437</v>
      </c>
      <c r="T100" s="276">
        <f t="shared" ref="T100:T101" si="230">SUM(Q100:S100)</f>
        <v>62.770000000086114</v>
      </c>
      <c r="U100" s="276"/>
      <c r="V100" s="276">
        <v>49.866999999965834</v>
      </c>
      <c r="W100" s="276">
        <v>1.9940000000146156</v>
      </c>
      <c r="X100" s="276">
        <v>4.2290000000463781</v>
      </c>
      <c r="Y100" s="276">
        <f t="shared" ref="Y100:Y101" si="231">SUM(V100:X100)</f>
        <v>56.090000000026826</v>
      </c>
    </row>
    <row r="101" spans="1:25" ht="12.6">
      <c r="A101" s="236" t="s">
        <v>146</v>
      </c>
      <c r="B101" s="276">
        <f>SUM(B99:B100)</f>
        <v>78.244999999615857</v>
      </c>
      <c r="C101" s="276">
        <f t="shared" ref="C101" si="232">SUM(C99:C100)</f>
        <v>5.0110000000910349</v>
      </c>
      <c r="D101" s="276">
        <f t="shared" ref="D101" si="233">SUM(D99:D100)</f>
        <v>4.8180000000541536</v>
      </c>
      <c r="E101" s="276">
        <f t="shared" si="227"/>
        <v>88.073999999761043</v>
      </c>
      <c r="F101" s="276"/>
      <c r="G101" s="276">
        <f>SUM(G99:G100)</f>
        <v>83.053999999518723</v>
      </c>
      <c r="H101" s="276">
        <f t="shared" ref="H101" si="234">SUM(H99:H100)</f>
        <v>4.9650000000674925</v>
      </c>
      <c r="I101" s="276">
        <f t="shared" ref="I101" si="235">SUM(I99:I100)</f>
        <v>9.3050000000917112</v>
      </c>
      <c r="J101" s="276">
        <f t="shared" si="228"/>
        <v>97.323999999677923</v>
      </c>
      <c r="K101" s="276"/>
      <c r="L101" s="276">
        <f>SUM(L99:L100)</f>
        <v>80.618999999532349</v>
      </c>
      <c r="M101" s="276">
        <f t="shared" ref="M101" si="236">SUM(M99:M100)</f>
        <v>6.7220000000836571</v>
      </c>
      <c r="N101" s="276">
        <f t="shared" ref="N101" si="237">SUM(N99:N100)</f>
        <v>7.7020000000285078</v>
      </c>
      <c r="O101" s="276">
        <f t="shared" si="229"/>
        <v>95.042999999644508</v>
      </c>
      <c r="P101" s="276"/>
      <c r="Q101" s="276">
        <f>SUM(Q99:Q100)</f>
        <v>75.775000000368379</v>
      </c>
      <c r="R101" s="276">
        <f t="shared" ref="R101" si="238">SUM(R99:R100)</f>
        <v>6.4590000001608914</v>
      </c>
      <c r="S101" s="276">
        <f t="shared" ref="S101" si="239">SUM(S99:S100)</f>
        <v>7.2970000001046582</v>
      </c>
      <c r="T101" s="276">
        <f t="shared" si="230"/>
        <v>89.531000000633938</v>
      </c>
      <c r="U101" s="276"/>
      <c r="V101" s="276">
        <f>SUM(V99:V100)</f>
        <v>68.783000000536418</v>
      </c>
      <c r="W101" s="276">
        <f t="shared" ref="W101" si="240">SUM(W99:W100)</f>
        <v>6.1550000001595029</v>
      </c>
      <c r="X101" s="276">
        <f t="shared" ref="X101" si="241">SUM(X99:X100)</f>
        <v>6.7590000000588439</v>
      </c>
      <c r="Y101" s="276">
        <f t="shared" si="231"/>
        <v>81.69700000075477</v>
      </c>
    </row>
    <row r="102" spans="1:25">
      <c r="C102" s="290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290"/>
      <c r="R102" s="290"/>
      <c r="S102" s="290"/>
      <c r="T102" s="290"/>
      <c r="U102" s="290"/>
      <c r="V102" s="290"/>
      <c r="W102" s="290"/>
      <c r="X102" s="290"/>
      <c r="Y102" s="290"/>
    </row>
    <row r="103" spans="1:25">
      <c r="A103" s="237" t="str">
        <f>name!A14</f>
        <v>Pharmaceuticals</v>
      </c>
      <c r="C103" s="239"/>
    </row>
    <row r="104" spans="1:25" ht="12.6">
      <c r="A104" s="236" t="s">
        <v>145</v>
      </c>
      <c r="B104" s="276">
        <v>10.404999999896535</v>
      </c>
      <c r="C104" s="276">
        <v>1.6680000000100494</v>
      </c>
      <c r="D104" s="276">
        <v>1.565000000028594</v>
      </c>
      <c r="E104" s="276">
        <f>SUM(B104:D104)</f>
        <v>13.637999999935179</v>
      </c>
      <c r="F104" s="276"/>
      <c r="G104" s="276">
        <v>12.296999999856554</v>
      </c>
      <c r="H104" s="276">
        <v>1.6010000000072093</v>
      </c>
      <c r="I104" s="276">
        <v>0.77400000001591118</v>
      </c>
      <c r="J104" s="276">
        <f>SUM(G104:I104)</f>
        <v>14.671999999879676</v>
      </c>
      <c r="K104" s="276"/>
      <c r="L104" s="276">
        <v>13.182999999911667</v>
      </c>
      <c r="M104" s="276">
        <v>1.6380000000059782</v>
      </c>
      <c r="N104" s="276">
        <v>0.77899999999374614</v>
      </c>
      <c r="O104" s="276">
        <f>SUM(L104:N104)</f>
        <v>15.599999999911391</v>
      </c>
      <c r="P104" s="276"/>
      <c r="Q104" s="276">
        <v>13.903000000146234</v>
      </c>
      <c r="R104" s="276">
        <v>1.8720000000265815</v>
      </c>
      <c r="S104" s="276">
        <v>0.89000000000901214</v>
      </c>
      <c r="T104" s="276">
        <f>SUM(Q104:S104)</f>
        <v>16.665000000181827</v>
      </c>
      <c r="U104" s="276"/>
      <c r="V104" s="276">
        <v>12.812000000279124</v>
      </c>
      <c r="W104" s="276">
        <v>2.012000000029099</v>
      </c>
      <c r="X104" s="276">
        <v>0.95200000000369467</v>
      </c>
      <c r="Y104" s="276">
        <f>SUM(V104:X104)</f>
        <v>15.776000000311917</v>
      </c>
    </row>
    <row r="105" spans="1:25" ht="12.6">
      <c r="A105" s="236" t="s">
        <v>144</v>
      </c>
      <c r="B105" s="276">
        <v>18.030999999914201</v>
      </c>
      <c r="C105" s="276">
        <v>0.87800000000786238</v>
      </c>
      <c r="D105" s="276">
        <v>1.6740000000361583</v>
      </c>
      <c r="E105" s="276">
        <f t="shared" ref="E105:E106" si="242">SUM(B105:D105)</f>
        <v>20.582999999958222</v>
      </c>
      <c r="F105" s="276"/>
      <c r="G105" s="276">
        <v>19.731999999926725</v>
      </c>
      <c r="H105" s="276">
        <v>0.83100000000475793</v>
      </c>
      <c r="I105" s="276">
        <v>3.341999999992094</v>
      </c>
      <c r="J105" s="276">
        <f t="shared" ref="J105:J106" si="243">SUM(G105:I105)</f>
        <v>23.904999999923575</v>
      </c>
      <c r="K105" s="276"/>
      <c r="L105" s="276">
        <v>21.032999999886076</v>
      </c>
      <c r="M105" s="276">
        <v>0.38300000000203271</v>
      </c>
      <c r="N105" s="276">
        <v>3.4710000000385861</v>
      </c>
      <c r="O105" s="276">
        <f t="shared" ref="O105:O106" si="244">SUM(L105:N105)</f>
        <v>24.886999999926694</v>
      </c>
      <c r="P105" s="276"/>
      <c r="Q105" s="276">
        <v>22.742999999940039</v>
      </c>
      <c r="R105" s="276">
        <v>0.468000000003225</v>
      </c>
      <c r="S105" s="276">
        <v>3.8830000001185456</v>
      </c>
      <c r="T105" s="276">
        <f t="shared" ref="T105:T106" si="245">SUM(Q105:S105)</f>
        <v>27.094000000061811</v>
      </c>
      <c r="U105" s="276"/>
      <c r="V105" s="276">
        <v>22.032999999936134</v>
      </c>
      <c r="W105" s="276">
        <v>0.55400000000453709</v>
      </c>
      <c r="X105" s="276">
        <v>4.0530000001038777</v>
      </c>
      <c r="Y105" s="276">
        <f t="shared" ref="Y105:Y106" si="246">SUM(V105:X105)</f>
        <v>26.640000000044552</v>
      </c>
    </row>
    <row r="106" spans="1:25" ht="12.6">
      <c r="A106" s="236" t="s">
        <v>146</v>
      </c>
      <c r="B106" s="276">
        <f>SUM(B104:B105)</f>
        <v>28.435999999810736</v>
      </c>
      <c r="C106" s="276">
        <f t="shared" ref="C106" si="247">SUM(C104:C105)</f>
        <v>2.5460000000179117</v>
      </c>
      <c r="D106" s="276">
        <f t="shared" ref="D106" si="248">SUM(D104:D105)</f>
        <v>3.2390000000647525</v>
      </c>
      <c r="E106" s="276">
        <f t="shared" si="242"/>
        <v>34.220999999893401</v>
      </c>
      <c r="F106" s="276"/>
      <c r="G106" s="276">
        <f>SUM(G104:G105)</f>
        <v>32.028999999783281</v>
      </c>
      <c r="H106" s="276">
        <f t="shared" ref="H106" si="249">SUM(H104:H105)</f>
        <v>2.4320000000119673</v>
      </c>
      <c r="I106" s="276">
        <f t="shared" ref="I106" si="250">SUM(I104:I105)</f>
        <v>4.1160000000080048</v>
      </c>
      <c r="J106" s="276">
        <f t="shared" si="243"/>
        <v>38.576999999803256</v>
      </c>
      <c r="K106" s="276"/>
      <c r="L106" s="276">
        <f>SUM(L104:L105)</f>
        <v>34.215999999797745</v>
      </c>
      <c r="M106" s="276">
        <f t="shared" ref="M106" si="251">SUM(M104:M105)</f>
        <v>2.0210000000080108</v>
      </c>
      <c r="N106" s="276">
        <f t="shared" ref="N106" si="252">SUM(N104:N105)</f>
        <v>4.2500000000323324</v>
      </c>
      <c r="O106" s="276">
        <f t="shared" si="244"/>
        <v>40.486999999838083</v>
      </c>
      <c r="P106" s="276"/>
      <c r="Q106" s="276">
        <f>SUM(Q104:Q105)</f>
        <v>36.646000000086275</v>
      </c>
      <c r="R106" s="276">
        <f t="shared" ref="R106" si="253">SUM(R104:R105)</f>
        <v>2.3400000000298067</v>
      </c>
      <c r="S106" s="276">
        <f t="shared" ref="S106" si="254">SUM(S104:S105)</f>
        <v>4.7730000001275581</v>
      </c>
      <c r="T106" s="276">
        <f t="shared" si="245"/>
        <v>43.759000000243638</v>
      </c>
      <c r="U106" s="276"/>
      <c r="V106" s="276">
        <f>SUM(V104:V105)</f>
        <v>34.845000000215258</v>
      </c>
      <c r="W106" s="276">
        <f t="shared" ref="W106" si="255">SUM(W104:W105)</f>
        <v>2.566000000033636</v>
      </c>
      <c r="X106" s="276">
        <f t="shared" ref="X106" si="256">SUM(X104:X105)</f>
        <v>5.0050000001075725</v>
      </c>
      <c r="Y106" s="276">
        <f t="shared" si="246"/>
        <v>42.416000000356462</v>
      </c>
    </row>
    <row r="107" spans="1:25">
      <c r="C107" s="290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290"/>
      <c r="R107" s="290"/>
      <c r="S107" s="290"/>
      <c r="T107" s="290"/>
      <c r="U107" s="290"/>
      <c r="V107" s="290"/>
      <c r="W107" s="290"/>
      <c r="X107" s="290"/>
      <c r="Y107" s="290"/>
    </row>
    <row r="108" spans="1:25">
      <c r="A108" s="237" t="str">
        <f>name!A15</f>
        <v>Rubber and plastic</v>
      </c>
      <c r="C108" s="239"/>
    </row>
    <row r="109" spans="1:25" ht="12.6">
      <c r="A109" s="236" t="s">
        <v>145</v>
      </c>
      <c r="B109" s="276">
        <v>21.946999999843467</v>
      </c>
      <c r="C109" s="276">
        <v>6.830000000142177</v>
      </c>
      <c r="D109" s="276">
        <v>2.8040000000484304</v>
      </c>
      <c r="E109" s="276">
        <f>SUM(B109:D109)</f>
        <v>31.581000000034074</v>
      </c>
      <c r="F109" s="276"/>
      <c r="G109" s="276">
        <v>22.036999999667341</v>
      </c>
      <c r="H109" s="276">
        <v>5.9910000000792278</v>
      </c>
      <c r="I109" s="276">
        <v>0.25300000000455741</v>
      </c>
      <c r="J109" s="276">
        <f>SUM(G109:I109)</f>
        <v>28.280999999751128</v>
      </c>
      <c r="K109" s="276"/>
      <c r="L109" s="276">
        <v>24.614999999752609</v>
      </c>
      <c r="M109" s="276">
        <v>7.4580000000896947</v>
      </c>
      <c r="N109" s="276">
        <v>1.8249999999815529</v>
      </c>
      <c r="O109" s="276">
        <f>SUM(L109:N109)</f>
        <v>33.897999999823853</v>
      </c>
      <c r="P109" s="276"/>
      <c r="Q109" s="276">
        <v>23.923000000571399</v>
      </c>
      <c r="R109" s="276">
        <v>7.5080000000961471</v>
      </c>
      <c r="S109" s="276">
        <v>1.7940000000081604</v>
      </c>
      <c r="T109" s="276">
        <f>SUM(Q109:S109)</f>
        <v>33.225000000675706</v>
      </c>
      <c r="U109" s="276"/>
      <c r="V109" s="276">
        <v>20.654000000652708</v>
      </c>
      <c r="W109" s="276">
        <v>7.0420000001275085</v>
      </c>
      <c r="X109" s="276">
        <v>1.5520000000177592</v>
      </c>
      <c r="Y109" s="276">
        <f>SUM(V109:X109)</f>
        <v>29.248000000797976</v>
      </c>
    </row>
    <row r="110" spans="1:25" ht="12.6">
      <c r="A110" s="236" t="s">
        <v>144</v>
      </c>
      <c r="B110" s="276">
        <v>112.28899999997584</v>
      </c>
      <c r="C110" s="276">
        <v>2.5210000000416604</v>
      </c>
      <c r="D110" s="276">
        <v>10.162999999954328</v>
      </c>
      <c r="E110" s="276">
        <f t="shared" ref="E110:E111" si="257">SUM(B110:D110)</f>
        <v>124.97299999997183</v>
      </c>
      <c r="F110" s="276"/>
      <c r="G110" s="276">
        <v>110.1049999999039</v>
      </c>
      <c r="H110" s="276">
        <v>1.9400000000152506</v>
      </c>
      <c r="I110" s="276">
        <v>7.1279999999984449</v>
      </c>
      <c r="J110" s="276">
        <f t="shared" ref="J110:J111" si="258">SUM(G110:I110)</f>
        <v>119.17299999991759</v>
      </c>
      <c r="K110" s="276"/>
      <c r="L110" s="276">
        <v>112.89599999999493</v>
      </c>
      <c r="M110" s="276">
        <v>4.345000000005415</v>
      </c>
      <c r="N110" s="276">
        <v>5.8379999999857848</v>
      </c>
      <c r="O110" s="276">
        <f t="shared" ref="O110:O111" si="259">SUM(L110:N110)</f>
        <v>123.07899999998612</v>
      </c>
      <c r="P110" s="276"/>
      <c r="Q110" s="276">
        <v>111.06100000020716</v>
      </c>
      <c r="R110" s="276">
        <v>4.3820000000398087</v>
      </c>
      <c r="S110" s="276">
        <v>5.8229999999797482</v>
      </c>
      <c r="T110" s="276">
        <f t="shared" ref="T110:T111" si="260">SUM(Q110:S110)</f>
        <v>121.26600000022671</v>
      </c>
      <c r="U110" s="276"/>
      <c r="V110" s="276">
        <v>98.91300000018667</v>
      </c>
      <c r="W110" s="276">
        <v>4.0780000000421133</v>
      </c>
      <c r="X110" s="276">
        <v>5.4280000000099715</v>
      </c>
      <c r="Y110" s="276">
        <f t="shared" ref="Y110:Y111" si="261">SUM(V110:X110)</f>
        <v>108.41900000023875</v>
      </c>
    </row>
    <row r="111" spans="1:25" ht="12.6">
      <c r="A111" s="236" t="s">
        <v>146</v>
      </c>
      <c r="B111" s="276">
        <f>SUM(B109:B110)</f>
        <v>134.23599999981931</v>
      </c>
      <c r="C111" s="276">
        <f t="shared" ref="C111" si="262">SUM(C109:C110)</f>
        <v>9.3510000001838378</v>
      </c>
      <c r="D111" s="276">
        <f t="shared" ref="D111" si="263">SUM(D109:D110)</f>
        <v>12.967000000002759</v>
      </c>
      <c r="E111" s="276">
        <f t="shared" si="257"/>
        <v>156.55400000000591</v>
      </c>
      <c r="F111" s="276"/>
      <c r="G111" s="276">
        <f>SUM(G109:G110)</f>
        <v>132.14199999957123</v>
      </c>
      <c r="H111" s="276">
        <f t="shared" ref="H111" si="264">SUM(H109:H110)</f>
        <v>7.9310000000944783</v>
      </c>
      <c r="I111" s="276">
        <f t="shared" ref="I111" si="265">SUM(I109:I110)</f>
        <v>7.3810000000030023</v>
      </c>
      <c r="J111" s="276">
        <f t="shared" si="258"/>
        <v>147.45399999966872</v>
      </c>
      <c r="K111" s="276"/>
      <c r="L111" s="276">
        <f>SUM(L109:L110)</f>
        <v>137.51099999974753</v>
      </c>
      <c r="M111" s="276">
        <f t="shared" ref="M111" si="266">SUM(M109:M110)</f>
        <v>11.803000000095111</v>
      </c>
      <c r="N111" s="276">
        <f t="shared" ref="N111" si="267">SUM(N109:N110)</f>
        <v>7.6629999999673375</v>
      </c>
      <c r="O111" s="276">
        <f t="shared" si="259"/>
        <v>156.97699999980995</v>
      </c>
      <c r="P111" s="276"/>
      <c r="Q111" s="276">
        <f>SUM(Q109:Q110)</f>
        <v>134.98400000077856</v>
      </c>
      <c r="R111" s="276">
        <f t="shared" ref="R111" si="268">SUM(R109:R110)</f>
        <v>11.890000000135956</v>
      </c>
      <c r="S111" s="276">
        <f t="shared" ref="S111" si="269">SUM(S109:S110)</f>
        <v>7.6169999999879083</v>
      </c>
      <c r="T111" s="276">
        <f t="shared" si="260"/>
        <v>154.49100000090243</v>
      </c>
      <c r="U111" s="276"/>
      <c r="V111" s="276">
        <f>SUM(V109:V110)</f>
        <v>119.56700000083939</v>
      </c>
      <c r="W111" s="276">
        <f t="shared" ref="W111" si="270">SUM(W109:W110)</f>
        <v>11.120000000169622</v>
      </c>
      <c r="X111" s="276">
        <f t="shared" ref="X111" si="271">SUM(X109:X110)</f>
        <v>6.9800000000277311</v>
      </c>
      <c r="Y111" s="276">
        <f t="shared" si="261"/>
        <v>137.66700000103674</v>
      </c>
    </row>
    <row r="112" spans="1:25">
      <c r="C112" s="290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290"/>
      <c r="R112" s="290"/>
      <c r="S112" s="290"/>
      <c r="T112" s="290"/>
      <c r="U112" s="290"/>
      <c r="V112" s="290"/>
      <c r="W112" s="290"/>
      <c r="X112" s="290"/>
      <c r="Y112" s="290"/>
    </row>
    <row r="113" spans="1:25">
      <c r="A113" s="237" t="str">
        <f>name!A16</f>
        <v>Other non-metallic</v>
      </c>
      <c r="C113" s="239"/>
    </row>
    <row r="114" spans="1:25" ht="12.6">
      <c r="A114" s="236" t="s">
        <v>145</v>
      </c>
      <c r="B114" s="276">
        <v>10.484999999907973</v>
      </c>
      <c r="C114" s="276">
        <v>3.0260000000902103</v>
      </c>
      <c r="D114" s="276">
        <v>1.1470000000223728</v>
      </c>
      <c r="E114" s="276">
        <f>SUM(B114:D114)</f>
        <v>14.658000000020557</v>
      </c>
      <c r="F114" s="276"/>
      <c r="G114" s="276">
        <v>11.863999999847152</v>
      </c>
      <c r="H114" s="276">
        <v>2.9250000000629672</v>
      </c>
      <c r="I114" s="276">
        <v>2.7340000000502522</v>
      </c>
      <c r="J114" s="276">
        <f>SUM(G114:I114)</f>
        <v>17.522999999960373</v>
      </c>
      <c r="K114" s="276"/>
      <c r="L114" s="276">
        <v>13.077999999884499</v>
      </c>
      <c r="M114" s="276">
        <v>3.5770000000725433</v>
      </c>
      <c r="N114" s="276">
        <v>0.78699999998709247</v>
      </c>
      <c r="O114" s="276">
        <f>SUM(L114:N114)</f>
        <v>17.441999999944134</v>
      </c>
      <c r="P114" s="276"/>
      <c r="Q114" s="276">
        <v>12.61500000031781</v>
      </c>
      <c r="R114" s="276">
        <v>3.5780000001001793</v>
      </c>
      <c r="S114" s="276">
        <v>0.77800000000051439</v>
      </c>
      <c r="T114" s="276">
        <f>SUM(Q114:S114)</f>
        <v>16.971000000418503</v>
      </c>
      <c r="U114" s="276"/>
      <c r="V114" s="276">
        <v>10.790000000328501</v>
      </c>
      <c r="W114" s="276">
        <v>3.3330000001012965</v>
      </c>
      <c r="X114" s="276">
        <v>0.67200000000845739</v>
      </c>
      <c r="Y114" s="276">
        <f>SUM(V114:X114)</f>
        <v>14.795000000438256</v>
      </c>
    </row>
    <row r="115" spans="1:25" ht="12.6">
      <c r="A115" s="236" t="s">
        <v>144</v>
      </c>
      <c r="B115" s="276">
        <v>53.052999999899775</v>
      </c>
      <c r="C115" s="276">
        <v>0.96499999999720887</v>
      </c>
      <c r="D115" s="276">
        <v>5.1379999999521955</v>
      </c>
      <c r="E115" s="276">
        <f t="shared" ref="E115:E116" si="272">SUM(B115:D115)</f>
        <v>59.155999999849179</v>
      </c>
      <c r="F115" s="276"/>
      <c r="G115" s="276">
        <v>58.583999999935187</v>
      </c>
      <c r="H115" s="276">
        <v>1.2929999999990078</v>
      </c>
      <c r="I115" s="276">
        <v>4.0830000000326052</v>
      </c>
      <c r="J115" s="276">
        <f t="shared" ref="J115:J116" si="273">SUM(G115:I115)</f>
        <v>63.959999999966797</v>
      </c>
      <c r="K115" s="276"/>
      <c r="L115" s="276">
        <v>60.441000000029398</v>
      </c>
      <c r="M115" s="276">
        <v>2.918000000002976</v>
      </c>
      <c r="N115" s="276">
        <v>1.6749999999795397</v>
      </c>
      <c r="O115" s="276">
        <f t="shared" ref="O115:O116" si="274">SUM(L115:N115)</f>
        <v>65.034000000011915</v>
      </c>
      <c r="P115" s="276"/>
      <c r="Q115" s="276">
        <v>59.284000000026502</v>
      </c>
      <c r="R115" s="276">
        <v>2.8960000000030623</v>
      </c>
      <c r="S115" s="276">
        <v>1.9219999999350312</v>
      </c>
      <c r="T115" s="276">
        <f t="shared" ref="T115:T116" si="275">SUM(Q115:S115)</f>
        <v>64.10199999996459</v>
      </c>
      <c r="U115" s="276"/>
      <c r="V115" s="276">
        <v>52.606000000044759</v>
      </c>
      <c r="W115" s="276">
        <v>2.6500000000033612</v>
      </c>
      <c r="X115" s="276">
        <v>2.0459999999392999</v>
      </c>
      <c r="Y115" s="276">
        <f t="shared" ref="Y115:Y116" si="276">SUM(V115:X115)</f>
        <v>57.301999999987416</v>
      </c>
    </row>
    <row r="116" spans="1:25" ht="12.6">
      <c r="A116" s="236" t="s">
        <v>146</v>
      </c>
      <c r="B116" s="276">
        <f>SUM(B114:B115)</f>
        <v>63.537999999807752</v>
      </c>
      <c r="C116" s="276">
        <f t="shared" ref="C116" si="277">SUM(C114:C115)</f>
        <v>3.9910000000874191</v>
      </c>
      <c r="D116" s="276">
        <f t="shared" ref="D116" si="278">SUM(D114:D115)</f>
        <v>6.284999999974568</v>
      </c>
      <c r="E116" s="276">
        <f t="shared" si="272"/>
        <v>73.81399999986975</v>
      </c>
      <c r="F116" s="276"/>
      <c r="G116" s="276">
        <f>SUM(G114:G115)</f>
        <v>70.44799999978234</v>
      </c>
      <c r="H116" s="276">
        <f t="shared" ref="H116" si="279">SUM(H114:H115)</f>
        <v>4.2180000000619753</v>
      </c>
      <c r="I116" s="276">
        <f t="shared" ref="I116" si="280">SUM(I114:I115)</f>
        <v>6.8170000000828574</v>
      </c>
      <c r="J116" s="276">
        <f t="shared" si="273"/>
        <v>81.482999999927173</v>
      </c>
      <c r="K116" s="276"/>
      <c r="L116" s="276">
        <f>SUM(L114:L115)</f>
        <v>73.518999999913902</v>
      </c>
      <c r="M116" s="276">
        <f t="shared" ref="M116" si="281">SUM(M114:M115)</f>
        <v>6.4950000000755193</v>
      </c>
      <c r="N116" s="276">
        <f t="shared" ref="N116" si="282">SUM(N114:N115)</f>
        <v>2.4619999999666322</v>
      </c>
      <c r="O116" s="276">
        <f t="shared" si="274"/>
        <v>82.475999999956059</v>
      </c>
      <c r="P116" s="276"/>
      <c r="Q116" s="276">
        <f>SUM(Q114:Q115)</f>
        <v>71.899000000344316</v>
      </c>
      <c r="R116" s="276">
        <f t="shared" ref="R116" si="283">SUM(R114:R115)</f>
        <v>6.4740000001032421</v>
      </c>
      <c r="S116" s="276">
        <f t="shared" ref="S116" si="284">SUM(S114:S115)</f>
        <v>2.6999999999355455</v>
      </c>
      <c r="T116" s="276">
        <f t="shared" si="275"/>
        <v>81.073000000383104</v>
      </c>
      <c r="U116" s="276"/>
      <c r="V116" s="276">
        <f>SUM(V114:V115)</f>
        <v>63.396000000373263</v>
      </c>
      <c r="W116" s="276">
        <f t="shared" ref="W116" si="285">SUM(W114:W115)</f>
        <v>5.9830000001046582</v>
      </c>
      <c r="X116" s="276">
        <f t="shared" ref="X116" si="286">SUM(X114:X115)</f>
        <v>2.7179999999477573</v>
      </c>
      <c r="Y116" s="276">
        <f t="shared" si="276"/>
        <v>72.09700000042568</v>
      </c>
    </row>
    <row r="117" spans="1:25"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290"/>
      <c r="U117" s="290"/>
      <c r="V117" s="290"/>
      <c r="W117" s="290"/>
      <c r="X117" s="290"/>
      <c r="Y117" s="290"/>
    </row>
    <row r="118" spans="1:25">
      <c r="A118" s="237" t="str">
        <f>name!A17</f>
        <v>Basic metals</v>
      </c>
      <c r="C118" s="239"/>
    </row>
    <row r="119" spans="1:25" ht="12.6">
      <c r="A119" s="236" t="s">
        <v>145</v>
      </c>
      <c r="B119" s="276">
        <v>4.5969999999673963</v>
      </c>
      <c r="C119" s="276">
        <v>1.2380000000216738</v>
      </c>
      <c r="D119" s="276">
        <v>7.300000000054703E-2</v>
      </c>
      <c r="E119" s="276">
        <f>SUM(B119:D119)</f>
        <v>5.9079999999896167</v>
      </c>
      <c r="F119" s="276"/>
      <c r="G119" s="276">
        <v>4.5309999999516757</v>
      </c>
      <c r="H119" s="276">
        <v>1.1310000000098608</v>
      </c>
      <c r="I119" s="276">
        <v>0.43100000000249034</v>
      </c>
      <c r="J119" s="276">
        <f>SUM(G119:I119)</f>
        <v>6.092999999964027</v>
      </c>
      <c r="K119" s="276"/>
      <c r="L119" s="276">
        <v>4.2789999999592414</v>
      </c>
      <c r="M119" s="276">
        <v>1.1370000000068414</v>
      </c>
      <c r="N119" s="276">
        <v>0.23399999999789867</v>
      </c>
      <c r="O119" s="276">
        <f>SUM(L119:N119)</f>
        <v>5.6499999999639812</v>
      </c>
      <c r="P119" s="276"/>
      <c r="Q119" s="276">
        <v>4.3220000000868435</v>
      </c>
      <c r="R119" s="276">
        <v>1.1220000000120713</v>
      </c>
      <c r="S119" s="276">
        <v>0.23399999999928917</v>
      </c>
      <c r="T119" s="276">
        <f>SUM(Q119:S119)</f>
        <v>5.678000000098204</v>
      </c>
      <c r="U119" s="276"/>
      <c r="V119" s="276">
        <v>4.048000000110318</v>
      </c>
      <c r="W119" s="276">
        <v>1.0080000000183018</v>
      </c>
      <c r="X119" s="276">
        <v>0.21900000000244915</v>
      </c>
      <c r="Y119" s="276">
        <f>SUM(V119:X119)</f>
        <v>5.2750000001310688</v>
      </c>
    </row>
    <row r="120" spans="1:25" ht="12.6">
      <c r="A120" s="236" t="s">
        <v>144</v>
      </c>
      <c r="B120" s="276">
        <v>44.293999999926662</v>
      </c>
      <c r="C120" s="276">
        <v>1.3310000000104099</v>
      </c>
      <c r="D120" s="276">
        <v>1.8119999999966316</v>
      </c>
      <c r="E120" s="276">
        <f t="shared" ref="E120:E121" si="287">SUM(B120:D120)</f>
        <v>47.436999999933704</v>
      </c>
      <c r="F120" s="276"/>
      <c r="G120" s="276">
        <v>47.33199999989084</v>
      </c>
      <c r="H120" s="276">
        <v>1.3610000000067737</v>
      </c>
      <c r="I120" s="276">
        <v>2.5219999999978544</v>
      </c>
      <c r="J120" s="276">
        <f t="shared" ref="J120:J121" si="288">SUM(G120:I120)</f>
        <v>51.214999999895468</v>
      </c>
      <c r="K120" s="276"/>
      <c r="L120" s="276">
        <v>40.286999999944641</v>
      </c>
      <c r="M120" s="276">
        <v>1.7149999999991956</v>
      </c>
      <c r="N120" s="276">
        <v>0.56699999999950057</v>
      </c>
      <c r="O120" s="276">
        <f t="shared" ref="O120:O121" si="289">SUM(L120:N120)</f>
        <v>42.568999999943337</v>
      </c>
      <c r="P120" s="276"/>
      <c r="Q120" s="276">
        <v>38.999999999985704</v>
      </c>
      <c r="R120" s="276">
        <v>1.6570000000075618</v>
      </c>
      <c r="S120" s="276">
        <v>0.59100000000146213</v>
      </c>
      <c r="T120" s="276">
        <f t="shared" ref="T120:T121" si="290">SUM(Q120:S120)</f>
        <v>41.247999999994732</v>
      </c>
      <c r="U120" s="276"/>
      <c r="V120" s="276">
        <v>33.973999999974431</v>
      </c>
      <c r="W120" s="276">
        <v>1.4240000000074819</v>
      </c>
      <c r="X120" s="276">
        <v>0.59200000000075037</v>
      </c>
      <c r="Y120" s="276">
        <f t="shared" ref="Y120:Y121" si="291">SUM(V120:X120)</f>
        <v>35.989999999982665</v>
      </c>
    </row>
    <row r="121" spans="1:25" ht="12.6">
      <c r="A121" s="236" t="s">
        <v>146</v>
      </c>
      <c r="B121" s="276">
        <f>SUM(B119:B120)</f>
        <v>48.890999999894056</v>
      </c>
      <c r="C121" s="276">
        <f t="shared" ref="C121" si="292">SUM(C119:C120)</f>
        <v>2.5690000000320836</v>
      </c>
      <c r="D121" s="276">
        <f t="shared" ref="D121" si="293">SUM(D119:D120)</f>
        <v>1.8849999999971787</v>
      </c>
      <c r="E121" s="276">
        <f t="shared" si="287"/>
        <v>53.344999999923317</v>
      </c>
      <c r="F121" s="276"/>
      <c r="G121" s="276">
        <f>SUM(G119:G120)</f>
        <v>51.862999999842515</v>
      </c>
      <c r="H121" s="276">
        <f t="shared" ref="H121" si="294">SUM(H119:H120)</f>
        <v>2.4920000000166347</v>
      </c>
      <c r="I121" s="276">
        <f t="shared" ref="I121" si="295">SUM(I119:I120)</f>
        <v>2.9530000000003449</v>
      </c>
      <c r="J121" s="276">
        <f t="shared" si="288"/>
        <v>57.30799999985949</v>
      </c>
      <c r="K121" s="276"/>
      <c r="L121" s="276">
        <f>SUM(L119:L120)</f>
        <v>44.56599999990388</v>
      </c>
      <c r="M121" s="276">
        <f t="shared" ref="M121" si="296">SUM(M119:M120)</f>
        <v>2.8520000000060373</v>
      </c>
      <c r="N121" s="276">
        <f t="shared" ref="N121" si="297">SUM(N119:N120)</f>
        <v>0.80099999999739924</v>
      </c>
      <c r="O121" s="276">
        <f t="shared" si="289"/>
        <v>48.218999999907318</v>
      </c>
      <c r="P121" s="276"/>
      <c r="Q121" s="276">
        <f>SUM(Q119:Q120)</f>
        <v>43.322000000072549</v>
      </c>
      <c r="R121" s="276">
        <f t="shared" ref="R121" si="298">SUM(R119:R120)</f>
        <v>2.7790000000196331</v>
      </c>
      <c r="S121" s="276">
        <f t="shared" ref="S121" si="299">SUM(S119:S120)</f>
        <v>0.82500000000075135</v>
      </c>
      <c r="T121" s="276">
        <f t="shared" si="290"/>
        <v>46.926000000092934</v>
      </c>
      <c r="U121" s="276"/>
      <c r="V121" s="276">
        <f>SUM(V119:V120)</f>
        <v>38.022000000084752</v>
      </c>
      <c r="W121" s="276">
        <f t="shared" ref="W121" si="300">SUM(W119:W120)</f>
        <v>2.4320000000257838</v>
      </c>
      <c r="X121" s="276">
        <f t="shared" ref="X121" si="301">SUM(X119:X120)</f>
        <v>0.81100000000319949</v>
      </c>
      <c r="Y121" s="276">
        <f t="shared" si="291"/>
        <v>41.26500000011373</v>
      </c>
    </row>
    <row r="122" spans="1:25">
      <c r="C122" s="290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290"/>
      <c r="R122" s="290"/>
      <c r="S122" s="290"/>
      <c r="T122" s="290"/>
      <c r="U122" s="290"/>
      <c r="V122" s="290"/>
      <c r="W122" s="290"/>
      <c r="X122" s="290"/>
      <c r="Y122" s="290"/>
    </row>
    <row r="123" spans="1:25">
      <c r="A123" s="237" t="str">
        <f>name!A18</f>
        <v>Metal products</v>
      </c>
      <c r="C123" s="239"/>
    </row>
    <row r="124" spans="1:25" ht="12.6">
      <c r="A124" s="236" t="s">
        <v>145</v>
      </c>
      <c r="B124" s="276">
        <v>28.879999999759811</v>
      </c>
      <c r="C124" s="276">
        <v>13.68300000020197</v>
      </c>
      <c r="D124" s="276">
        <v>0.7900000000079459</v>
      </c>
      <c r="E124" s="276">
        <f>SUM(B124:D124)</f>
        <v>43.352999999969725</v>
      </c>
      <c r="F124" s="276"/>
      <c r="G124" s="276">
        <v>26.484999999596464</v>
      </c>
      <c r="H124" s="276">
        <v>12.158000000130235</v>
      </c>
      <c r="I124" s="276">
        <v>3.6990000000319507</v>
      </c>
      <c r="J124" s="276">
        <f>SUM(G124:I124)</f>
        <v>42.341999999758649</v>
      </c>
      <c r="K124" s="276"/>
      <c r="L124" s="276">
        <v>24.824999999737482</v>
      </c>
      <c r="M124" s="276">
        <v>12.667000000139023</v>
      </c>
      <c r="N124" s="276">
        <v>1.8289999999777349</v>
      </c>
      <c r="O124" s="276">
        <f>SUM(L124:N124)</f>
        <v>39.320999999854237</v>
      </c>
      <c r="P124" s="276"/>
      <c r="Q124" s="276">
        <v>24.985000000618022</v>
      </c>
      <c r="R124" s="276">
        <v>12.474000000163999</v>
      </c>
      <c r="S124" s="276">
        <v>1.8429999999954292</v>
      </c>
      <c r="T124" s="276">
        <f>SUM(Q124:S124)</f>
        <v>39.302000000777447</v>
      </c>
      <c r="U124" s="276"/>
      <c r="V124" s="276">
        <v>23.405000000805519</v>
      </c>
      <c r="W124" s="276">
        <v>11.186000000202133</v>
      </c>
      <c r="X124" s="276">
        <v>1.7250000000084567</v>
      </c>
      <c r="Y124" s="276">
        <f>SUM(V124:X124)</f>
        <v>36.316000001016107</v>
      </c>
    </row>
    <row r="125" spans="1:25" ht="12.6">
      <c r="A125" s="236" t="s">
        <v>144</v>
      </c>
      <c r="B125" s="276">
        <v>217.22599999959323</v>
      </c>
      <c r="C125" s="276">
        <v>8.9440000000630189</v>
      </c>
      <c r="D125" s="276">
        <v>10.18399999997999</v>
      </c>
      <c r="E125" s="276">
        <f t="shared" ref="E125:E126" si="302">SUM(B125:D125)</f>
        <v>236.35399999963624</v>
      </c>
      <c r="F125" s="276"/>
      <c r="G125" s="276">
        <v>208.14199999953871</v>
      </c>
      <c r="H125" s="276">
        <v>8.0810000000152691</v>
      </c>
      <c r="I125" s="276">
        <v>12.235000000160163</v>
      </c>
      <c r="J125" s="276">
        <f t="shared" ref="J125:J126" si="303">SUM(G125:I125)</f>
        <v>228.45799999971416</v>
      </c>
      <c r="K125" s="276"/>
      <c r="L125" s="276">
        <v>180.05599999966606</v>
      </c>
      <c r="M125" s="276">
        <v>10.101000000005657</v>
      </c>
      <c r="N125" s="276">
        <v>7.8809999999510119</v>
      </c>
      <c r="O125" s="276">
        <f t="shared" ref="O125:O126" si="304">SUM(L125:N125)</f>
        <v>198.03799999962271</v>
      </c>
      <c r="P125" s="276"/>
      <c r="Q125" s="276">
        <v>174.09700000013319</v>
      </c>
      <c r="R125" s="276">
        <v>9.7320000000261224</v>
      </c>
      <c r="S125" s="276">
        <v>7.3019999998149547</v>
      </c>
      <c r="T125" s="276">
        <f t="shared" ref="T125:T126" si="305">SUM(Q125:S125)</f>
        <v>191.13099999997428</v>
      </c>
      <c r="U125" s="276"/>
      <c r="V125" s="276">
        <v>151.71800000012232</v>
      </c>
      <c r="W125" s="276">
        <v>8.3660000000380297</v>
      </c>
      <c r="X125" s="276">
        <v>5.8179999998854104</v>
      </c>
      <c r="Y125" s="276">
        <f t="shared" ref="Y125:Y126" si="306">SUM(V125:X125)</f>
        <v>165.90200000004577</v>
      </c>
    </row>
    <row r="126" spans="1:25" ht="12.6">
      <c r="A126" s="236" t="s">
        <v>146</v>
      </c>
      <c r="B126" s="276">
        <f>SUM(B124:B125)</f>
        <v>246.10599999935303</v>
      </c>
      <c r="C126" s="276">
        <f t="shared" ref="C126" si="307">SUM(C124:C125)</f>
        <v>22.627000000264989</v>
      </c>
      <c r="D126" s="276">
        <f t="shared" ref="D126" si="308">SUM(D124:D125)</f>
        <v>10.973999999987937</v>
      </c>
      <c r="E126" s="276">
        <f t="shared" si="302"/>
        <v>279.70699999960596</v>
      </c>
      <c r="F126" s="276"/>
      <c r="G126" s="276">
        <f>SUM(G124:G125)</f>
        <v>234.62699999913517</v>
      </c>
      <c r="H126" s="276">
        <f t="shared" ref="H126" si="309">SUM(H124:H125)</f>
        <v>20.239000000145502</v>
      </c>
      <c r="I126" s="276">
        <f t="shared" ref="I126" si="310">SUM(I124:I125)</f>
        <v>15.934000000192114</v>
      </c>
      <c r="J126" s="276">
        <f t="shared" si="303"/>
        <v>270.79999999947279</v>
      </c>
      <c r="K126" s="276"/>
      <c r="L126" s="276">
        <f>SUM(L124:L125)</f>
        <v>204.88099999940354</v>
      </c>
      <c r="M126" s="276">
        <f t="shared" ref="M126" si="311">SUM(M124:M125)</f>
        <v>22.768000000144681</v>
      </c>
      <c r="N126" s="276">
        <f t="shared" ref="N126" si="312">SUM(N124:N125)</f>
        <v>9.7099999999287476</v>
      </c>
      <c r="O126" s="276">
        <f t="shared" si="304"/>
        <v>237.35899999947696</v>
      </c>
      <c r="P126" s="276"/>
      <c r="Q126" s="276">
        <f>SUM(Q124:Q125)</f>
        <v>199.08200000075121</v>
      </c>
      <c r="R126" s="276">
        <f t="shared" ref="R126" si="313">SUM(R124:R125)</f>
        <v>22.206000000190123</v>
      </c>
      <c r="S126" s="276">
        <f t="shared" ref="S126" si="314">SUM(S124:S125)</f>
        <v>9.1449999998103841</v>
      </c>
      <c r="T126" s="276">
        <f t="shared" si="305"/>
        <v>230.43300000075172</v>
      </c>
      <c r="U126" s="276"/>
      <c r="V126" s="276">
        <f>SUM(V124:V125)</f>
        <v>175.12300000092785</v>
      </c>
      <c r="W126" s="276">
        <f t="shared" ref="W126" si="315">SUM(W124:W125)</f>
        <v>19.552000000240163</v>
      </c>
      <c r="X126" s="276">
        <f t="shared" ref="X126" si="316">SUM(X124:X125)</f>
        <v>7.5429999998938673</v>
      </c>
      <c r="Y126" s="276">
        <f t="shared" si="306"/>
        <v>202.21800000106188</v>
      </c>
    </row>
    <row r="127" spans="1:25">
      <c r="C127" s="290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290"/>
      <c r="R127" s="290"/>
      <c r="S127" s="290"/>
      <c r="T127" s="290"/>
      <c r="U127" s="290"/>
      <c r="V127" s="290"/>
      <c r="W127" s="290"/>
      <c r="X127" s="290"/>
      <c r="Y127" s="290"/>
    </row>
    <row r="128" spans="1:25">
      <c r="A128" s="237" t="str">
        <f>name!A22</f>
        <v>Motor vehicles, etc</v>
      </c>
      <c r="C128" s="239"/>
    </row>
    <row r="129" spans="1:25" ht="12.6">
      <c r="A129" s="236" t="s">
        <v>145</v>
      </c>
      <c r="B129" s="276">
        <v>13.916999999914518</v>
      </c>
      <c r="C129" s="276">
        <v>2.7180000000386144</v>
      </c>
      <c r="D129" s="276">
        <v>0.27900000000482289</v>
      </c>
      <c r="E129" s="276">
        <f>SUM(B129:D129)</f>
        <v>16.913999999957955</v>
      </c>
      <c r="F129" s="276"/>
      <c r="G129" s="276">
        <v>19.139999999740144</v>
      </c>
      <c r="H129" s="276">
        <v>2.8800000000394252</v>
      </c>
      <c r="I129" s="276">
        <v>0.31800000000436102</v>
      </c>
      <c r="J129" s="276">
        <f>SUM(G129:I129)</f>
        <v>22.337999999783932</v>
      </c>
      <c r="K129" s="276"/>
      <c r="L129" s="276">
        <v>15.616999999860491</v>
      </c>
      <c r="M129" s="276">
        <v>2.7760000000431342</v>
      </c>
      <c r="N129" s="276">
        <v>0.3279999999947259</v>
      </c>
      <c r="O129" s="276">
        <f>SUM(L129:N129)</f>
        <v>18.720999999898353</v>
      </c>
      <c r="P129" s="276"/>
      <c r="Q129" s="276">
        <v>16.038000000389371</v>
      </c>
      <c r="R129" s="276">
        <v>2.6330000000213287</v>
      </c>
      <c r="S129" s="276">
        <v>0.32499999999956702</v>
      </c>
      <c r="T129" s="276">
        <f>SUM(Q129:S129)</f>
        <v>18.996000000410266</v>
      </c>
      <c r="U129" s="276"/>
      <c r="V129" s="276">
        <v>15.782000000471838</v>
      </c>
      <c r="W129" s="276">
        <v>2.2230000000303711</v>
      </c>
      <c r="X129" s="276">
        <v>0.30000000000094085</v>
      </c>
      <c r="Y129" s="276">
        <f>SUM(V129:X129)</f>
        <v>18.305000000503149</v>
      </c>
    </row>
    <row r="130" spans="1:25" ht="12.6">
      <c r="A130" s="236" t="s">
        <v>144</v>
      </c>
      <c r="B130" s="276">
        <v>114.80099999984633</v>
      </c>
      <c r="C130" s="276">
        <v>0.85600000001601617</v>
      </c>
      <c r="D130" s="276">
        <v>3.0120000000228786</v>
      </c>
      <c r="E130" s="276">
        <f t="shared" ref="E130:E131" si="317">SUM(B130:D130)</f>
        <v>118.66899999988522</v>
      </c>
      <c r="F130" s="276"/>
      <c r="G130" s="276">
        <v>122.53599999952839</v>
      </c>
      <c r="H130" s="276">
        <v>1.8230000000094533</v>
      </c>
      <c r="I130" s="276">
        <v>1.9480000000179829</v>
      </c>
      <c r="J130" s="276">
        <f t="shared" ref="J130:J131" si="318">SUM(G130:I130)</f>
        <v>126.30699999955583</v>
      </c>
      <c r="K130" s="276"/>
      <c r="L130" s="276">
        <v>106.73699999956561</v>
      </c>
      <c r="M130" s="276">
        <v>2.8319999999920422</v>
      </c>
      <c r="N130" s="276">
        <v>2.0260000000046414</v>
      </c>
      <c r="O130" s="276">
        <f t="shared" ref="O130:O131" si="319">SUM(L130:N130)</f>
        <v>111.59499999956229</v>
      </c>
      <c r="P130" s="276"/>
      <c r="Q130" s="276">
        <v>105.74199999987353</v>
      </c>
      <c r="R130" s="276">
        <v>2.8429999999900848</v>
      </c>
      <c r="S130" s="276">
        <v>2.0110000000018644</v>
      </c>
      <c r="T130" s="276">
        <f t="shared" ref="T130:T131" si="320">SUM(Q130:S130)</f>
        <v>110.59599999986548</v>
      </c>
      <c r="U130" s="276"/>
      <c r="V130" s="276">
        <v>97.202999999885307</v>
      </c>
      <c r="W130" s="276">
        <v>2.6979999999901687</v>
      </c>
      <c r="X130" s="276">
        <v>1.8599999999998054</v>
      </c>
      <c r="Y130" s="276">
        <f t="shared" ref="Y130:Y131" si="321">SUM(V130:X130)</f>
        <v>101.76099999987528</v>
      </c>
    </row>
    <row r="131" spans="1:25" ht="12.6">
      <c r="A131" s="236" t="s">
        <v>146</v>
      </c>
      <c r="B131" s="276">
        <f>SUM(B129:B130)</f>
        <v>128.71799999976085</v>
      </c>
      <c r="C131" s="276">
        <f t="shared" ref="C131" si="322">SUM(C129:C130)</f>
        <v>3.5740000000546308</v>
      </c>
      <c r="D131" s="276">
        <f t="shared" ref="D131" si="323">SUM(D129:D130)</f>
        <v>3.2910000000277013</v>
      </c>
      <c r="E131" s="276">
        <f t="shared" si="317"/>
        <v>135.5829999998432</v>
      </c>
      <c r="F131" s="276"/>
      <c r="G131" s="276">
        <f>SUM(G129:G130)</f>
        <v>141.67599999926853</v>
      </c>
      <c r="H131" s="276">
        <f t="shared" ref="H131" si="324">SUM(H129:H130)</f>
        <v>4.7030000000488785</v>
      </c>
      <c r="I131" s="276">
        <f t="shared" ref="I131" si="325">SUM(I129:I130)</f>
        <v>2.2660000000223439</v>
      </c>
      <c r="J131" s="276">
        <f t="shared" si="318"/>
        <v>148.64499999933975</v>
      </c>
      <c r="K131" s="276"/>
      <c r="L131" s="276">
        <f>SUM(L129:L130)</f>
        <v>122.35399999942611</v>
      </c>
      <c r="M131" s="276">
        <f t="shared" ref="M131" si="326">SUM(M129:M130)</f>
        <v>5.608000000035176</v>
      </c>
      <c r="N131" s="276">
        <f t="shared" ref="N131" si="327">SUM(N129:N130)</f>
        <v>2.3539999999993673</v>
      </c>
      <c r="O131" s="276">
        <f t="shared" si="319"/>
        <v>130.31599999946064</v>
      </c>
      <c r="P131" s="276"/>
      <c r="Q131" s="276">
        <f>SUM(Q129:Q130)</f>
        <v>121.7800000002629</v>
      </c>
      <c r="R131" s="276">
        <f t="shared" ref="R131" si="328">SUM(R129:R130)</f>
        <v>5.476000000011414</v>
      </c>
      <c r="S131" s="276">
        <f t="shared" ref="S131" si="329">SUM(S129:S130)</f>
        <v>2.3360000000014316</v>
      </c>
      <c r="T131" s="276">
        <f t="shared" si="320"/>
        <v>129.59200000027573</v>
      </c>
      <c r="U131" s="276"/>
      <c r="V131" s="276">
        <f>SUM(V129:V130)</f>
        <v>112.98500000035715</v>
      </c>
      <c r="W131" s="276">
        <f t="shared" ref="W131" si="330">SUM(W129:W130)</f>
        <v>4.9210000000205394</v>
      </c>
      <c r="X131" s="276">
        <f t="shared" ref="X131" si="331">SUM(X129:X130)</f>
        <v>2.1600000000007462</v>
      </c>
      <c r="Y131" s="276">
        <f t="shared" si="321"/>
        <v>120.06600000037844</v>
      </c>
    </row>
    <row r="132" spans="1:25">
      <c r="C132" s="290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290"/>
      <c r="R132" s="290"/>
      <c r="S132" s="290"/>
      <c r="T132" s="290"/>
      <c r="U132" s="290"/>
      <c r="V132" s="290"/>
      <c r="W132" s="290"/>
      <c r="X132" s="290"/>
      <c r="Y132" s="290"/>
    </row>
    <row r="133" spans="1:25">
      <c r="A133" s="237" t="str">
        <f>name!A23</f>
        <v>Other transport equipment</v>
      </c>
      <c r="C133" s="239"/>
    </row>
    <row r="134" spans="1:25" ht="12.6">
      <c r="A134" s="236" t="s">
        <v>145</v>
      </c>
      <c r="B134" s="276">
        <v>12.002999999892808</v>
      </c>
      <c r="C134" s="276">
        <v>1.1210000000097353</v>
      </c>
      <c r="D134" s="276">
        <v>0.26900000000130214</v>
      </c>
      <c r="E134" s="276">
        <f>SUM(B134:D134)</f>
        <v>13.392999999903845</v>
      </c>
      <c r="F134" s="276"/>
      <c r="G134" s="276">
        <v>13.941999999859471</v>
      </c>
      <c r="H134" s="276">
        <v>2.7140000000344515</v>
      </c>
      <c r="I134" s="276">
        <v>0.87400000000306954</v>
      </c>
      <c r="J134" s="276">
        <f>SUM(G134:I134)</f>
        <v>17.52999999989699</v>
      </c>
      <c r="K134" s="276"/>
      <c r="L134" s="276">
        <v>14.876999999868696</v>
      </c>
      <c r="M134" s="276">
        <v>2.74200000003027</v>
      </c>
      <c r="N134" s="276">
        <v>0.331999999996275</v>
      </c>
      <c r="O134" s="276">
        <f>SUM(L134:N134)</f>
        <v>17.950999999895242</v>
      </c>
      <c r="P134" s="276"/>
      <c r="Q134" s="276">
        <v>13.449000000249358</v>
      </c>
      <c r="R134" s="276">
        <v>2.3650000000301135</v>
      </c>
      <c r="S134" s="276">
        <v>0.28899999999947462</v>
      </c>
      <c r="T134" s="276">
        <f>SUM(Q134:S134)</f>
        <v>16.103000000278946</v>
      </c>
      <c r="U134" s="276"/>
      <c r="V134" s="276">
        <v>14.79100000038185</v>
      </c>
      <c r="W134" s="276">
        <v>2.38500000003003</v>
      </c>
      <c r="X134" s="276">
        <v>0.30300000001312993</v>
      </c>
      <c r="Y134" s="276">
        <f>SUM(V134:X134)</f>
        <v>17.47900000042501</v>
      </c>
    </row>
    <row r="135" spans="1:25" ht="12.6">
      <c r="A135" s="236" t="s">
        <v>144</v>
      </c>
      <c r="B135" s="276">
        <v>97.346999999650521</v>
      </c>
      <c r="C135" s="276">
        <v>0.66099999999739567</v>
      </c>
      <c r="D135" s="276">
        <v>2.7219999999648219</v>
      </c>
      <c r="E135" s="276">
        <f t="shared" ref="E135:E136" si="332">SUM(B135:D135)</f>
        <v>100.72999999961274</v>
      </c>
      <c r="F135" s="276"/>
      <c r="G135" s="276">
        <v>98.318999999774675</v>
      </c>
      <c r="H135" s="276">
        <v>1.7780000000004876</v>
      </c>
      <c r="I135" s="276">
        <v>2.1710000000300322</v>
      </c>
      <c r="J135" s="276">
        <f t="shared" ref="J135:J136" si="333">SUM(G135:I135)</f>
        <v>102.2679999998052</v>
      </c>
      <c r="K135" s="276"/>
      <c r="L135" s="276">
        <v>94.739999999741812</v>
      </c>
      <c r="M135" s="276">
        <v>1.8349999999966149</v>
      </c>
      <c r="N135" s="276">
        <v>5.5259999999356948</v>
      </c>
      <c r="O135" s="276">
        <f t="shared" ref="O135:O136" si="334">SUM(L135:N135)</f>
        <v>102.10099999967412</v>
      </c>
      <c r="P135" s="276"/>
      <c r="Q135" s="276">
        <v>80.632000000044329</v>
      </c>
      <c r="R135" s="276">
        <v>1.5699999999978114</v>
      </c>
      <c r="S135" s="276">
        <v>4.7419999997828759</v>
      </c>
      <c r="T135" s="276">
        <f t="shared" ref="T135:T136" si="335">SUM(Q135:S135)</f>
        <v>86.94399999982501</v>
      </c>
      <c r="U135" s="276"/>
      <c r="V135" s="276">
        <v>78.840000000054161</v>
      </c>
      <c r="W135" s="276">
        <v>1.56299999999685</v>
      </c>
      <c r="X135" s="276">
        <v>4.6989999998277989</v>
      </c>
      <c r="Y135" s="276">
        <f t="shared" ref="Y135:Y136" si="336">SUM(V135:X135)</f>
        <v>85.101999999878814</v>
      </c>
    </row>
    <row r="136" spans="1:25" ht="12.6">
      <c r="A136" s="236" t="s">
        <v>146</v>
      </c>
      <c r="B136" s="276">
        <f>SUM(B134:B135)</f>
        <v>109.34999999954333</v>
      </c>
      <c r="C136" s="276">
        <f t="shared" ref="C136" si="337">SUM(C134:C135)</f>
        <v>1.782000000007131</v>
      </c>
      <c r="D136" s="276">
        <f t="shared" ref="D136" si="338">SUM(D134:D135)</f>
        <v>2.9909999999661241</v>
      </c>
      <c r="E136" s="276">
        <f t="shared" si="332"/>
        <v>114.12299999951658</v>
      </c>
      <c r="F136" s="276"/>
      <c r="G136" s="276">
        <f>SUM(G134:G135)</f>
        <v>112.26099999963415</v>
      </c>
      <c r="H136" s="276">
        <f t="shared" ref="H136" si="339">SUM(H134:H135)</f>
        <v>4.4920000000349392</v>
      </c>
      <c r="I136" s="276">
        <f t="shared" ref="I136" si="340">SUM(I134:I135)</f>
        <v>3.0450000000331019</v>
      </c>
      <c r="J136" s="276">
        <f t="shared" si="333"/>
        <v>119.79799999970218</v>
      </c>
      <c r="K136" s="276"/>
      <c r="L136" s="276">
        <f>SUM(L134:L135)</f>
        <v>109.61699999961051</v>
      </c>
      <c r="M136" s="276">
        <f t="shared" ref="M136" si="341">SUM(M134:M135)</f>
        <v>4.5770000000268851</v>
      </c>
      <c r="N136" s="276">
        <f t="shared" ref="N136" si="342">SUM(N134:N135)</f>
        <v>5.8579999999319696</v>
      </c>
      <c r="O136" s="276">
        <f t="shared" si="334"/>
        <v>120.05199999956938</v>
      </c>
      <c r="P136" s="276"/>
      <c r="Q136" s="276">
        <f>SUM(Q134:Q135)</f>
        <v>94.081000000293685</v>
      </c>
      <c r="R136" s="276">
        <f t="shared" ref="R136" si="343">SUM(R134:R135)</f>
        <v>3.9350000000279248</v>
      </c>
      <c r="S136" s="276">
        <f t="shared" ref="S136" si="344">SUM(S134:S135)</f>
        <v>5.0309999997823507</v>
      </c>
      <c r="T136" s="276">
        <f t="shared" si="335"/>
        <v>103.04700000010396</v>
      </c>
      <c r="U136" s="276"/>
      <c r="V136" s="276">
        <f>SUM(V134:V135)</f>
        <v>93.631000000436018</v>
      </c>
      <c r="W136" s="276">
        <f t="shared" ref="W136" si="345">SUM(W134:W135)</f>
        <v>3.9480000000268802</v>
      </c>
      <c r="X136" s="276">
        <f t="shared" ref="X136" si="346">SUM(X134:X135)</f>
        <v>5.0019999998409288</v>
      </c>
      <c r="Y136" s="276">
        <f t="shared" si="336"/>
        <v>102.58100000030383</v>
      </c>
    </row>
    <row r="137" spans="1:25">
      <c r="C137" s="290"/>
      <c r="D137" s="290"/>
      <c r="E137" s="290"/>
      <c r="F137" s="290"/>
      <c r="G137" s="290"/>
      <c r="H137" s="290"/>
      <c r="I137" s="290"/>
      <c r="J137" s="290"/>
      <c r="K137" s="290"/>
      <c r="L137" s="290"/>
      <c r="M137" s="290"/>
      <c r="N137" s="290"/>
      <c r="O137" s="290"/>
      <c r="P137" s="290"/>
      <c r="Q137" s="290"/>
      <c r="R137" s="290"/>
      <c r="S137" s="290"/>
      <c r="T137" s="290"/>
      <c r="U137" s="290"/>
      <c r="V137" s="290"/>
      <c r="W137" s="290"/>
      <c r="X137" s="290"/>
      <c r="Y137" s="290"/>
    </row>
    <row r="138" spans="1:25">
      <c r="A138" s="237" t="str">
        <f>name!A24</f>
        <v>Furniture</v>
      </c>
      <c r="C138" s="239"/>
    </row>
    <row r="139" spans="1:25" ht="12.6">
      <c r="A139" s="236" t="s">
        <v>145</v>
      </c>
      <c r="B139" s="276">
        <v>8.3459999999458958</v>
      </c>
      <c r="C139" s="276">
        <v>4.0120000000611249</v>
      </c>
      <c r="D139" s="276">
        <v>2.5820000000295158</v>
      </c>
      <c r="E139" s="276">
        <f>SUM(B139:D139)</f>
        <v>14.940000000036537</v>
      </c>
      <c r="F139" s="276"/>
      <c r="G139" s="276">
        <v>10.657999999854443</v>
      </c>
      <c r="H139" s="276">
        <v>5.3490000000819871</v>
      </c>
      <c r="I139" s="276">
        <v>0.35300000000628318</v>
      </c>
      <c r="J139" s="276">
        <f>SUM(G139:I139)</f>
        <v>16.359999999942712</v>
      </c>
      <c r="K139" s="276"/>
      <c r="L139" s="276">
        <v>11.416999999893372</v>
      </c>
      <c r="M139" s="276">
        <v>5.2820000000498295</v>
      </c>
      <c r="N139" s="276">
        <v>2.1319999999592563</v>
      </c>
      <c r="O139" s="276">
        <f>SUM(L139:N139)</f>
        <v>18.830999999902456</v>
      </c>
      <c r="P139" s="276"/>
      <c r="Q139" s="276">
        <v>10.113000000210478</v>
      </c>
      <c r="R139" s="276">
        <v>4.5680000000773626</v>
      </c>
      <c r="S139" s="276">
        <v>1.7900000000244645</v>
      </c>
      <c r="T139" s="276">
        <f>SUM(Q139:S139)</f>
        <v>16.471000000312305</v>
      </c>
      <c r="U139" s="276"/>
      <c r="V139" s="276">
        <v>9.7690000002884805</v>
      </c>
      <c r="W139" s="276">
        <v>4.207000000100642</v>
      </c>
      <c r="X139" s="276">
        <v>1.598000000012904</v>
      </c>
      <c r="Y139" s="276">
        <f>SUM(V139:X139)</f>
        <v>15.574000000402027</v>
      </c>
    </row>
    <row r="140" spans="1:25" ht="12.6">
      <c r="A140" s="236" t="s">
        <v>144</v>
      </c>
      <c r="B140" s="276">
        <v>53.093999999973519</v>
      </c>
      <c r="C140" s="276">
        <v>1.8140000000196832</v>
      </c>
      <c r="D140" s="276">
        <v>12.577999999936791</v>
      </c>
      <c r="E140" s="276">
        <f t="shared" ref="E140:E141" si="347">SUM(B140:D140)</f>
        <v>67.485999999929987</v>
      </c>
      <c r="F140" s="276"/>
      <c r="G140" s="276">
        <v>57.562999999967623</v>
      </c>
      <c r="H140" s="276">
        <v>2.5470000000179529</v>
      </c>
      <c r="I140" s="276">
        <v>7.8530000000300779</v>
      </c>
      <c r="J140" s="276">
        <f t="shared" ref="J140:J141" si="348">SUM(G140:I140)</f>
        <v>67.963000000015654</v>
      </c>
      <c r="K140" s="276"/>
      <c r="L140" s="276">
        <v>59.955000000086471</v>
      </c>
      <c r="M140" s="276">
        <v>4.222000000008749</v>
      </c>
      <c r="N140" s="276">
        <v>4.0829999999738344</v>
      </c>
      <c r="O140" s="276">
        <f t="shared" ref="O140:O141" si="349">SUM(L140:N140)</f>
        <v>68.260000000069056</v>
      </c>
      <c r="P140" s="276"/>
      <c r="Q140" s="276">
        <v>52.667000000142089</v>
      </c>
      <c r="R140" s="276">
        <v>3.607000000015574</v>
      </c>
      <c r="S140" s="276">
        <v>3.6669999999389482</v>
      </c>
      <c r="T140" s="276">
        <f t="shared" ref="T140:T141" si="350">SUM(Q140:S140)</f>
        <v>59.941000000096608</v>
      </c>
      <c r="U140" s="276"/>
      <c r="V140" s="276">
        <v>49.771000000130819</v>
      </c>
      <c r="W140" s="276">
        <v>3.2870000000172714</v>
      </c>
      <c r="X140" s="276">
        <v>3.2959999999546685</v>
      </c>
      <c r="Y140" s="276">
        <f t="shared" ref="Y140:Y141" si="351">SUM(V140:X140)</f>
        <v>56.354000000102758</v>
      </c>
    </row>
    <row r="141" spans="1:25" ht="12.6">
      <c r="A141" s="236" t="s">
        <v>146</v>
      </c>
      <c r="B141" s="276">
        <f>SUM(B139:B140)</f>
        <v>61.439999999919415</v>
      </c>
      <c r="C141" s="276">
        <f t="shared" ref="C141" si="352">SUM(C139:C140)</f>
        <v>5.8260000000808079</v>
      </c>
      <c r="D141" s="276">
        <f t="shared" ref="D141" si="353">SUM(D139:D140)</f>
        <v>15.159999999966306</v>
      </c>
      <c r="E141" s="276">
        <f t="shared" si="347"/>
        <v>82.425999999966521</v>
      </c>
      <c r="F141" s="276"/>
      <c r="G141" s="276">
        <f>SUM(G139:G140)</f>
        <v>68.22099999982207</v>
      </c>
      <c r="H141" s="276">
        <f t="shared" ref="H141" si="354">SUM(H139:H140)</f>
        <v>7.8960000000999404</v>
      </c>
      <c r="I141" s="276">
        <f t="shared" ref="I141" si="355">SUM(I139:I140)</f>
        <v>8.2060000000363615</v>
      </c>
      <c r="J141" s="276">
        <f t="shared" si="348"/>
        <v>84.32299999995837</v>
      </c>
      <c r="K141" s="276"/>
      <c r="L141" s="276">
        <f>SUM(L139:L140)</f>
        <v>71.371999999979849</v>
      </c>
      <c r="M141" s="276">
        <f t="shared" ref="M141" si="356">SUM(M139:M140)</f>
        <v>9.5040000000585785</v>
      </c>
      <c r="N141" s="276">
        <f t="shared" ref="N141" si="357">SUM(N139:N140)</f>
        <v>6.2149999999330907</v>
      </c>
      <c r="O141" s="276">
        <f t="shared" si="349"/>
        <v>87.090999999971515</v>
      </c>
      <c r="P141" s="276"/>
      <c r="Q141" s="276">
        <f>SUM(Q139:Q140)</f>
        <v>62.780000000352565</v>
      </c>
      <c r="R141" s="276">
        <f t="shared" ref="R141" si="358">SUM(R139:R140)</f>
        <v>8.1750000000929361</v>
      </c>
      <c r="S141" s="276">
        <f t="shared" ref="S141" si="359">SUM(S139:S140)</f>
        <v>5.4569999999634131</v>
      </c>
      <c r="T141" s="276">
        <f t="shared" si="350"/>
        <v>76.412000000408909</v>
      </c>
      <c r="U141" s="276"/>
      <c r="V141" s="276">
        <f>SUM(V139:V140)</f>
        <v>59.540000000419298</v>
      </c>
      <c r="W141" s="276">
        <f t="shared" ref="W141" si="360">SUM(W139:W140)</f>
        <v>7.4940000001179135</v>
      </c>
      <c r="X141" s="276">
        <f t="shared" ref="X141" si="361">SUM(X139:X140)</f>
        <v>4.8939999999675727</v>
      </c>
      <c r="Y141" s="276">
        <f t="shared" si="351"/>
        <v>71.928000000504781</v>
      </c>
    </row>
    <row r="142" spans="1:25">
      <c r="C142" s="290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</row>
    <row r="143" spans="1:25">
      <c r="A143" s="237" t="str">
        <f>name!A25</f>
        <v>Other manufacturing</v>
      </c>
      <c r="C143" s="239"/>
    </row>
    <row r="144" spans="1:25" ht="12.6">
      <c r="A144" s="236" t="s">
        <v>145</v>
      </c>
      <c r="B144" s="276">
        <v>21.898999999836626</v>
      </c>
      <c r="C144" s="276">
        <v>7.1780000001221573</v>
      </c>
      <c r="D144" s="276">
        <v>4.5110000000528814</v>
      </c>
      <c r="E144" s="276">
        <f>SUM(B144:D144)</f>
        <v>33.588000000011661</v>
      </c>
      <c r="F144" s="276"/>
      <c r="G144" s="276">
        <v>24.685999999665363</v>
      </c>
      <c r="H144" s="276">
        <v>6.3930000000988434</v>
      </c>
      <c r="I144" s="276">
        <v>5.3910000000932907</v>
      </c>
      <c r="J144" s="276">
        <f>SUM(G144:I144)</f>
        <v>36.4699999998575</v>
      </c>
      <c r="K144" s="276"/>
      <c r="L144" s="276">
        <v>25.943999999772224</v>
      </c>
      <c r="M144" s="276">
        <v>6.3300000001016636</v>
      </c>
      <c r="N144" s="276">
        <v>4.0029999999720935</v>
      </c>
      <c r="O144" s="276">
        <f>SUM(L144:N144)</f>
        <v>36.276999999845984</v>
      </c>
      <c r="P144" s="276"/>
      <c r="Q144" s="276">
        <v>22.723000000437047</v>
      </c>
      <c r="R144" s="276">
        <v>5.5860000001137768</v>
      </c>
      <c r="S144" s="276">
        <v>3.3820000000647945</v>
      </c>
      <c r="T144" s="276">
        <f>SUM(Q144:S144)</f>
        <v>31.69100000061562</v>
      </c>
      <c r="U144" s="276"/>
      <c r="V144" s="276">
        <v>21.508000000623518</v>
      </c>
      <c r="W144" s="276">
        <v>5.3560000000958627</v>
      </c>
      <c r="X144" s="276">
        <v>3.0500000000000034</v>
      </c>
      <c r="Y144" s="276">
        <f>SUM(V144:X144)</f>
        <v>29.914000000719383</v>
      </c>
    </row>
    <row r="145" spans="1:25" ht="12.6">
      <c r="A145" s="236" t="s">
        <v>144</v>
      </c>
      <c r="B145" s="276">
        <v>40.144999999991228</v>
      </c>
      <c r="C145" s="276">
        <v>3.073000000040087</v>
      </c>
      <c r="D145" s="276">
        <v>8.8249999999781163</v>
      </c>
      <c r="E145" s="276">
        <f t="shared" ref="E145:E146" si="362">SUM(B145:D145)</f>
        <v>52.043000000009435</v>
      </c>
      <c r="F145" s="276"/>
      <c r="G145" s="276">
        <v>41.128999999946053</v>
      </c>
      <c r="H145" s="276">
        <v>2.5040000000106284</v>
      </c>
      <c r="I145" s="276">
        <v>5.3310000000268802</v>
      </c>
      <c r="J145" s="276">
        <f t="shared" ref="J145:J146" si="363">SUM(G145:I145)</f>
        <v>48.963999999983564</v>
      </c>
      <c r="K145" s="276"/>
      <c r="L145" s="276">
        <v>42.47899999995586</v>
      </c>
      <c r="M145" s="276">
        <v>3.8130000000106423</v>
      </c>
      <c r="N145" s="276">
        <v>6.3269999999648858</v>
      </c>
      <c r="O145" s="276">
        <f t="shared" ref="O145:O146" si="364">SUM(L145:N145)</f>
        <v>52.618999999931383</v>
      </c>
      <c r="P145" s="276"/>
      <c r="Q145" s="276">
        <v>37.326000000064639</v>
      </c>
      <c r="R145" s="276">
        <v>3.3129999999769817</v>
      </c>
      <c r="S145" s="276">
        <v>5.2349999999260941</v>
      </c>
      <c r="T145" s="276">
        <f t="shared" ref="T145:T146" si="365">SUM(Q145:S145)</f>
        <v>45.873999999967715</v>
      </c>
      <c r="U145" s="276"/>
      <c r="V145" s="276">
        <v>35.329000000079859</v>
      </c>
      <c r="W145" s="276">
        <v>3.1039999999774079</v>
      </c>
      <c r="X145" s="276">
        <v>4.5079999999505684</v>
      </c>
      <c r="Y145" s="276">
        <f t="shared" ref="Y145:Y146" si="366">SUM(V145:X145)</f>
        <v>42.94100000000784</v>
      </c>
    </row>
    <row r="146" spans="1:25" ht="12.6">
      <c r="A146" s="236" t="s">
        <v>146</v>
      </c>
      <c r="B146" s="276">
        <f>SUM(B144:B145)</f>
        <v>62.043999999827854</v>
      </c>
      <c r="C146" s="276">
        <f t="shared" ref="C146" si="367">SUM(C144:C145)</f>
        <v>10.251000000162245</v>
      </c>
      <c r="D146" s="276">
        <f t="shared" ref="D146" si="368">SUM(D144:D145)</f>
        <v>13.336000000030998</v>
      </c>
      <c r="E146" s="276">
        <f t="shared" si="362"/>
        <v>85.631000000021089</v>
      </c>
      <c r="F146" s="276"/>
      <c r="G146" s="276">
        <f>SUM(G144:G145)</f>
        <v>65.814999999611416</v>
      </c>
      <c r="H146" s="276">
        <f t="shared" ref="H146" si="369">SUM(H144:H145)</f>
        <v>8.8970000001094718</v>
      </c>
      <c r="I146" s="276">
        <f t="shared" ref="I146" si="370">SUM(I144:I145)</f>
        <v>10.722000000120172</v>
      </c>
      <c r="J146" s="276">
        <f t="shared" si="363"/>
        <v>85.433999999841063</v>
      </c>
      <c r="K146" s="276"/>
      <c r="L146" s="276">
        <f>SUM(L144:L145)</f>
        <v>68.422999999728091</v>
      </c>
      <c r="M146" s="276">
        <f t="shared" ref="M146" si="371">SUM(M144:M145)</f>
        <v>10.143000000112306</v>
      </c>
      <c r="N146" s="276">
        <f t="shared" ref="N146" si="372">SUM(N144:N145)</f>
        <v>10.32999999993698</v>
      </c>
      <c r="O146" s="276">
        <f t="shared" si="364"/>
        <v>88.895999999777388</v>
      </c>
      <c r="P146" s="276"/>
      <c r="Q146" s="276">
        <f>SUM(Q144:Q145)</f>
        <v>60.049000000501685</v>
      </c>
      <c r="R146" s="276">
        <f t="shared" ref="R146" si="373">SUM(R144:R145)</f>
        <v>8.8990000000907585</v>
      </c>
      <c r="S146" s="276">
        <f t="shared" ref="S146" si="374">SUM(S144:S145)</f>
        <v>8.6169999999908882</v>
      </c>
      <c r="T146" s="276">
        <f t="shared" si="365"/>
        <v>77.565000000583325</v>
      </c>
      <c r="U146" s="276"/>
      <c r="V146" s="276">
        <f>SUM(V144:V145)</f>
        <v>56.837000000703377</v>
      </c>
      <c r="W146" s="276">
        <f t="shared" ref="W146" si="375">SUM(W144:W145)</f>
        <v>8.4600000000732702</v>
      </c>
      <c r="X146" s="276">
        <f t="shared" ref="X146" si="376">SUM(X144:X145)</f>
        <v>7.5579999999505718</v>
      </c>
      <c r="Y146" s="276">
        <f t="shared" si="366"/>
        <v>72.855000000727216</v>
      </c>
    </row>
    <row r="147" spans="1:25">
      <c r="C147" s="290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290"/>
      <c r="R147" s="290"/>
      <c r="S147" s="290"/>
      <c r="T147" s="290"/>
      <c r="U147" s="290"/>
      <c r="V147" s="290"/>
      <c r="W147" s="290"/>
      <c r="X147" s="290"/>
      <c r="Y147" s="290"/>
    </row>
    <row r="148" spans="1:25">
      <c r="A148" s="237" t="str">
        <f>name!A26</f>
        <v>Repair and installation</v>
      </c>
      <c r="C148" s="239"/>
    </row>
    <row r="149" spans="1:25" ht="12.6">
      <c r="A149" s="236" t="s">
        <v>145</v>
      </c>
      <c r="B149" s="276">
        <v>6.1069999999577425</v>
      </c>
      <c r="C149" s="276">
        <v>4.361000000045439</v>
      </c>
      <c r="D149" s="276">
        <v>2.5160000000219318</v>
      </c>
      <c r="E149" s="276">
        <f>SUM(B149:D149)</f>
        <v>12.984000000025112</v>
      </c>
      <c r="F149" s="276"/>
      <c r="G149" s="276">
        <v>9.8389999998705129</v>
      </c>
      <c r="H149" s="276">
        <v>4.9100000000688455</v>
      </c>
      <c r="I149" s="276">
        <v>1.7430000000127119</v>
      </c>
      <c r="J149" s="276">
        <f>SUM(G149:I149)</f>
        <v>16.491999999952071</v>
      </c>
      <c r="K149" s="276"/>
      <c r="L149" s="276">
        <v>9.986999999922153</v>
      </c>
      <c r="M149" s="276">
        <v>4.9760000000151807</v>
      </c>
      <c r="N149" s="276">
        <v>2.3179999999805969</v>
      </c>
      <c r="O149" s="276">
        <f>SUM(L149:N149)</f>
        <v>17.280999999917931</v>
      </c>
      <c r="P149" s="276"/>
      <c r="Q149" s="276">
        <v>8.6520000001604007</v>
      </c>
      <c r="R149" s="276">
        <v>4.2980000000382939</v>
      </c>
      <c r="S149" s="276">
        <v>1.93100000000116</v>
      </c>
      <c r="T149" s="276">
        <f>SUM(Q149:S149)</f>
        <v>14.881000000199855</v>
      </c>
      <c r="U149" s="276"/>
      <c r="V149" s="276">
        <v>8.0260000002102565</v>
      </c>
      <c r="W149" s="276">
        <v>3.9490000000550194</v>
      </c>
      <c r="X149" s="276">
        <v>1.6910000000218575</v>
      </c>
      <c r="Y149" s="276">
        <f>SUM(V149:X149)</f>
        <v>13.666000000287132</v>
      </c>
    </row>
    <row r="150" spans="1:25" ht="12.6">
      <c r="A150" s="236" t="s">
        <v>144</v>
      </c>
      <c r="B150" s="276">
        <v>64.161999999798383</v>
      </c>
      <c r="C150" s="276">
        <v>2.5680000000110064</v>
      </c>
      <c r="D150" s="276">
        <v>16.462000000075179</v>
      </c>
      <c r="E150" s="276">
        <f t="shared" ref="E150:E151" si="377">SUM(B150:D150)</f>
        <v>83.191999999884573</v>
      </c>
      <c r="F150" s="276"/>
      <c r="G150" s="276">
        <v>82.734999999776122</v>
      </c>
      <c r="H150" s="276">
        <v>3.0309999999990191</v>
      </c>
      <c r="I150" s="276">
        <v>11.877000000116439</v>
      </c>
      <c r="J150" s="276">
        <f t="shared" ref="J150:J151" si="378">SUM(G150:I150)</f>
        <v>97.642999999891586</v>
      </c>
      <c r="K150" s="276"/>
      <c r="L150" s="276">
        <v>85.514999999692932</v>
      </c>
      <c r="M150" s="276">
        <v>4.2689999999842847</v>
      </c>
      <c r="N150" s="276">
        <v>19.308000000001453</v>
      </c>
      <c r="O150" s="276">
        <f t="shared" ref="O150:O151" si="379">SUM(L150:N150)</f>
        <v>109.09199999967868</v>
      </c>
      <c r="P150" s="276"/>
      <c r="Q150" s="276">
        <v>74.555999999971121</v>
      </c>
      <c r="R150" s="276">
        <v>3.6889999999862311</v>
      </c>
      <c r="S150" s="276">
        <v>17.520999999901456</v>
      </c>
      <c r="T150" s="276">
        <f t="shared" ref="T150:T151" si="380">SUM(Q150:S150)</f>
        <v>95.765999999858821</v>
      </c>
      <c r="U150" s="276"/>
      <c r="V150" s="276">
        <v>69.378999999927245</v>
      </c>
      <c r="W150" s="276">
        <v>3.4199999999908339</v>
      </c>
      <c r="X150" s="276">
        <v>18.344999999906644</v>
      </c>
      <c r="Y150" s="276">
        <f t="shared" ref="Y150:Y151" si="381">SUM(V150:X150)</f>
        <v>91.143999999824729</v>
      </c>
    </row>
    <row r="151" spans="1:25" ht="12.6">
      <c r="A151" s="236" t="s">
        <v>146</v>
      </c>
      <c r="B151" s="276">
        <f>SUM(B149:B150)</f>
        <v>70.268999999756119</v>
      </c>
      <c r="C151" s="276">
        <f t="shared" ref="C151" si="382">SUM(C149:C150)</f>
        <v>6.9290000000564458</v>
      </c>
      <c r="D151" s="276">
        <f t="shared" ref="D151" si="383">SUM(D149:D150)</f>
        <v>18.978000000097111</v>
      </c>
      <c r="E151" s="276">
        <f t="shared" si="377"/>
        <v>96.175999999909678</v>
      </c>
      <c r="F151" s="276"/>
      <c r="G151" s="276">
        <f>SUM(G149:G150)</f>
        <v>92.573999999646631</v>
      </c>
      <c r="H151" s="276">
        <f t="shared" ref="H151" si="384">SUM(H149:H150)</f>
        <v>7.9410000000678647</v>
      </c>
      <c r="I151" s="276">
        <f t="shared" ref="I151" si="385">SUM(I149:I150)</f>
        <v>13.620000000129151</v>
      </c>
      <c r="J151" s="276">
        <f t="shared" si="378"/>
        <v>114.13499999984364</v>
      </c>
      <c r="K151" s="276"/>
      <c r="L151" s="276">
        <f>SUM(L149:L150)</f>
        <v>95.50199999961508</v>
      </c>
      <c r="M151" s="276">
        <f t="shared" ref="M151" si="386">SUM(M149:M150)</f>
        <v>9.2449999999994645</v>
      </c>
      <c r="N151" s="276">
        <f t="shared" ref="N151" si="387">SUM(N149:N150)</f>
        <v>21.625999999982049</v>
      </c>
      <c r="O151" s="276">
        <f t="shared" si="379"/>
        <v>126.3729999995966</v>
      </c>
      <c r="P151" s="276"/>
      <c r="Q151" s="276">
        <f>SUM(Q149:Q150)</f>
        <v>83.20800000013152</v>
      </c>
      <c r="R151" s="276">
        <f t="shared" ref="R151" si="388">SUM(R149:R150)</f>
        <v>7.9870000000245245</v>
      </c>
      <c r="S151" s="276">
        <f t="shared" ref="S151" si="389">SUM(S149:S150)</f>
        <v>19.451999999902615</v>
      </c>
      <c r="T151" s="276">
        <f t="shared" si="380"/>
        <v>110.64700000005865</v>
      </c>
      <c r="U151" s="276"/>
      <c r="V151" s="276">
        <f>SUM(V149:V150)</f>
        <v>77.405000000137505</v>
      </c>
      <c r="W151" s="276">
        <f t="shared" ref="W151" si="390">SUM(W149:W150)</f>
        <v>7.3690000000458529</v>
      </c>
      <c r="X151" s="276">
        <f t="shared" ref="X151" si="391">SUM(X149:X150)</f>
        <v>20.035999999928503</v>
      </c>
      <c r="Y151" s="276">
        <f t="shared" si="381"/>
        <v>104.81000000011187</v>
      </c>
    </row>
    <row r="152" spans="1:25" ht="12.6">
      <c r="C152" s="239"/>
    </row>
    <row r="153" spans="1:25">
      <c r="A153" s="237" t="s">
        <v>149</v>
      </c>
    </row>
    <row r="154" spans="1:25" ht="12.6">
      <c r="A154" s="236" t="s">
        <v>145</v>
      </c>
      <c r="B154" s="276">
        <f>SUM(B74,B79,B84,B89,B94,B99,B104,B109,B114,B119,B124,B129,B134,B139,B144,B149)</f>
        <v>218.49599999835004</v>
      </c>
      <c r="C154" s="276">
        <f t="shared" ref="C154:D155" si="392">SUM(C74,C79,C84,C89,C94,C99,C104,C109,C114,C119,C124,C129,C134,C139,C144,C149)</f>
        <v>76.670000001349493</v>
      </c>
      <c r="D154" s="276">
        <f t="shared" si="392"/>
        <v>33.874000000488053</v>
      </c>
      <c r="E154" s="276">
        <f>SUM(B154:D154)</f>
        <v>329.04000000018755</v>
      </c>
      <c r="F154" s="276"/>
      <c r="G154" s="276">
        <f>SUM(G74,G79,G84,G89,G94,G99,G104,G109,G114,G119,G124,G129,G134,G139,G144,G149)</f>
        <v>234.99599999691011</v>
      </c>
      <c r="H154" s="276">
        <f t="shared" ref="H154:I154" si="393">SUM(H74,H79,H84,H89,H94,H99,H104,H109,H114,H119,H124,H129,H134,H139,H144,H149)</f>
        <v>75.831000000929151</v>
      </c>
      <c r="I154" s="276">
        <f t="shared" si="393"/>
        <v>37.214000000553156</v>
      </c>
      <c r="J154" s="276">
        <f>SUM(G154:I154)</f>
        <v>348.04099999839241</v>
      </c>
      <c r="K154" s="276"/>
      <c r="L154" s="276">
        <f>SUM(L74,L79,L84,L89,L94,L99,L104,L109,L114,L119,L124,L129,L134,L139,L144,L149)</f>
        <v>235.42299999794756</v>
      </c>
      <c r="M154" s="276">
        <f t="shared" ref="M154:N154" si="394">SUM(M74,M79,M84,M89,M94,M99,M104,M109,M114,M119,M124,M129,M134,M139,M144,M149)</f>
        <v>75.219000000993134</v>
      </c>
      <c r="N154" s="276">
        <f t="shared" si="394"/>
        <v>36.762999999572685</v>
      </c>
      <c r="O154" s="276">
        <f>SUM(L154:N154)</f>
        <v>347.4049999985134</v>
      </c>
      <c r="P154" s="276"/>
      <c r="Q154" s="276">
        <f>SUM(Q74,Q79,Q84,Q89,Q94,Q99,Q104,Q109,Q114,Q119,Q124,Q129,Q134,Q139,Q144,Q149)</f>
        <v>224.0610000044168</v>
      </c>
      <c r="R154" s="276">
        <f t="shared" ref="R154:S154" si="395">SUM(R74,R79,R84,R89,R94,R99,R104,R109,R114,R119,R124,R129,R134,R139,R144,R149)</f>
        <v>70.693000001149059</v>
      </c>
      <c r="S154" s="276">
        <f t="shared" si="395"/>
        <v>33.173000000171051</v>
      </c>
      <c r="T154" s="276">
        <f>SUM(Q154:S154)</f>
        <v>327.92700000573689</v>
      </c>
      <c r="U154" s="276"/>
      <c r="V154" s="276">
        <f>SUM(V74,V79,V84,V89,V94,V99,V104,V109,V114,V119,V124,V129,V134,V139,V144,V149)</f>
        <v>208.96000000578647</v>
      </c>
      <c r="W154" s="276">
        <f t="shared" ref="W154:X154" si="396">SUM(W74,W79,W84,W89,W94,W99,W104,W109,W114,W119,W124,W129,W134,W139,W144,W149)</f>
        <v>65.072000001340712</v>
      </c>
      <c r="X154" s="276">
        <f t="shared" si="396"/>
        <v>29.450000000251237</v>
      </c>
      <c r="Y154" s="276">
        <f>SUM(V154:X154)</f>
        <v>303.48200000737842</v>
      </c>
    </row>
    <row r="155" spans="1:25" ht="12.6">
      <c r="A155" s="236" t="s">
        <v>144</v>
      </c>
      <c r="B155" s="276">
        <f>SUM(B75,B80,B85,B90,B95,B100,B105,B110,B115,B120,B125,B130,B135,B140,B145,B150)</f>
        <v>1052.5099999981524</v>
      </c>
      <c r="C155" s="276">
        <f t="shared" si="392"/>
        <v>34.113000000362774</v>
      </c>
      <c r="D155" s="276">
        <f t="shared" si="392"/>
        <v>111.89600000011039</v>
      </c>
      <c r="E155" s="276">
        <f t="shared" ref="E155:E156" si="397">SUM(B155:D155)</f>
        <v>1198.5189999986255</v>
      </c>
      <c r="F155" s="276"/>
      <c r="G155" s="276">
        <f>SUM(G75,G80,G85,G90,G95,G100,G105,G110,G115,G120,G125,G130,G135,G140,G145,G150)</f>
        <v>1077.5219999980427</v>
      </c>
      <c r="H155" s="276">
        <f t="shared" ref="H155:I155" si="398">SUM(H75,H80,H85,H90,H95,H100,H105,H110,H115,H120,H125,H130,H135,H140,H145,H150)</f>
        <v>40.132000000205856</v>
      </c>
      <c r="I155" s="276">
        <f t="shared" si="398"/>
        <v>83.612000000616575</v>
      </c>
      <c r="J155" s="276">
        <f t="shared" ref="J155:J156" si="399">SUM(G155:I155)</f>
        <v>1201.265999998865</v>
      </c>
      <c r="K155" s="276"/>
      <c r="L155" s="276">
        <f>SUM(L75,L80,L85,L90,L95,L100,L105,L110,L115,L120,L125,L130,L135,L140,L145,L150)</f>
        <v>1026.1039999986008</v>
      </c>
      <c r="M155" s="276">
        <f t="shared" ref="M155:N155" si="400">SUM(M75,M80,M85,M90,M95,M100,M105,M110,M115,M120,M125,M130,M135,M140,M145,M150)</f>
        <v>57.249000000076677</v>
      </c>
      <c r="N155" s="276">
        <f t="shared" si="400"/>
        <v>87.686999999705932</v>
      </c>
      <c r="O155" s="276">
        <f t="shared" ref="O155:O156" si="401">SUM(L155:N155)</f>
        <v>1171.0399999983833</v>
      </c>
      <c r="P155" s="276"/>
      <c r="Q155" s="276">
        <f>SUM(Q75,Q80,Q85,Q90,Q95,Q100,Q105,Q110,Q115,Q120,Q125,Q130,Q135,Q140,Q145,Q150)</f>
        <v>966.41700000099547</v>
      </c>
      <c r="R155" s="276">
        <f t="shared" ref="R155:S155" si="402">SUM(R75,R80,R85,R90,R95,R100,R105,R110,R115,R120,R125,R130,R135,R140,R145,R150)</f>
        <v>53.656000000219322</v>
      </c>
      <c r="S155" s="276">
        <f t="shared" si="402"/>
        <v>81.925999998892422</v>
      </c>
      <c r="T155" s="276">
        <f t="shared" ref="T155:T156" si="403">SUM(Q155:S155)</f>
        <v>1101.9990000001073</v>
      </c>
      <c r="U155" s="276"/>
      <c r="V155" s="276">
        <f>SUM(V75,V80,V85,V90,V95,V100,V105,V110,V115,V120,V125,V130,V135,V140,V145,V150)</f>
        <v>877.0460000008884</v>
      </c>
      <c r="W155" s="276">
        <f t="shared" ref="W155" si="404">SUM(W75,W80,W85,W90,W95,W100,W105,W110,W115,W120,W125,W130,W135,W140,W145,W150)</f>
        <v>49.054000000232655</v>
      </c>
      <c r="X155" s="276">
        <f>SUM(X75,X80,X85,X90,X95,X100,X105,X110,X115,X120,X125,X130,X135,X140,X145,X150)</f>
        <v>77.309999999135073</v>
      </c>
      <c r="Y155" s="276">
        <f t="shared" ref="Y155:Y156" si="405">SUM(V155:X155)</f>
        <v>1003.4100000002561</v>
      </c>
    </row>
    <row r="156" spans="1:25" ht="12.6">
      <c r="A156" s="240" t="s">
        <v>146</v>
      </c>
      <c r="B156" s="277">
        <f>SUM(B154:B155)</f>
        <v>1271.0059999965024</v>
      </c>
      <c r="C156" s="277">
        <f t="shared" ref="C156" si="406">SUM(C154:C155)</f>
        <v>110.78300000171227</v>
      </c>
      <c r="D156" s="277">
        <f t="shared" ref="D156" si="407">SUM(D154:D155)</f>
        <v>145.77000000059843</v>
      </c>
      <c r="E156" s="277">
        <f t="shared" si="397"/>
        <v>1527.5589999988131</v>
      </c>
      <c r="F156" s="277"/>
      <c r="G156" s="277">
        <f>SUM(G154:G155)</f>
        <v>1312.5179999949528</v>
      </c>
      <c r="H156" s="277">
        <f t="shared" ref="H156" si="408">SUM(H154:H155)</f>
        <v>115.96300000113501</v>
      </c>
      <c r="I156" s="277">
        <f t="shared" ref="I156" si="409">SUM(I154:I155)</f>
        <v>120.82600000116973</v>
      </c>
      <c r="J156" s="277">
        <f t="shared" si="399"/>
        <v>1549.3069999972574</v>
      </c>
      <c r="K156" s="277"/>
      <c r="L156" s="277">
        <f>SUM(L154:L155)</f>
        <v>1261.5269999965483</v>
      </c>
      <c r="M156" s="277">
        <f t="shared" ref="M156" si="410">SUM(M154:M155)</f>
        <v>132.46800000106981</v>
      </c>
      <c r="N156" s="277">
        <f t="shared" ref="N156" si="411">SUM(N154:N155)</f>
        <v>124.44999999927862</v>
      </c>
      <c r="O156" s="277">
        <f t="shared" si="401"/>
        <v>1518.4449999968967</v>
      </c>
      <c r="P156" s="277"/>
      <c r="Q156" s="277">
        <f>SUM(Q154:Q155)</f>
        <v>1190.4780000054122</v>
      </c>
      <c r="R156" s="277">
        <f t="shared" ref="R156" si="412">SUM(R154:R155)</f>
        <v>124.34900000136838</v>
      </c>
      <c r="S156" s="277">
        <f t="shared" ref="S156" si="413">SUM(S154:S155)</f>
        <v>115.09899999906347</v>
      </c>
      <c r="T156" s="277">
        <f t="shared" si="403"/>
        <v>1429.9260000058439</v>
      </c>
      <c r="U156" s="277"/>
      <c r="V156" s="277">
        <f>SUM(V154:V155)</f>
        <v>1086.0060000066749</v>
      </c>
      <c r="W156" s="277">
        <f t="shared" ref="W156" si="414">SUM(W154:W155)</f>
        <v>114.12600000157337</v>
      </c>
      <c r="X156" s="277">
        <f t="shared" ref="X156" si="415">SUM(X154:X155)</f>
        <v>106.75999999938631</v>
      </c>
      <c r="Y156" s="277">
        <f t="shared" si="405"/>
        <v>1306.8920000076346</v>
      </c>
    </row>
    <row r="157" spans="1:25" ht="12.6">
      <c r="C157" s="239"/>
    </row>
    <row r="158" spans="1:25" ht="12.6">
      <c r="C158" s="239"/>
    </row>
    <row r="159" spans="1:25" ht="12.6">
      <c r="C159" s="239"/>
    </row>
    <row r="160" spans="1:25" ht="14.1">
      <c r="A160" s="241" t="str">
        <f>"Industry 6 : "&amp; name!B9</f>
        <v>Industry 6 : Electricity and gas</v>
      </c>
      <c r="B160" s="366">
        <f>$B$5</f>
        <v>2015</v>
      </c>
      <c r="C160" s="366"/>
      <c r="D160" s="366"/>
      <c r="E160" s="366"/>
      <c r="F160" s="291"/>
      <c r="G160" s="366">
        <f>$G$5</f>
        <v>2019</v>
      </c>
      <c r="H160" s="366"/>
      <c r="I160" s="366"/>
      <c r="J160" s="366"/>
      <c r="K160" s="291"/>
      <c r="L160" s="366">
        <f>$L$5</f>
        <v>2020</v>
      </c>
      <c r="M160" s="366"/>
      <c r="N160" s="366"/>
      <c r="O160" s="366"/>
      <c r="P160" s="289"/>
      <c r="Q160" s="366">
        <f>$Q$5</f>
        <v>2025</v>
      </c>
      <c r="R160" s="366"/>
      <c r="S160" s="366"/>
      <c r="T160" s="366"/>
      <c r="U160" s="291"/>
      <c r="V160" s="366">
        <f>$V$5</f>
        <v>2035</v>
      </c>
      <c r="W160" s="366"/>
      <c r="X160" s="366"/>
      <c r="Y160" s="366"/>
    </row>
    <row r="161" spans="1:25">
      <c r="A161" s="240"/>
      <c r="B161" s="244" t="str">
        <f>$B$6</f>
        <v>FT</v>
      </c>
      <c r="C161" s="244" t="str">
        <f>$C$6</f>
        <v>PT</v>
      </c>
      <c r="D161" s="244" t="str">
        <f>$D$6</f>
        <v>SE</v>
      </c>
      <c r="E161" s="244" t="str">
        <f>$E$6</f>
        <v>Total</v>
      </c>
      <c r="F161" s="244"/>
      <c r="G161" s="244" t="str">
        <f>$B$6</f>
        <v>FT</v>
      </c>
      <c r="H161" s="244" t="str">
        <f>$C$6</f>
        <v>PT</v>
      </c>
      <c r="I161" s="244" t="str">
        <f>$D$6</f>
        <v>SE</v>
      </c>
      <c r="J161" s="244" t="str">
        <f>$E$6</f>
        <v>Total</v>
      </c>
      <c r="K161" s="244"/>
      <c r="L161" s="244" t="str">
        <f>$L$6</f>
        <v>FT</v>
      </c>
      <c r="M161" s="244" t="str">
        <f>$M$6</f>
        <v>PT</v>
      </c>
      <c r="N161" s="244" t="str">
        <f>$N$6</f>
        <v>SE</v>
      </c>
      <c r="O161" s="244" t="str">
        <f>$O$6</f>
        <v>Total</v>
      </c>
      <c r="P161" s="244"/>
      <c r="Q161" s="244" t="str">
        <f>$L$6</f>
        <v>FT</v>
      </c>
      <c r="R161" s="244" t="str">
        <f>$M$6</f>
        <v>PT</v>
      </c>
      <c r="S161" s="244" t="str">
        <f>$N$6</f>
        <v>SE</v>
      </c>
      <c r="T161" s="244" t="str">
        <f>$O$6</f>
        <v>Total</v>
      </c>
      <c r="U161" s="244"/>
      <c r="V161" s="244" t="str">
        <f>$V$6</f>
        <v>FT</v>
      </c>
      <c r="W161" s="244" t="str">
        <f>$W$6</f>
        <v>PT</v>
      </c>
      <c r="X161" s="244" t="str">
        <f>$X$6</f>
        <v>SE</v>
      </c>
      <c r="Y161" s="244" t="str">
        <f>$Y$6</f>
        <v>Total</v>
      </c>
    </row>
    <row r="162" spans="1:25">
      <c r="C162" s="290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290"/>
      <c r="R162" s="290"/>
      <c r="S162" s="290"/>
      <c r="T162" s="290"/>
      <c r="U162" s="290"/>
      <c r="V162" s="290"/>
      <c r="W162" s="290"/>
      <c r="X162" s="290"/>
      <c r="Y162" s="290"/>
    </row>
    <row r="163" spans="1:25">
      <c r="A163" s="237" t="str">
        <f>name!A27</f>
        <v>Electricity, gas, etc</v>
      </c>
      <c r="C163" s="239"/>
    </row>
    <row r="164" spans="1:25" ht="12.6">
      <c r="A164" s="236" t="s">
        <v>145</v>
      </c>
      <c r="B164" s="276">
        <v>20.401999999916427</v>
      </c>
      <c r="C164" s="276">
        <v>5.7500000000857563</v>
      </c>
      <c r="D164" s="276">
        <v>0.9100000000065015</v>
      </c>
      <c r="E164" s="276">
        <f>SUM(B164:D164)</f>
        <v>27.062000000008684</v>
      </c>
      <c r="F164" s="276"/>
      <c r="G164" s="276">
        <v>25.989999999812593</v>
      </c>
      <c r="H164" s="276">
        <v>6.5830000001007987</v>
      </c>
      <c r="I164" s="276">
        <v>9.0000000001076476E-3</v>
      </c>
      <c r="J164" s="276">
        <f>SUM(G164:I164)</f>
        <v>32.581999999913499</v>
      </c>
      <c r="K164" s="276"/>
      <c r="L164" s="276">
        <v>25.3449999998865</v>
      </c>
      <c r="M164" s="276">
        <v>6.6830000001048333</v>
      </c>
      <c r="N164" s="276">
        <v>1.9959999999938931</v>
      </c>
      <c r="O164" s="276">
        <f>SUM(L164:N164)</f>
        <v>34.023999999985229</v>
      </c>
      <c r="P164" s="276"/>
      <c r="Q164" s="276">
        <v>24.685000000538647</v>
      </c>
      <c r="R164" s="276">
        <v>6.4380000001589108</v>
      </c>
      <c r="S164" s="276">
        <v>1.9220000000226765</v>
      </c>
      <c r="T164" s="276">
        <f>SUM(Q164:S164)</f>
        <v>33.045000000720236</v>
      </c>
      <c r="U164" s="276"/>
      <c r="V164" s="276">
        <v>25.105000000433392</v>
      </c>
      <c r="W164" s="276">
        <v>6.4110000000948473</v>
      </c>
      <c r="X164" s="276">
        <v>1.914000000105015</v>
      </c>
      <c r="Y164" s="276">
        <f>SUM(V164:X164)</f>
        <v>33.430000000633257</v>
      </c>
    </row>
    <row r="165" spans="1:25" ht="12.6">
      <c r="A165" s="236" t="s">
        <v>144</v>
      </c>
      <c r="B165" s="276">
        <v>63.419999999573079</v>
      </c>
      <c r="C165" s="276">
        <v>1.677000000004562</v>
      </c>
      <c r="D165" s="276">
        <v>6.6269999999781044</v>
      </c>
      <c r="E165" s="276">
        <f t="shared" ref="E165:E166" si="416">SUM(B165:D165)</f>
        <v>71.723999999555758</v>
      </c>
      <c r="F165" s="276"/>
      <c r="G165" s="276">
        <v>76.46899999956932</v>
      </c>
      <c r="H165" s="276">
        <v>2.641000000011942</v>
      </c>
      <c r="I165" s="276">
        <v>7.3109999999754836</v>
      </c>
      <c r="J165" s="276">
        <f t="shared" ref="J165:J166" si="417">SUM(G165:I165)</f>
        <v>86.420999999556741</v>
      </c>
      <c r="K165" s="276"/>
      <c r="L165" s="276">
        <v>78.405999999480656</v>
      </c>
      <c r="M165" s="276">
        <v>1.6989999999984808</v>
      </c>
      <c r="N165" s="276">
        <v>4.6020000000059955</v>
      </c>
      <c r="O165" s="276">
        <f t="shared" ref="O165:O166" si="418">SUM(L165:N165)</f>
        <v>84.706999999485134</v>
      </c>
      <c r="P165" s="276"/>
      <c r="Q165" s="276">
        <v>75.07699999994604</v>
      </c>
      <c r="R165" s="276">
        <v>1.6520000000142991</v>
      </c>
      <c r="S165" s="276">
        <v>4.4750000000714625</v>
      </c>
      <c r="T165" s="276">
        <f t="shared" ref="T165:T166" si="419">SUM(Q165:S165)</f>
        <v>81.204000000031797</v>
      </c>
      <c r="U165" s="276"/>
      <c r="V165" s="276">
        <v>73.850999999789124</v>
      </c>
      <c r="W165" s="276">
        <v>1.6810000000158771</v>
      </c>
      <c r="X165" s="276">
        <v>4.5320000000730749</v>
      </c>
      <c r="Y165" s="276">
        <f t="shared" ref="Y165:Y166" si="420">SUM(V165:X165)</f>
        <v>80.063999999878064</v>
      </c>
    </row>
    <row r="166" spans="1:25" ht="12.6">
      <c r="A166" s="240" t="s">
        <v>146</v>
      </c>
      <c r="B166" s="277">
        <f>SUM(B164:B165)</f>
        <v>83.821999999489506</v>
      </c>
      <c r="C166" s="277">
        <f t="shared" ref="C166" si="421">SUM(C164:C165)</f>
        <v>7.4270000000903185</v>
      </c>
      <c r="D166" s="277">
        <f t="shared" ref="D166" si="422">SUM(D164:D165)</f>
        <v>7.536999999984606</v>
      </c>
      <c r="E166" s="277">
        <f t="shared" si="416"/>
        <v>98.785999999564424</v>
      </c>
      <c r="F166" s="277"/>
      <c r="G166" s="277">
        <f>SUM(G164:G165)</f>
        <v>102.45899999938192</v>
      </c>
      <c r="H166" s="277">
        <f t="shared" ref="H166" si="423">SUM(H164:H165)</f>
        <v>9.2240000001127402</v>
      </c>
      <c r="I166" s="277">
        <f t="shared" ref="I166" si="424">SUM(I164:I165)</f>
        <v>7.3199999999755914</v>
      </c>
      <c r="J166" s="277">
        <f t="shared" si="417"/>
        <v>119.00299999947025</v>
      </c>
      <c r="K166" s="277"/>
      <c r="L166" s="277">
        <f>SUM(L164:L165)</f>
        <v>103.75099999936715</v>
      </c>
      <c r="M166" s="277">
        <f t="shared" ref="M166" si="425">SUM(M164:M165)</f>
        <v>8.3820000001033144</v>
      </c>
      <c r="N166" s="277">
        <f t="shared" ref="N166" si="426">SUM(N164:N165)</f>
        <v>6.5979999999998888</v>
      </c>
      <c r="O166" s="277">
        <f t="shared" si="418"/>
        <v>118.73099999947036</v>
      </c>
      <c r="P166" s="277"/>
      <c r="Q166" s="277">
        <f>SUM(Q164:Q165)</f>
        <v>99.76200000048469</v>
      </c>
      <c r="R166" s="277">
        <f t="shared" ref="R166" si="427">SUM(R164:R165)</f>
        <v>8.0900000001732106</v>
      </c>
      <c r="S166" s="277">
        <f t="shared" ref="S166" si="428">SUM(S164:S165)</f>
        <v>6.3970000000941392</v>
      </c>
      <c r="T166" s="277">
        <f t="shared" si="419"/>
        <v>114.24900000075203</v>
      </c>
      <c r="U166" s="277"/>
      <c r="V166" s="277">
        <f>SUM(V164:V165)</f>
        <v>98.956000000222517</v>
      </c>
      <c r="W166" s="277">
        <f t="shared" ref="W166" si="429">SUM(W164:W165)</f>
        <v>8.0920000001107244</v>
      </c>
      <c r="X166" s="277">
        <f t="shared" ref="X166" si="430">SUM(X164:X165)</f>
        <v>6.4460000001780902</v>
      </c>
      <c r="Y166" s="277">
        <f t="shared" si="420"/>
        <v>113.49400000051133</v>
      </c>
    </row>
    <row r="167" spans="1:25" ht="12.6">
      <c r="C167" s="239"/>
    </row>
    <row r="168" spans="1:25" ht="12.6">
      <c r="C168" s="239"/>
    </row>
    <row r="169" spans="1:25" ht="12.6">
      <c r="C169" s="239"/>
    </row>
    <row r="170" spans="1:25" ht="14.1">
      <c r="A170" s="241" t="str">
        <f>"Industry 7 : "&amp; name!B10</f>
        <v>Industry 7 : Water and sewerage</v>
      </c>
      <c r="B170" s="366">
        <f>$B$5</f>
        <v>2015</v>
      </c>
      <c r="C170" s="366"/>
      <c r="D170" s="366"/>
      <c r="E170" s="366"/>
      <c r="F170" s="291"/>
      <c r="G170" s="366">
        <f>$G$5</f>
        <v>2019</v>
      </c>
      <c r="H170" s="366"/>
      <c r="I170" s="366"/>
      <c r="J170" s="366"/>
      <c r="K170" s="291"/>
      <c r="L170" s="366">
        <f>$L$5</f>
        <v>2020</v>
      </c>
      <c r="M170" s="366"/>
      <c r="N170" s="366"/>
      <c r="O170" s="366"/>
      <c r="P170" s="289"/>
      <c r="Q170" s="366">
        <f>$Q$5</f>
        <v>2025</v>
      </c>
      <c r="R170" s="366"/>
      <c r="S170" s="366"/>
      <c r="T170" s="366"/>
      <c r="U170" s="291"/>
      <c r="V170" s="366">
        <f>$V$5</f>
        <v>2035</v>
      </c>
      <c r="W170" s="366"/>
      <c r="X170" s="366"/>
      <c r="Y170" s="366"/>
    </row>
    <row r="171" spans="1:25">
      <c r="A171" s="240"/>
      <c r="B171" s="244" t="str">
        <f>$B$6</f>
        <v>FT</v>
      </c>
      <c r="C171" s="244" t="str">
        <f>$C$6</f>
        <v>PT</v>
      </c>
      <c r="D171" s="244" t="str">
        <f>$D$6</f>
        <v>SE</v>
      </c>
      <c r="E171" s="244" t="str">
        <f>$E$6</f>
        <v>Total</v>
      </c>
      <c r="F171" s="244"/>
      <c r="G171" s="244" t="str">
        <f>$B$6</f>
        <v>FT</v>
      </c>
      <c r="H171" s="244" t="str">
        <f>$C$6</f>
        <v>PT</v>
      </c>
      <c r="I171" s="244" t="str">
        <f>$D$6</f>
        <v>SE</v>
      </c>
      <c r="J171" s="244" t="str">
        <f>$E$6</f>
        <v>Total</v>
      </c>
      <c r="K171" s="244"/>
      <c r="L171" s="244" t="str">
        <f>$L$6</f>
        <v>FT</v>
      </c>
      <c r="M171" s="244" t="str">
        <f>$M$6</f>
        <v>PT</v>
      </c>
      <c r="N171" s="244" t="str">
        <f>$N$6</f>
        <v>SE</v>
      </c>
      <c r="O171" s="244" t="str">
        <f>$O$6</f>
        <v>Total</v>
      </c>
      <c r="P171" s="244"/>
      <c r="Q171" s="244" t="str">
        <f>$L$6</f>
        <v>FT</v>
      </c>
      <c r="R171" s="244" t="str">
        <f>$M$6</f>
        <v>PT</v>
      </c>
      <c r="S171" s="244" t="str">
        <f>$N$6</f>
        <v>SE</v>
      </c>
      <c r="T171" s="244" t="str">
        <f>$O$6</f>
        <v>Total</v>
      </c>
      <c r="U171" s="244"/>
      <c r="V171" s="244" t="str">
        <f>$V$6</f>
        <v>FT</v>
      </c>
      <c r="W171" s="244" t="str">
        <f>$W$6</f>
        <v>PT</v>
      </c>
      <c r="X171" s="244" t="str">
        <f>$X$6</f>
        <v>SE</v>
      </c>
      <c r="Y171" s="244" t="str">
        <f>$Y$6</f>
        <v>Total</v>
      </c>
    </row>
    <row r="172" spans="1:25">
      <c r="C172" s="290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290"/>
      <c r="R172" s="290"/>
      <c r="S172" s="290"/>
      <c r="T172" s="290"/>
      <c r="U172" s="290"/>
      <c r="V172" s="290"/>
      <c r="W172" s="290"/>
      <c r="X172" s="290"/>
      <c r="Y172" s="290"/>
    </row>
    <row r="173" spans="1:25">
      <c r="A173" s="237" t="str">
        <f>name!A28</f>
        <v>Water</v>
      </c>
      <c r="C173" s="239"/>
    </row>
    <row r="174" spans="1:25" ht="12.6">
      <c r="A174" s="236" t="s">
        <v>145</v>
      </c>
      <c r="B174" s="276">
        <v>6.9109999999329998</v>
      </c>
      <c r="C174" s="276">
        <v>3.0140000000171838</v>
      </c>
      <c r="D174" s="276">
        <v>1.3740000000087496</v>
      </c>
      <c r="E174" s="276">
        <f>SUM(B174:D174)</f>
        <v>11.298999999958934</v>
      </c>
      <c r="F174" s="276"/>
      <c r="G174" s="276">
        <v>7.9419999999077282</v>
      </c>
      <c r="H174" s="276">
        <v>2.7340000000288387</v>
      </c>
      <c r="I174" s="276">
        <v>0.2050000000019423</v>
      </c>
      <c r="J174" s="276">
        <f>SUM(G174:I174)</f>
        <v>10.880999999938508</v>
      </c>
      <c r="K174" s="276"/>
      <c r="L174" s="276">
        <v>7.0819999999336831</v>
      </c>
      <c r="M174" s="276">
        <v>2.5620000000199066</v>
      </c>
      <c r="N174" s="276">
        <v>0.23399999999827759</v>
      </c>
      <c r="O174" s="276">
        <f>SUM(L174:N174)</f>
        <v>9.8779999999518662</v>
      </c>
      <c r="P174" s="276"/>
      <c r="Q174" s="276">
        <v>7.7190000001588555</v>
      </c>
      <c r="R174" s="276">
        <v>2.7050000000294721</v>
      </c>
      <c r="S174" s="276">
        <v>0.24100000000165894</v>
      </c>
      <c r="T174" s="276">
        <f>SUM(Q174:S174)</f>
        <v>10.665000000189986</v>
      </c>
      <c r="U174" s="276"/>
      <c r="V174" s="276">
        <v>8.9190000003040684</v>
      </c>
      <c r="W174" s="276">
        <v>2.9370000000262522</v>
      </c>
      <c r="X174" s="276">
        <v>0.25200000000673056</v>
      </c>
      <c r="Y174" s="276">
        <f>SUM(V174:X174)</f>
        <v>12.108000000337052</v>
      </c>
    </row>
    <row r="175" spans="1:25" ht="12.6">
      <c r="A175" s="236" t="s">
        <v>144</v>
      </c>
      <c r="B175" s="276">
        <v>19.014999999891007</v>
      </c>
      <c r="C175" s="276">
        <v>1.2320000000014704</v>
      </c>
      <c r="D175" s="276">
        <v>0.41899999999864146</v>
      </c>
      <c r="E175" s="276">
        <f t="shared" ref="E175:E176" si="431">SUM(B175:D175)</f>
        <v>20.665999999891117</v>
      </c>
      <c r="F175" s="276"/>
      <c r="G175" s="276">
        <v>26.610999999895501</v>
      </c>
      <c r="H175" s="276">
        <v>0.96799999999899444</v>
      </c>
      <c r="I175" s="276">
        <v>0.18200000000211908</v>
      </c>
      <c r="J175" s="276">
        <f t="shared" ref="J175:J176" si="432">SUM(G175:I175)</f>
        <v>27.760999999896615</v>
      </c>
      <c r="K175" s="276"/>
      <c r="L175" s="276">
        <v>23.49999999988863</v>
      </c>
      <c r="M175" s="276">
        <v>1.8650000000001203</v>
      </c>
      <c r="N175" s="276">
        <v>1.2389999999951333</v>
      </c>
      <c r="O175" s="276">
        <f t="shared" ref="O175:O176" si="433">SUM(L175:N175)</f>
        <v>26.603999999883882</v>
      </c>
      <c r="P175" s="276"/>
      <c r="Q175" s="276">
        <v>24.473000000022552</v>
      </c>
      <c r="R175" s="276">
        <v>1.9580000000034457</v>
      </c>
      <c r="S175" s="276">
        <v>1.272999999983472</v>
      </c>
      <c r="T175" s="276">
        <f t="shared" ref="T175:T176" si="434">SUM(Q175:S175)</f>
        <v>27.704000000009469</v>
      </c>
      <c r="U175" s="276"/>
      <c r="V175" s="276">
        <v>25.891999999950652</v>
      </c>
      <c r="W175" s="276">
        <v>2.088000000009326</v>
      </c>
      <c r="X175" s="276">
        <v>1.3289999999920599</v>
      </c>
      <c r="Y175" s="276">
        <f t="shared" ref="Y175:Y176" si="435">SUM(V175:X175)</f>
        <v>29.308999999952039</v>
      </c>
    </row>
    <row r="176" spans="1:25" ht="12.6">
      <c r="A176" s="236" t="s">
        <v>146</v>
      </c>
      <c r="B176" s="276">
        <f>SUM(B174:B175)</f>
        <v>25.925999999824008</v>
      </c>
      <c r="C176" s="276">
        <f t="shared" ref="C176" si="436">SUM(C174:C175)</f>
        <v>4.246000000018654</v>
      </c>
      <c r="D176" s="276">
        <f t="shared" ref="D176" si="437">SUM(D174:D175)</f>
        <v>1.7930000000073911</v>
      </c>
      <c r="E176" s="276">
        <f t="shared" si="431"/>
        <v>31.964999999850054</v>
      </c>
      <c r="F176" s="276"/>
      <c r="G176" s="276">
        <f>SUM(G174:G175)</f>
        <v>34.552999999803227</v>
      </c>
      <c r="H176" s="276">
        <f t="shared" ref="H176" si="438">SUM(H174:H175)</f>
        <v>3.7020000000278332</v>
      </c>
      <c r="I176" s="276">
        <f t="shared" ref="I176" si="439">SUM(I174:I175)</f>
        <v>0.38700000000406137</v>
      </c>
      <c r="J176" s="276">
        <f t="shared" si="432"/>
        <v>38.641999999835122</v>
      </c>
      <c r="K176" s="276"/>
      <c r="L176" s="276">
        <f>SUM(L174:L175)</f>
        <v>30.581999999822312</v>
      </c>
      <c r="M176" s="276">
        <f t="shared" ref="M176" si="440">SUM(M174:M175)</f>
        <v>4.4270000000200271</v>
      </c>
      <c r="N176" s="276">
        <f t="shared" ref="N176" si="441">SUM(N174:N175)</f>
        <v>1.4729999999934109</v>
      </c>
      <c r="O176" s="276">
        <f t="shared" si="433"/>
        <v>36.48199999983575</v>
      </c>
      <c r="P176" s="276"/>
      <c r="Q176" s="276">
        <f>SUM(Q174:Q175)</f>
        <v>32.192000000181409</v>
      </c>
      <c r="R176" s="276">
        <f t="shared" ref="R176" si="442">SUM(R174:R175)</f>
        <v>4.6630000000329179</v>
      </c>
      <c r="S176" s="276">
        <f t="shared" ref="S176" si="443">SUM(S174:S175)</f>
        <v>1.513999999985131</v>
      </c>
      <c r="T176" s="276">
        <f t="shared" si="434"/>
        <v>38.369000000199456</v>
      </c>
      <c r="U176" s="276"/>
      <c r="V176" s="276">
        <f>SUM(V174:V175)</f>
        <v>34.811000000254722</v>
      </c>
      <c r="W176" s="276">
        <f t="shared" ref="W176" si="444">SUM(W174:W175)</f>
        <v>5.0250000000355781</v>
      </c>
      <c r="X176" s="276">
        <f t="shared" ref="X176" si="445">SUM(X174:X175)</f>
        <v>1.5809999999987905</v>
      </c>
      <c r="Y176" s="276">
        <f t="shared" si="435"/>
        <v>41.417000000289086</v>
      </c>
    </row>
    <row r="177" spans="1:25">
      <c r="C177" s="290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290"/>
      <c r="R177" s="290"/>
      <c r="S177" s="290"/>
      <c r="T177" s="290"/>
      <c r="U177" s="290"/>
      <c r="V177" s="290"/>
      <c r="W177" s="290"/>
      <c r="X177" s="290"/>
      <c r="Y177" s="290"/>
    </row>
    <row r="178" spans="1:25">
      <c r="A178" s="237" t="str">
        <f>name!A29</f>
        <v>Sewerage</v>
      </c>
      <c r="C178" s="239"/>
    </row>
    <row r="179" spans="1:25" ht="12.6">
      <c r="A179" s="236" t="s">
        <v>145</v>
      </c>
      <c r="B179" s="276">
        <v>3.3179999999735963</v>
      </c>
      <c r="C179" s="276">
        <v>1.6200000000088823</v>
      </c>
      <c r="D179" s="276">
        <v>0.66400000000398229</v>
      </c>
      <c r="E179" s="276">
        <f>SUM(B179:D179)</f>
        <v>5.6019999999864609</v>
      </c>
      <c r="F179" s="276"/>
      <c r="G179" s="276">
        <v>4.8179999999583352</v>
      </c>
      <c r="H179" s="276">
        <v>1.2970000000081994</v>
      </c>
      <c r="I179" s="276">
        <v>0.20400000000143909</v>
      </c>
      <c r="J179" s="276">
        <f>SUM(G179:I179)</f>
        <v>6.318999999967974</v>
      </c>
      <c r="K179" s="276"/>
      <c r="L179" s="276">
        <v>4.4949999999750059</v>
      </c>
      <c r="M179" s="276">
        <v>1.10600000000534</v>
      </c>
      <c r="N179" s="276">
        <v>8.3999999999189098E-2</v>
      </c>
      <c r="O179" s="276">
        <f>SUM(L179:N179)</f>
        <v>5.6849999999795342</v>
      </c>
      <c r="P179" s="276"/>
      <c r="Q179" s="276">
        <v>4.8480000000722026</v>
      </c>
      <c r="R179" s="276">
        <v>1.1780000000149462</v>
      </c>
      <c r="S179" s="276">
        <v>8.7000000000401256E-2</v>
      </c>
      <c r="T179" s="276">
        <f>SUM(Q179:S179)</f>
        <v>6.11300000008755</v>
      </c>
      <c r="U179" s="276"/>
      <c r="V179" s="276">
        <v>5.5030000001129427</v>
      </c>
      <c r="W179" s="276">
        <v>1.2980000000270508</v>
      </c>
      <c r="X179" s="276">
        <v>9.2000000000214743E-2</v>
      </c>
      <c r="Y179" s="276">
        <f>SUM(V179:X179)</f>
        <v>6.8930000001402076</v>
      </c>
    </row>
    <row r="180" spans="1:25" ht="12.6">
      <c r="A180" s="236" t="s">
        <v>144</v>
      </c>
      <c r="B180" s="276">
        <v>14.5470000000824</v>
      </c>
      <c r="C180" s="276">
        <v>0.76900000001999202</v>
      </c>
      <c r="D180" s="276">
        <v>0.99699999999678557</v>
      </c>
      <c r="E180" s="276">
        <f t="shared" ref="E180:E181" si="446">SUM(B180:D180)</f>
        <v>16.313000000099176</v>
      </c>
      <c r="F180" s="276"/>
      <c r="G180" s="276">
        <v>14.34300000006278</v>
      </c>
      <c r="H180" s="276">
        <v>0.50300000000698519</v>
      </c>
      <c r="I180" s="276">
        <v>0.19100000000141382</v>
      </c>
      <c r="J180" s="276">
        <f t="shared" ref="J180:J181" si="447">SUM(G180:I180)</f>
        <v>15.037000000071178</v>
      </c>
      <c r="K180" s="276"/>
      <c r="L180" s="276">
        <v>12.908000000062303</v>
      </c>
      <c r="M180" s="276">
        <v>0.71099999999839869</v>
      </c>
      <c r="N180" s="276">
        <v>0.166999999999146</v>
      </c>
      <c r="O180" s="276">
        <f t="shared" ref="O180:O181" si="448">SUM(L180:N180)</f>
        <v>13.786000000059847</v>
      </c>
      <c r="P180" s="276"/>
      <c r="Q180" s="276">
        <v>13.474000000096298</v>
      </c>
      <c r="R180" s="276">
        <v>0.75700000000176204</v>
      </c>
      <c r="S180" s="276">
        <v>0.17299999999778745</v>
      </c>
      <c r="T180" s="276">
        <f t="shared" ref="T180:T181" si="449">SUM(Q180:S180)</f>
        <v>14.404000000095847</v>
      </c>
      <c r="U180" s="276"/>
      <c r="V180" s="276">
        <v>14.318000000126574</v>
      </c>
      <c r="W180" s="276">
        <v>0.8270000000000054</v>
      </c>
      <c r="X180" s="276">
        <v>0.18799999999704847</v>
      </c>
      <c r="Y180" s="276">
        <f t="shared" ref="Y180:Y181" si="450">SUM(V180:X180)</f>
        <v>15.333000000123628</v>
      </c>
    </row>
    <row r="181" spans="1:25" ht="12.6">
      <c r="A181" s="236" t="s">
        <v>146</v>
      </c>
      <c r="B181" s="276">
        <f>SUM(B179:B180)</f>
        <v>17.865000000055996</v>
      </c>
      <c r="C181" s="276">
        <f t="shared" ref="C181" si="451">SUM(C179:C180)</f>
        <v>2.3890000000288745</v>
      </c>
      <c r="D181" s="276">
        <f t="shared" ref="D181" si="452">SUM(D179:D180)</f>
        <v>1.6610000000007679</v>
      </c>
      <c r="E181" s="276">
        <f t="shared" si="446"/>
        <v>21.915000000085641</v>
      </c>
      <c r="F181" s="276"/>
      <c r="G181" s="276">
        <f>SUM(G179:G180)</f>
        <v>19.161000000021115</v>
      </c>
      <c r="H181" s="276">
        <f t="shared" ref="H181" si="453">SUM(H179:H180)</f>
        <v>1.8000000000151846</v>
      </c>
      <c r="I181" s="276">
        <f t="shared" ref="I181" si="454">SUM(I179:I180)</f>
        <v>0.3950000000028529</v>
      </c>
      <c r="J181" s="276">
        <f t="shared" si="447"/>
        <v>21.356000000039153</v>
      </c>
      <c r="K181" s="276"/>
      <c r="L181" s="276">
        <f>SUM(L179:L180)</f>
        <v>17.403000000037309</v>
      </c>
      <c r="M181" s="276">
        <f t="shared" ref="M181" si="455">SUM(M179:M180)</f>
        <v>1.8170000000037387</v>
      </c>
      <c r="N181" s="276">
        <f t="shared" ref="N181" si="456">SUM(N179:N180)</f>
        <v>0.25099999999833511</v>
      </c>
      <c r="O181" s="276">
        <f t="shared" si="448"/>
        <v>19.471000000039382</v>
      </c>
      <c r="P181" s="276"/>
      <c r="Q181" s="276">
        <f>SUM(Q179:Q180)</f>
        <v>18.322000000168501</v>
      </c>
      <c r="R181" s="276">
        <f t="shared" ref="R181" si="457">SUM(R179:R180)</f>
        <v>1.9350000000167082</v>
      </c>
      <c r="S181" s="276">
        <f t="shared" ref="S181" si="458">SUM(S179:S180)</f>
        <v>0.25999999999818868</v>
      </c>
      <c r="T181" s="276">
        <f t="shared" si="449"/>
        <v>20.517000000183398</v>
      </c>
      <c r="U181" s="276"/>
      <c r="V181" s="276">
        <f>SUM(V179:V180)</f>
        <v>19.821000000239515</v>
      </c>
      <c r="W181" s="276">
        <f t="shared" ref="W181" si="459">SUM(W179:W180)</f>
        <v>2.1250000000270561</v>
      </c>
      <c r="X181" s="276">
        <f t="shared" ref="X181" si="460">SUM(X179:X180)</f>
        <v>0.27999999999726322</v>
      </c>
      <c r="Y181" s="276">
        <f t="shared" si="450"/>
        <v>22.226000000263834</v>
      </c>
    </row>
    <row r="182" spans="1:25">
      <c r="C182" s="290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290"/>
      <c r="R182" s="290"/>
      <c r="S182" s="290"/>
      <c r="T182" s="290"/>
      <c r="U182" s="290"/>
      <c r="V182" s="290"/>
      <c r="W182" s="290"/>
      <c r="X182" s="290"/>
      <c r="Y182" s="290"/>
    </row>
    <row r="183" spans="1:25">
      <c r="A183" s="237" t="str">
        <f>name!A30</f>
        <v>Waste management</v>
      </c>
      <c r="C183" s="239"/>
    </row>
    <row r="184" spans="1:25" ht="12.6">
      <c r="A184" s="236" t="s">
        <v>145</v>
      </c>
      <c r="B184" s="276">
        <v>17.265999999870534</v>
      </c>
      <c r="C184" s="276">
        <v>7.294000000031283</v>
      </c>
      <c r="D184" s="276">
        <v>1.005000000013955</v>
      </c>
      <c r="E184" s="276">
        <f>SUM(B184:D184)</f>
        <v>25.56499999991577</v>
      </c>
      <c r="F184" s="276"/>
      <c r="G184" s="276">
        <v>17.947999999829342</v>
      </c>
      <c r="H184" s="276">
        <v>8.9230000000295444</v>
      </c>
      <c r="I184" s="276">
        <v>1.8120000000245073</v>
      </c>
      <c r="J184" s="276">
        <f>SUM(G184:I184)</f>
        <v>28.682999999883396</v>
      </c>
      <c r="K184" s="276"/>
      <c r="L184" s="276">
        <v>16.436999999886364</v>
      </c>
      <c r="M184" s="276">
        <v>8.1140000000231947</v>
      </c>
      <c r="N184" s="276">
        <v>0.39999999999587693</v>
      </c>
      <c r="O184" s="276">
        <f>SUM(L184:N184)</f>
        <v>24.950999999905434</v>
      </c>
      <c r="P184" s="276"/>
      <c r="Q184" s="276">
        <v>17.945000000276469</v>
      </c>
      <c r="R184" s="276">
        <v>8.5890000000820486</v>
      </c>
      <c r="S184" s="276">
        <v>0.41400000000135811</v>
      </c>
      <c r="T184" s="276">
        <f>SUM(Q184:S184)</f>
        <v>26.948000000359876</v>
      </c>
      <c r="U184" s="276"/>
      <c r="V184" s="276">
        <v>20.820000000449838</v>
      </c>
      <c r="W184" s="276">
        <v>9.3720000001520649</v>
      </c>
      <c r="X184" s="276">
        <v>0.43300000000028788</v>
      </c>
      <c r="Y184" s="276">
        <f>SUM(V184:X184)</f>
        <v>30.625000000602189</v>
      </c>
    </row>
    <row r="185" spans="1:25" ht="12.6">
      <c r="A185" s="236" t="s">
        <v>144</v>
      </c>
      <c r="B185" s="276">
        <v>76.013000000283455</v>
      </c>
      <c r="C185" s="276">
        <v>3.493000000049145</v>
      </c>
      <c r="D185" s="276">
        <v>4.3999999999282551</v>
      </c>
      <c r="E185" s="276">
        <f t="shared" ref="E185:E186" si="461">SUM(B185:D185)</f>
        <v>83.90600000026086</v>
      </c>
      <c r="F185" s="276"/>
      <c r="G185" s="276">
        <v>87.459000000236571</v>
      </c>
      <c r="H185" s="276">
        <v>3.3050000000251414</v>
      </c>
      <c r="I185" s="276">
        <v>6.1340000000680925</v>
      </c>
      <c r="J185" s="276">
        <f t="shared" ref="J185:J186" si="462">SUM(G185:I185)</f>
        <v>96.898000000329816</v>
      </c>
      <c r="K185" s="276"/>
      <c r="L185" s="276">
        <v>78.57600000015492</v>
      </c>
      <c r="M185" s="276">
        <v>7.7189999999575223</v>
      </c>
      <c r="N185" s="276">
        <v>4.4139999999274666</v>
      </c>
      <c r="O185" s="276">
        <f t="shared" ref="O185:O186" si="463">SUM(L185:N185)</f>
        <v>90.709000000039907</v>
      </c>
      <c r="P185" s="276"/>
      <c r="Q185" s="276">
        <v>81.967000000289204</v>
      </c>
      <c r="R185" s="276">
        <v>8.1190000000625595</v>
      </c>
      <c r="S185" s="276">
        <v>4.4709999998387149</v>
      </c>
      <c r="T185" s="276">
        <f t="shared" ref="T185:T186" si="464">SUM(Q185:S185)</f>
        <v>94.55700000019047</v>
      </c>
      <c r="U185" s="276"/>
      <c r="V185" s="276">
        <v>87.052000000298747</v>
      </c>
      <c r="W185" s="276">
        <v>8.7190000001051828</v>
      </c>
      <c r="X185" s="276">
        <v>4.4049999998689024</v>
      </c>
      <c r="Y185" s="276">
        <f t="shared" ref="Y185:Y186" si="465">SUM(V185:X185)</f>
        <v>100.17600000027284</v>
      </c>
    </row>
    <row r="186" spans="1:25" ht="12.6">
      <c r="A186" s="236" t="s">
        <v>146</v>
      </c>
      <c r="B186" s="276">
        <f>SUM(B184:B185)</f>
        <v>93.279000000153985</v>
      </c>
      <c r="C186" s="276">
        <f t="shared" ref="C186" si="466">SUM(C184:C185)</f>
        <v>10.787000000080429</v>
      </c>
      <c r="D186" s="276">
        <f t="shared" ref="D186" si="467">SUM(D184:D185)</f>
        <v>5.40499999994221</v>
      </c>
      <c r="E186" s="276">
        <f t="shared" si="461"/>
        <v>109.47100000017662</v>
      </c>
      <c r="F186" s="276"/>
      <c r="G186" s="276">
        <f>SUM(G184:G185)</f>
        <v>105.40700000006592</v>
      </c>
      <c r="H186" s="276">
        <f t="shared" ref="H186" si="468">SUM(H184:H185)</f>
        <v>12.228000000054685</v>
      </c>
      <c r="I186" s="276">
        <f t="shared" ref="I186" si="469">SUM(I184:I185)</f>
        <v>7.9460000000925994</v>
      </c>
      <c r="J186" s="276">
        <f t="shared" si="462"/>
        <v>125.58100000021321</v>
      </c>
      <c r="K186" s="276"/>
      <c r="L186" s="276">
        <f>SUM(L184:L185)</f>
        <v>95.013000000041288</v>
      </c>
      <c r="M186" s="276">
        <f t="shared" ref="M186" si="470">SUM(M184:M185)</f>
        <v>15.832999999980718</v>
      </c>
      <c r="N186" s="276">
        <f t="shared" ref="N186" si="471">SUM(N184:N185)</f>
        <v>4.8139999999233432</v>
      </c>
      <c r="O186" s="276">
        <f t="shared" si="463"/>
        <v>115.65999999994534</v>
      </c>
      <c r="P186" s="276"/>
      <c r="Q186" s="276">
        <f>SUM(Q184:Q185)</f>
        <v>99.912000000565669</v>
      </c>
      <c r="R186" s="276">
        <f t="shared" ref="R186" si="472">SUM(R184:R185)</f>
        <v>16.708000000144608</v>
      </c>
      <c r="S186" s="276">
        <f t="shared" ref="S186" si="473">SUM(S184:S185)</f>
        <v>4.8849999998400726</v>
      </c>
      <c r="T186" s="276">
        <f t="shared" si="464"/>
        <v>121.50500000055035</v>
      </c>
      <c r="U186" s="276"/>
      <c r="V186" s="276">
        <f>SUM(V184:V185)</f>
        <v>107.87200000074859</v>
      </c>
      <c r="W186" s="276">
        <f t="shared" ref="W186" si="474">SUM(W184:W185)</f>
        <v>18.091000000257246</v>
      </c>
      <c r="X186" s="276">
        <f t="shared" ref="X186" si="475">SUM(X184:X185)</f>
        <v>4.83799999986919</v>
      </c>
      <c r="Y186" s="276">
        <f t="shared" si="465"/>
        <v>130.80100000087504</v>
      </c>
    </row>
    <row r="188" spans="1:25">
      <c r="A188" s="237" t="s">
        <v>150</v>
      </c>
      <c r="C188" s="239"/>
    </row>
    <row r="189" spans="1:25" ht="12.6">
      <c r="A189" s="236" t="s">
        <v>145</v>
      </c>
      <c r="B189" s="276">
        <f>SUM(B174,B179,B184)</f>
        <v>27.494999999777129</v>
      </c>
      <c r="C189" s="276">
        <f t="shared" ref="C189:D189" si="476">SUM(C174,C179,C184)</f>
        <v>11.928000000057349</v>
      </c>
      <c r="D189" s="276">
        <f t="shared" si="476"/>
        <v>3.0430000000266868</v>
      </c>
      <c r="E189" s="276">
        <f>SUM(B189:D189)</f>
        <v>42.465999999861161</v>
      </c>
      <c r="F189" s="276"/>
      <c r="G189" s="276">
        <f>SUM(G174,G179,G184)</f>
        <v>30.707999999695407</v>
      </c>
      <c r="H189" s="276">
        <f t="shared" ref="H189:I189" si="477">SUM(H174,H179,H184)</f>
        <v>12.954000000066582</v>
      </c>
      <c r="I189" s="276">
        <f t="shared" si="477"/>
        <v>2.2210000000278889</v>
      </c>
      <c r="J189" s="276">
        <f>SUM(G189:I189)</f>
        <v>45.882999999789874</v>
      </c>
      <c r="K189" s="276"/>
      <c r="L189" s="276">
        <f>SUM(L174,L179,L184)</f>
        <v>28.013999999795054</v>
      </c>
      <c r="M189" s="276">
        <f t="shared" ref="M189:N189" si="478">SUM(M174,M179,M184)</f>
        <v>11.782000000048441</v>
      </c>
      <c r="N189" s="276">
        <f t="shared" si="478"/>
        <v>0.71799999999334363</v>
      </c>
      <c r="O189" s="276">
        <f>SUM(L189:N189)</f>
        <v>40.513999999836841</v>
      </c>
      <c r="P189" s="276"/>
      <c r="Q189" s="276">
        <f>SUM(Q174,Q179,Q184)</f>
        <v>30.512000000507527</v>
      </c>
      <c r="R189" s="276">
        <f t="shared" ref="R189:S189" si="479">SUM(R174,R179,R184)</f>
        <v>12.472000000126467</v>
      </c>
      <c r="S189" s="276">
        <f t="shared" si="479"/>
        <v>0.74200000000341837</v>
      </c>
      <c r="T189" s="276">
        <f>SUM(Q189:S189)</f>
        <v>43.726000000637413</v>
      </c>
      <c r="U189" s="276"/>
      <c r="V189" s="276">
        <f>SUM(V174,V179,V184)</f>
        <v>35.242000000866852</v>
      </c>
      <c r="W189" s="276">
        <f t="shared" ref="W189:X189" si="480">SUM(W174,W179,W184)</f>
        <v>13.607000000205367</v>
      </c>
      <c r="X189" s="276">
        <f t="shared" si="480"/>
        <v>0.77700000000723324</v>
      </c>
      <c r="Y189" s="276">
        <f>SUM(V189:X189)</f>
        <v>49.626000001079454</v>
      </c>
    </row>
    <row r="190" spans="1:25" ht="12.6">
      <c r="A190" s="236" t="s">
        <v>144</v>
      </c>
      <c r="B190" s="276">
        <f>SUM(B175,B180,B185)</f>
        <v>109.57500000025686</v>
      </c>
      <c r="C190" s="276">
        <f t="shared" ref="C190:D190" si="481">SUM(C175,C180,C185)</f>
        <v>5.4940000000706073</v>
      </c>
      <c r="D190" s="276">
        <f t="shared" si="481"/>
        <v>5.8159999999236822</v>
      </c>
      <c r="E190" s="276">
        <f t="shared" ref="E190:E191" si="482">SUM(B190:D190)</f>
        <v>120.88500000025115</v>
      </c>
      <c r="F190" s="276"/>
      <c r="G190" s="276">
        <f>SUM(G175,G180,G185)</f>
        <v>128.41300000019487</v>
      </c>
      <c r="H190" s="276">
        <f t="shared" ref="H190:I190" si="483">SUM(H175,H180,H185)</f>
        <v>4.7760000000311216</v>
      </c>
      <c r="I190" s="276">
        <f t="shared" si="483"/>
        <v>6.507000000071625</v>
      </c>
      <c r="J190" s="276">
        <f t="shared" ref="J190:J191" si="484">SUM(G190:I190)</f>
        <v>139.69600000029763</v>
      </c>
      <c r="K190" s="276"/>
      <c r="L190" s="276">
        <f>SUM(L175,L180,L185)</f>
        <v>114.98400000010585</v>
      </c>
      <c r="M190" s="276">
        <f t="shared" ref="M190:N190" si="485">SUM(M175,M180,M185)</f>
        <v>10.29499999995604</v>
      </c>
      <c r="N190" s="276">
        <f t="shared" si="485"/>
        <v>5.8199999999217464</v>
      </c>
      <c r="O190" s="276">
        <f t="shared" ref="O190:O191" si="486">SUM(L190:N190)</f>
        <v>131.09899999998365</v>
      </c>
      <c r="P190" s="276"/>
      <c r="Q190" s="276">
        <f>SUM(Q175,Q180,Q185)</f>
        <v>119.91400000040805</v>
      </c>
      <c r="R190" s="276">
        <f t="shared" ref="R190:S190" si="487">SUM(R175,R180,R185)</f>
        <v>10.834000000067768</v>
      </c>
      <c r="S190" s="276">
        <f t="shared" si="487"/>
        <v>5.916999999819974</v>
      </c>
      <c r="T190" s="276">
        <f t="shared" ref="T190:T191" si="488">SUM(Q190:S190)</f>
        <v>136.66500000029581</v>
      </c>
      <c r="U190" s="276"/>
      <c r="V190" s="276">
        <f>SUM(V175,V180,V185)</f>
        <v>127.26200000037598</v>
      </c>
      <c r="W190" s="276">
        <f t="shared" ref="W190:X190" si="489">SUM(W175,W180,W185)</f>
        <v>11.634000000114515</v>
      </c>
      <c r="X190" s="276">
        <f t="shared" si="489"/>
        <v>5.9219999998580111</v>
      </c>
      <c r="Y190" s="276">
        <f t="shared" ref="Y190:Y191" si="490">SUM(V190:X190)</f>
        <v>144.81800000034849</v>
      </c>
    </row>
    <row r="191" spans="1:25" ht="12.6">
      <c r="A191" s="240" t="s">
        <v>146</v>
      </c>
      <c r="B191" s="277">
        <f>SUM(B189:B190)</f>
        <v>137.07000000003399</v>
      </c>
      <c r="C191" s="277">
        <f t="shared" ref="C191" si="491">SUM(C189:C190)</f>
        <v>17.422000000127955</v>
      </c>
      <c r="D191" s="277">
        <f t="shared" ref="D191" si="492">SUM(D189:D190)</f>
        <v>8.8589999999503686</v>
      </c>
      <c r="E191" s="277">
        <f t="shared" si="482"/>
        <v>163.35100000011229</v>
      </c>
      <c r="F191" s="277"/>
      <c r="G191" s="277">
        <f>SUM(G189:G190)</f>
        <v>159.12099999989027</v>
      </c>
      <c r="H191" s="277">
        <f t="shared" ref="H191" si="493">SUM(H189:H190)</f>
        <v>17.730000000097704</v>
      </c>
      <c r="I191" s="277">
        <f t="shared" ref="I191" si="494">SUM(I189:I190)</f>
        <v>8.728000000099513</v>
      </c>
      <c r="J191" s="277">
        <f t="shared" si="484"/>
        <v>185.57900000008749</v>
      </c>
      <c r="K191" s="277"/>
      <c r="L191" s="277">
        <f>SUM(L189:L190)</f>
        <v>142.99799999990091</v>
      </c>
      <c r="M191" s="277">
        <f t="shared" ref="M191" si="495">SUM(M189:M190)</f>
        <v>22.077000000004482</v>
      </c>
      <c r="N191" s="277">
        <f t="shared" ref="N191" si="496">SUM(N189:N190)</f>
        <v>6.5379999999150904</v>
      </c>
      <c r="O191" s="277">
        <f t="shared" si="486"/>
        <v>171.61299999982049</v>
      </c>
      <c r="P191" s="277"/>
      <c r="Q191" s="277">
        <f>SUM(Q189:Q190)</f>
        <v>150.42600000091556</v>
      </c>
      <c r="R191" s="277">
        <f t="shared" ref="R191" si="497">SUM(R189:R190)</f>
        <v>23.306000000194235</v>
      </c>
      <c r="S191" s="277">
        <f t="shared" ref="S191" si="498">SUM(S189:S190)</f>
        <v>6.6589999998233926</v>
      </c>
      <c r="T191" s="277">
        <f t="shared" si="488"/>
        <v>180.39100000093319</v>
      </c>
      <c r="U191" s="277"/>
      <c r="V191" s="277">
        <f>SUM(V189:V190)</f>
        <v>162.50400000124284</v>
      </c>
      <c r="W191" s="277">
        <f t="shared" ref="W191" si="499">SUM(W189:W190)</f>
        <v>25.241000000319882</v>
      </c>
      <c r="X191" s="277">
        <f t="shared" ref="X191" si="500">SUM(X189:X190)</f>
        <v>6.6989999998652445</v>
      </c>
      <c r="Y191" s="277">
        <f t="shared" si="490"/>
        <v>194.44400000142795</v>
      </c>
    </row>
    <row r="195" spans="1:25" ht="14.1">
      <c r="A195" s="241" t="str">
        <f>"Industry 8 : "&amp; name!B11</f>
        <v>Industry 8 : Construction</v>
      </c>
      <c r="B195" s="366">
        <f>$B$5</f>
        <v>2015</v>
      </c>
      <c r="C195" s="366"/>
      <c r="D195" s="366"/>
      <c r="E195" s="366"/>
      <c r="F195" s="291"/>
      <c r="G195" s="366">
        <f>$G$5</f>
        <v>2019</v>
      </c>
      <c r="H195" s="366"/>
      <c r="I195" s="366"/>
      <c r="J195" s="366"/>
      <c r="K195" s="291"/>
      <c r="L195" s="366">
        <f>$L$5</f>
        <v>2020</v>
      </c>
      <c r="M195" s="366"/>
      <c r="N195" s="366"/>
      <c r="O195" s="366"/>
      <c r="P195" s="289"/>
      <c r="Q195" s="366">
        <f>$Q$5</f>
        <v>2025</v>
      </c>
      <c r="R195" s="366"/>
      <c r="S195" s="366"/>
      <c r="T195" s="366"/>
      <c r="U195" s="291"/>
      <c r="V195" s="366">
        <f>$V$5</f>
        <v>2035</v>
      </c>
      <c r="W195" s="366"/>
      <c r="X195" s="366"/>
      <c r="Y195" s="366"/>
    </row>
    <row r="196" spans="1:25">
      <c r="A196" s="240"/>
      <c r="B196" s="244" t="str">
        <f>$B$6</f>
        <v>FT</v>
      </c>
      <c r="C196" s="244" t="str">
        <f>$C$6</f>
        <v>PT</v>
      </c>
      <c r="D196" s="244" t="str">
        <f>$D$6</f>
        <v>SE</v>
      </c>
      <c r="E196" s="244" t="str">
        <f>$E$6</f>
        <v>Total</v>
      </c>
      <c r="F196" s="244"/>
      <c r="G196" s="244" t="str">
        <f>$B$6</f>
        <v>FT</v>
      </c>
      <c r="H196" s="244" t="str">
        <f>$C$6</f>
        <v>PT</v>
      </c>
      <c r="I196" s="244" t="str">
        <f>$D$6</f>
        <v>SE</v>
      </c>
      <c r="J196" s="244" t="str">
        <f>$E$6</f>
        <v>Total</v>
      </c>
      <c r="K196" s="244"/>
      <c r="L196" s="244" t="str">
        <f>$L$6</f>
        <v>FT</v>
      </c>
      <c r="M196" s="244" t="str">
        <f>$M$6</f>
        <v>PT</v>
      </c>
      <c r="N196" s="244" t="str">
        <f>$N$6</f>
        <v>SE</v>
      </c>
      <c r="O196" s="244" t="str">
        <f>$O$6</f>
        <v>Total</v>
      </c>
      <c r="P196" s="244"/>
      <c r="Q196" s="244" t="str">
        <f>$L$6</f>
        <v>FT</v>
      </c>
      <c r="R196" s="244" t="str">
        <f>$M$6</f>
        <v>PT</v>
      </c>
      <c r="S196" s="244" t="str">
        <f>$N$6</f>
        <v>SE</v>
      </c>
      <c r="T196" s="244" t="str">
        <f>$O$6</f>
        <v>Total</v>
      </c>
      <c r="U196" s="244"/>
      <c r="V196" s="244" t="str">
        <f>$V$6</f>
        <v>FT</v>
      </c>
      <c r="W196" s="244" t="str">
        <f>$W$6</f>
        <v>PT</v>
      </c>
      <c r="X196" s="244" t="str">
        <f>$X$6</f>
        <v>SE</v>
      </c>
      <c r="Y196" s="244" t="str">
        <f>$Y$6</f>
        <v>Total</v>
      </c>
    </row>
    <row r="197" spans="1:25">
      <c r="C197" s="290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290"/>
      <c r="R197" s="290"/>
      <c r="S197" s="290"/>
      <c r="T197" s="290"/>
      <c r="U197" s="290"/>
      <c r="V197" s="290"/>
      <c r="W197" s="290"/>
      <c r="X197" s="290"/>
      <c r="Y197" s="290"/>
    </row>
    <row r="198" spans="1:25">
      <c r="A198" s="237" t="str">
        <f>name!A31</f>
        <v>Construction</v>
      </c>
      <c r="C198" s="239"/>
    </row>
    <row r="199" spans="1:25" ht="12.6">
      <c r="A199" s="236" t="s">
        <v>145</v>
      </c>
      <c r="B199" s="276">
        <v>59.765999999399419</v>
      </c>
      <c r="C199" s="276">
        <v>29.578000000301788</v>
      </c>
      <c r="D199" s="276">
        <v>11.985000000233372</v>
      </c>
      <c r="E199" s="276">
        <f>SUM(B199:D199)</f>
        <v>101.32899999993458</v>
      </c>
      <c r="F199" s="276"/>
      <c r="G199" s="276">
        <v>81.50699999882147</v>
      </c>
      <c r="H199" s="276">
        <v>32.041000000387363</v>
      </c>
      <c r="I199" s="276">
        <v>19.275000000433621</v>
      </c>
      <c r="J199" s="276">
        <f>SUM(G199:I199)</f>
        <v>132.82299999964243</v>
      </c>
      <c r="K199" s="276"/>
      <c r="L199" s="276">
        <v>82.741999999055878</v>
      </c>
      <c r="M199" s="276">
        <v>34.820000000135956</v>
      </c>
      <c r="N199" s="276">
        <v>23.25599999977495</v>
      </c>
      <c r="O199" s="276">
        <f>SUM(L199:N199)</f>
        <v>140.8179999989668</v>
      </c>
      <c r="P199" s="276"/>
      <c r="Q199" s="276">
        <v>88.029000001684295</v>
      </c>
      <c r="R199" s="276">
        <v>37.480000000190479</v>
      </c>
      <c r="S199" s="276">
        <v>24.411000000031262</v>
      </c>
      <c r="T199" s="276">
        <f>SUM(Q199:S199)</f>
        <v>149.92000000190603</v>
      </c>
      <c r="U199" s="276"/>
      <c r="V199" s="276">
        <v>96.950000003044821</v>
      </c>
      <c r="W199" s="276">
        <v>41.905000000409892</v>
      </c>
      <c r="X199" s="276">
        <v>27.360000000034283</v>
      </c>
      <c r="Y199" s="276">
        <f>SUM(V199:X199)</f>
        <v>166.215000003489</v>
      </c>
    </row>
    <row r="200" spans="1:25" ht="12.6">
      <c r="A200" s="236" t="s">
        <v>144</v>
      </c>
      <c r="B200" s="276">
        <v>248.70200000088622</v>
      </c>
      <c r="C200" s="276">
        <v>16.063000000158105</v>
      </c>
      <c r="D200" s="276">
        <v>192.54699999427942</v>
      </c>
      <c r="E200" s="276">
        <f t="shared" ref="E200:E201" si="501">SUM(B200:D200)</f>
        <v>457.31199999532373</v>
      </c>
      <c r="F200" s="276"/>
      <c r="G200" s="276">
        <v>298.47400000104801</v>
      </c>
      <c r="H200" s="276">
        <v>15.553000000147433</v>
      </c>
      <c r="I200" s="276">
        <v>210.85900000545973</v>
      </c>
      <c r="J200" s="276">
        <f t="shared" ref="J200:J201" si="502">SUM(G200:I200)</f>
        <v>524.88600000665519</v>
      </c>
      <c r="K200" s="276"/>
      <c r="L200" s="276">
        <v>294.92099999954758</v>
      </c>
      <c r="M200" s="276">
        <v>24.305999999939182</v>
      </c>
      <c r="N200" s="276">
        <v>203.87299999213076</v>
      </c>
      <c r="O200" s="276">
        <f t="shared" ref="O200:O201" si="503">SUM(L200:N200)</f>
        <v>523.09999999161755</v>
      </c>
      <c r="P200" s="276"/>
      <c r="Q200" s="276">
        <v>307.19900000018293</v>
      </c>
      <c r="R200" s="276">
        <v>26.275000000117792</v>
      </c>
      <c r="S200" s="276">
        <v>217.15099997448181</v>
      </c>
      <c r="T200" s="276">
        <f t="shared" ref="T200:T201" si="504">SUM(Q200:S200)</f>
        <v>550.62499997478255</v>
      </c>
      <c r="U200" s="276"/>
      <c r="V200" s="276">
        <v>321.91600000037317</v>
      </c>
      <c r="W200" s="276">
        <v>29.678000000078999</v>
      </c>
      <c r="X200" s="276">
        <v>239.80899997581491</v>
      </c>
      <c r="Y200" s="276">
        <f t="shared" ref="Y200:Y201" si="505">SUM(V200:X200)</f>
        <v>591.4029999762671</v>
      </c>
    </row>
    <row r="201" spans="1:25" ht="12.6">
      <c r="A201" s="236" t="s">
        <v>146</v>
      </c>
      <c r="B201" s="276">
        <f>SUM(B199:B200)</f>
        <v>308.46800000028566</v>
      </c>
      <c r="C201" s="276">
        <f t="shared" ref="C201" si="506">SUM(C199:C200)</f>
        <v>45.641000000459897</v>
      </c>
      <c r="D201" s="276">
        <f t="shared" ref="D201" si="507">SUM(D199:D200)</f>
        <v>204.5319999945128</v>
      </c>
      <c r="E201" s="276">
        <f t="shared" si="501"/>
        <v>558.64099999525831</v>
      </c>
      <c r="F201" s="276"/>
      <c r="G201" s="276">
        <f>SUM(G199:G200)</f>
        <v>379.98099999986948</v>
      </c>
      <c r="H201" s="276">
        <f t="shared" ref="H201" si="508">SUM(H199:H200)</f>
        <v>47.594000000534798</v>
      </c>
      <c r="I201" s="276">
        <f t="shared" ref="I201" si="509">SUM(I199:I200)</f>
        <v>230.13400000589337</v>
      </c>
      <c r="J201" s="276">
        <f t="shared" si="502"/>
        <v>657.70900000629763</v>
      </c>
      <c r="K201" s="276"/>
      <c r="L201" s="276">
        <f>SUM(L199:L200)</f>
        <v>377.66299999860348</v>
      </c>
      <c r="M201" s="276">
        <f t="shared" ref="M201" si="510">SUM(M199:M200)</f>
        <v>59.126000000075138</v>
      </c>
      <c r="N201" s="276">
        <f t="shared" ref="N201" si="511">SUM(N199:N200)</f>
        <v>227.12899999190572</v>
      </c>
      <c r="O201" s="276">
        <f t="shared" si="503"/>
        <v>663.91799999058435</v>
      </c>
      <c r="P201" s="276"/>
      <c r="Q201" s="276">
        <f>SUM(Q199:Q200)</f>
        <v>395.22800000186726</v>
      </c>
      <c r="R201" s="276">
        <f t="shared" ref="R201" si="512">SUM(R199:R200)</f>
        <v>63.755000000308272</v>
      </c>
      <c r="S201" s="276">
        <f t="shared" ref="S201" si="513">SUM(S199:S200)</f>
        <v>241.56199997451307</v>
      </c>
      <c r="T201" s="276">
        <f t="shared" si="504"/>
        <v>700.54499997668859</v>
      </c>
      <c r="U201" s="276"/>
      <c r="V201" s="276">
        <f>SUM(V199:V200)</f>
        <v>418.86600000341798</v>
      </c>
      <c r="W201" s="276">
        <f t="shared" ref="W201" si="514">SUM(W199:W200)</f>
        <v>71.583000000488894</v>
      </c>
      <c r="X201" s="276">
        <f t="shared" ref="X201" si="515">SUM(X199:X200)</f>
        <v>267.1689999758492</v>
      </c>
      <c r="Y201" s="276">
        <f t="shared" si="505"/>
        <v>757.61799997975606</v>
      </c>
    </row>
    <row r="202" spans="1:25">
      <c r="C202" s="290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290"/>
      <c r="R202" s="290"/>
      <c r="S202" s="290"/>
      <c r="T202" s="290"/>
      <c r="U202" s="290"/>
      <c r="V202" s="290"/>
      <c r="W202" s="290"/>
      <c r="X202" s="290"/>
      <c r="Y202" s="290"/>
    </row>
    <row r="203" spans="1:25">
      <c r="A203" s="237" t="str">
        <f>name!A32</f>
        <v>Civil engineering</v>
      </c>
      <c r="C203" s="239"/>
    </row>
    <row r="204" spans="1:25" ht="12.6">
      <c r="A204" s="236" t="s">
        <v>145</v>
      </c>
      <c r="B204" s="276">
        <v>11.48799999987591</v>
      </c>
      <c r="C204" s="276">
        <v>7.9000000000867425</v>
      </c>
      <c r="D204" s="276">
        <v>2.5650000000512367</v>
      </c>
      <c r="E204" s="276">
        <f>SUM(B204:D204)</f>
        <v>21.953000000013887</v>
      </c>
      <c r="F204" s="276"/>
      <c r="G204" s="276">
        <v>13.832999999805477</v>
      </c>
      <c r="H204" s="276">
        <v>8.1350000000818117</v>
      </c>
      <c r="I204" s="276">
        <v>3.9570000000802068</v>
      </c>
      <c r="J204" s="276">
        <f>SUM(G204:I204)</f>
        <v>25.924999999967497</v>
      </c>
      <c r="K204" s="276"/>
      <c r="L204" s="276">
        <v>14.152999999822804</v>
      </c>
      <c r="M204" s="276">
        <v>8.8930000000619991</v>
      </c>
      <c r="N204" s="276">
        <v>1.8359999999843293</v>
      </c>
      <c r="O204" s="276">
        <f>SUM(L204:N204)</f>
        <v>24.88199999986913</v>
      </c>
      <c r="P204" s="276"/>
      <c r="Q204" s="276">
        <v>14.758000000306152</v>
      </c>
      <c r="R204" s="276">
        <v>9.3020000000960561</v>
      </c>
      <c r="S204" s="276">
        <v>2.2530000000047212</v>
      </c>
      <c r="T204" s="276">
        <f>SUM(Q204:S204)</f>
        <v>26.31300000040693</v>
      </c>
      <c r="U204" s="276"/>
      <c r="V204" s="276">
        <v>15.941000000533688</v>
      </c>
      <c r="W204" s="276">
        <v>10.11000000013774</v>
      </c>
      <c r="X204" s="276">
        <v>3.0450000000041784</v>
      </c>
      <c r="Y204" s="276">
        <f>SUM(V204:X204)</f>
        <v>29.096000000675609</v>
      </c>
    </row>
    <row r="205" spans="1:25" ht="12.6">
      <c r="A205" s="236" t="s">
        <v>144</v>
      </c>
      <c r="B205" s="276">
        <v>122.34500000042557</v>
      </c>
      <c r="C205" s="276">
        <v>4.6000000000355863</v>
      </c>
      <c r="D205" s="276">
        <v>98.092999997043464</v>
      </c>
      <c r="E205" s="276">
        <f t="shared" ref="E205:E206" si="516">SUM(B205:D205)</f>
        <v>225.03799999750464</v>
      </c>
      <c r="F205" s="276"/>
      <c r="G205" s="276">
        <v>134.58700000040412</v>
      </c>
      <c r="H205" s="276">
        <v>4.7160000000310163</v>
      </c>
      <c r="I205" s="276">
        <v>97.461000002426871</v>
      </c>
      <c r="J205" s="276">
        <f t="shared" ref="J205:J206" si="517">SUM(G205:I205)</f>
        <v>236.76400000286202</v>
      </c>
      <c r="K205" s="276"/>
      <c r="L205" s="276">
        <v>132.75900000005129</v>
      </c>
      <c r="M205" s="276">
        <v>7.5370000000069979</v>
      </c>
      <c r="N205" s="276">
        <v>96.11199999664251</v>
      </c>
      <c r="O205" s="276">
        <f t="shared" ref="O205:O206" si="518">SUM(L205:N205)</f>
        <v>236.4079999967008</v>
      </c>
      <c r="P205" s="276"/>
      <c r="Q205" s="276">
        <v>137.17200000037587</v>
      </c>
      <c r="R205" s="276">
        <v>7.9270000000691896</v>
      </c>
      <c r="S205" s="276">
        <v>101.53799998854139</v>
      </c>
      <c r="T205" s="276">
        <f t="shared" ref="T205:T206" si="519">SUM(Q205:S205)</f>
        <v>246.63699998898647</v>
      </c>
      <c r="U205" s="276"/>
      <c r="V205" s="276">
        <v>142.49700000043254</v>
      </c>
      <c r="W205" s="276">
        <v>8.7040000000661877</v>
      </c>
      <c r="X205" s="276">
        <v>111.16999998929958</v>
      </c>
      <c r="Y205" s="276">
        <f t="shared" ref="Y205:Y206" si="520">SUM(V205:X205)</f>
        <v>262.37099998979829</v>
      </c>
    </row>
    <row r="206" spans="1:25" ht="12.6">
      <c r="A206" s="236" t="s">
        <v>146</v>
      </c>
      <c r="B206" s="276">
        <f>SUM(B204:B205)</f>
        <v>133.83300000030147</v>
      </c>
      <c r="C206" s="276">
        <f t="shared" ref="C206" si="521">SUM(C204:C205)</f>
        <v>12.500000000122329</v>
      </c>
      <c r="D206" s="276">
        <f t="shared" ref="D206" si="522">SUM(D204:D205)</f>
        <v>100.65799999709471</v>
      </c>
      <c r="E206" s="276">
        <f t="shared" si="516"/>
        <v>246.99099999751849</v>
      </c>
      <c r="F206" s="276"/>
      <c r="G206" s="276">
        <f>SUM(G204:G205)</f>
        <v>148.4200000002096</v>
      </c>
      <c r="H206" s="276">
        <f t="shared" ref="H206" si="523">SUM(H204:H205)</f>
        <v>12.851000000112828</v>
      </c>
      <c r="I206" s="276">
        <f t="shared" ref="I206" si="524">SUM(I204:I205)</f>
        <v>101.41800000250709</v>
      </c>
      <c r="J206" s="276">
        <f t="shared" si="517"/>
        <v>262.68900000282952</v>
      </c>
      <c r="K206" s="276"/>
      <c r="L206" s="276">
        <f>SUM(L204:L205)</f>
        <v>146.9119999998741</v>
      </c>
      <c r="M206" s="276">
        <f t="shared" ref="M206" si="525">SUM(M204:M205)</f>
        <v>16.430000000068997</v>
      </c>
      <c r="N206" s="276">
        <f t="shared" ref="N206" si="526">SUM(N204:N205)</f>
        <v>97.947999996626834</v>
      </c>
      <c r="O206" s="276">
        <f t="shared" si="518"/>
        <v>261.28999999656992</v>
      </c>
      <c r="P206" s="276"/>
      <c r="Q206" s="276">
        <f>SUM(Q204:Q205)</f>
        <v>151.93000000068201</v>
      </c>
      <c r="R206" s="276">
        <f t="shared" ref="R206" si="527">SUM(R204:R205)</f>
        <v>17.229000000165247</v>
      </c>
      <c r="S206" s="276">
        <f t="shared" ref="S206" si="528">SUM(S204:S205)</f>
        <v>103.7909999885461</v>
      </c>
      <c r="T206" s="276">
        <f t="shared" si="519"/>
        <v>272.9499999893934</v>
      </c>
      <c r="U206" s="276"/>
      <c r="V206" s="276">
        <f>SUM(V204:V205)</f>
        <v>158.43800000096621</v>
      </c>
      <c r="W206" s="276">
        <f t="shared" ref="W206" si="529">SUM(W204:W205)</f>
        <v>18.814000000203926</v>
      </c>
      <c r="X206" s="276">
        <f t="shared" ref="X206" si="530">SUM(X204:X205)</f>
        <v>114.21499998930376</v>
      </c>
      <c r="Y206" s="276">
        <f t="shared" si="520"/>
        <v>291.46699999047388</v>
      </c>
    </row>
    <row r="207" spans="1:25">
      <c r="C207" s="290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290"/>
      <c r="R207" s="290"/>
      <c r="S207" s="290"/>
      <c r="T207" s="290"/>
      <c r="U207" s="290"/>
      <c r="V207" s="290"/>
      <c r="W207" s="290"/>
      <c r="X207" s="290"/>
      <c r="Y207" s="290"/>
    </row>
    <row r="208" spans="1:25">
      <c r="A208" s="237" t="str">
        <f>name!A33</f>
        <v>Specialised construction</v>
      </c>
      <c r="C208" s="239"/>
    </row>
    <row r="209" spans="1:25" ht="12.6">
      <c r="A209" s="236" t="s">
        <v>145</v>
      </c>
      <c r="B209" s="276">
        <v>56.621999999431125</v>
      </c>
      <c r="C209" s="276">
        <v>53.622000000523606</v>
      </c>
      <c r="D209" s="276">
        <v>14.26500000025729</v>
      </c>
      <c r="E209" s="276">
        <f>SUM(B209:D209)</f>
        <v>124.50900000021201</v>
      </c>
      <c r="F209" s="276"/>
      <c r="G209" s="276">
        <v>67.880999999085788</v>
      </c>
      <c r="H209" s="276">
        <v>62.043000000664428</v>
      </c>
      <c r="I209" s="276">
        <v>19.798000000400336</v>
      </c>
      <c r="J209" s="276">
        <f>SUM(G209:I209)</f>
        <v>149.72200000015056</v>
      </c>
      <c r="K209" s="276"/>
      <c r="L209" s="276">
        <v>68.751999999208991</v>
      </c>
      <c r="M209" s="276">
        <v>67.288000000383889</v>
      </c>
      <c r="N209" s="276">
        <v>13.319999999876625</v>
      </c>
      <c r="O209" s="276">
        <f>SUM(L209:N209)</f>
        <v>149.35999999946949</v>
      </c>
      <c r="P209" s="276"/>
      <c r="Q209" s="276">
        <v>72.369000001487024</v>
      </c>
      <c r="R209" s="276">
        <v>71.37200000044389</v>
      </c>
      <c r="S209" s="276">
        <v>14.290000000018233</v>
      </c>
      <c r="T209" s="276">
        <f>SUM(Q209:S209)</f>
        <v>158.03100000194914</v>
      </c>
      <c r="U209" s="276"/>
      <c r="V209" s="276">
        <v>78.837000002580737</v>
      </c>
      <c r="W209" s="276">
        <v>78.613000000875346</v>
      </c>
      <c r="X209" s="276">
        <v>15.741000000035802</v>
      </c>
      <c r="Y209" s="276">
        <f>SUM(V209:X209)</f>
        <v>173.19100000349187</v>
      </c>
    </row>
    <row r="210" spans="1:25" ht="12.6">
      <c r="A210" s="236" t="s">
        <v>144</v>
      </c>
      <c r="B210" s="276">
        <v>480.49500000111499</v>
      </c>
      <c r="C210" s="276">
        <v>22.216000000180152</v>
      </c>
      <c r="D210" s="276">
        <v>367.50199998806249</v>
      </c>
      <c r="E210" s="276">
        <f t="shared" ref="E210:E211" si="531">SUM(B210:D210)</f>
        <v>870.21299998935763</v>
      </c>
      <c r="F210" s="276"/>
      <c r="G210" s="276">
        <v>512.77900000103728</v>
      </c>
      <c r="H210" s="276">
        <v>24.066000000182427</v>
      </c>
      <c r="I210" s="276">
        <v>389.7920000089801</v>
      </c>
      <c r="J210" s="276">
        <f t="shared" ref="J210:J211" si="532">SUM(G210:I210)</f>
        <v>926.6370000101997</v>
      </c>
      <c r="K210" s="276"/>
      <c r="L210" s="276">
        <v>506.45899999983152</v>
      </c>
      <c r="M210" s="276">
        <v>38.038999999930347</v>
      </c>
      <c r="N210" s="276">
        <v>380.72899998601576</v>
      </c>
      <c r="O210" s="276">
        <f t="shared" ref="O210:O211" si="533">SUM(L210:N210)</f>
        <v>925.22699998577764</v>
      </c>
      <c r="P210" s="276"/>
      <c r="Q210" s="276">
        <v>523.06900000080293</v>
      </c>
      <c r="R210" s="276">
        <v>40.768000000233002</v>
      </c>
      <c r="S210" s="276">
        <v>402.58799995376887</v>
      </c>
      <c r="T210" s="276">
        <f t="shared" ref="T210:T211" si="534">SUM(Q210:S210)</f>
        <v>966.42499995480478</v>
      </c>
      <c r="U210" s="276"/>
      <c r="V210" s="276">
        <v>543.0020000013759</v>
      </c>
      <c r="W210" s="276">
        <v>45.594000000221605</v>
      </c>
      <c r="X210" s="276">
        <v>441.04499995736995</v>
      </c>
      <c r="Y210" s="276">
        <f t="shared" ref="Y210:Y211" si="535">SUM(V210:X210)</f>
        <v>1029.6409999589675</v>
      </c>
    </row>
    <row r="211" spans="1:25" ht="12.6">
      <c r="A211" s="236" t="s">
        <v>146</v>
      </c>
      <c r="B211" s="276">
        <f>SUM(B209:B210)</f>
        <v>537.11700000054611</v>
      </c>
      <c r="C211" s="276">
        <f t="shared" ref="C211" si="536">SUM(C209:C210)</f>
        <v>75.838000000703758</v>
      </c>
      <c r="D211" s="276">
        <f t="shared" ref="D211" si="537">SUM(D209:D210)</f>
        <v>381.76699998831981</v>
      </c>
      <c r="E211" s="276">
        <f t="shared" si="531"/>
        <v>994.72199998956967</v>
      </c>
      <c r="F211" s="276"/>
      <c r="G211" s="276">
        <f>SUM(G209:G210)</f>
        <v>580.66000000012309</v>
      </c>
      <c r="H211" s="276">
        <f t="shared" ref="H211" si="538">SUM(H209:H210)</f>
        <v>86.109000000846862</v>
      </c>
      <c r="I211" s="276">
        <f t="shared" ref="I211" si="539">SUM(I209:I210)</f>
        <v>409.59000000938045</v>
      </c>
      <c r="J211" s="276">
        <f t="shared" si="532"/>
        <v>1076.3590000103504</v>
      </c>
      <c r="K211" s="276"/>
      <c r="L211" s="276">
        <f>SUM(L209:L210)</f>
        <v>575.2109999990405</v>
      </c>
      <c r="M211" s="276">
        <f t="shared" ref="M211" si="540">SUM(M209:M210)</f>
        <v>105.32700000031423</v>
      </c>
      <c r="N211" s="276">
        <f t="shared" ref="N211" si="541">SUM(N209:N210)</f>
        <v>394.04899998589241</v>
      </c>
      <c r="O211" s="276">
        <f t="shared" si="533"/>
        <v>1074.5869999852471</v>
      </c>
      <c r="P211" s="276"/>
      <c r="Q211" s="276">
        <f>SUM(Q209:Q210)</f>
        <v>595.43800000228998</v>
      </c>
      <c r="R211" s="276">
        <f t="shared" ref="R211" si="542">SUM(R209:R210)</f>
        <v>112.14000000067689</v>
      </c>
      <c r="S211" s="276">
        <f t="shared" ref="S211" si="543">SUM(S209:S210)</f>
        <v>416.87799995378708</v>
      </c>
      <c r="T211" s="276">
        <f t="shared" si="534"/>
        <v>1124.4559999567539</v>
      </c>
      <c r="U211" s="276"/>
      <c r="V211" s="276">
        <f>SUM(V209:V210)</f>
        <v>621.8390000039567</v>
      </c>
      <c r="W211" s="276">
        <f t="shared" ref="W211" si="544">SUM(W209:W210)</f>
        <v>124.20700000109696</v>
      </c>
      <c r="X211" s="276">
        <f t="shared" ref="X211" si="545">SUM(X209:X210)</f>
        <v>456.78599995740575</v>
      </c>
      <c r="Y211" s="276">
        <f t="shared" si="535"/>
        <v>1202.8319999624593</v>
      </c>
    </row>
    <row r="212" spans="1:25" ht="12.6">
      <c r="C212" s="239"/>
    </row>
    <row r="213" spans="1:25">
      <c r="A213" s="237" t="s">
        <v>151</v>
      </c>
      <c r="C213" s="239"/>
    </row>
    <row r="214" spans="1:25" ht="12.6">
      <c r="A214" s="236" t="s">
        <v>145</v>
      </c>
      <c r="B214" s="276">
        <f>SUM(B199,B204,B209)</f>
        <v>127.87599999870645</v>
      </c>
      <c r="C214" s="276">
        <f t="shared" ref="C214:D214" si="546">SUM(C199,C204,C209)</f>
        <v>91.100000000912132</v>
      </c>
      <c r="D214" s="276">
        <f t="shared" si="546"/>
        <v>28.8150000005419</v>
      </c>
      <c r="E214" s="276">
        <f>SUM(B214:D214)</f>
        <v>247.79100000016047</v>
      </c>
      <c r="F214" s="276"/>
      <c r="G214" s="276">
        <f>SUM(G199,G204,G209)</f>
        <v>163.22099999771274</v>
      </c>
      <c r="H214" s="276">
        <f t="shared" ref="H214:I214" si="547">SUM(H199,H204,H209)</f>
        <v>102.21900000113359</v>
      </c>
      <c r="I214" s="276">
        <f t="shared" si="547"/>
        <v>43.030000000914164</v>
      </c>
      <c r="J214" s="276">
        <f>SUM(G214:I214)</f>
        <v>308.46999999976055</v>
      </c>
      <c r="K214" s="276"/>
      <c r="L214" s="276">
        <f>SUM(L199,L204,L209)</f>
        <v>165.64699999808767</v>
      </c>
      <c r="M214" s="276">
        <f t="shared" ref="M214:N214" si="548">SUM(M199,M204,M209)</f>
        <v>111.00100000058184</v>
      </c>
      <c r="N214" s="276">
        <f t="shared" si="548"/>
        <v>38.41199999963591</v>
      </c>
      <c r="O214" s="276">
        <f>SUM(L214:N214)</f>
        <v>315.05999999830539</v>
      </c>
      <c r="P214" s="276"/>
      <c r="Q214" s="276">
        <f>SUM(Q199,Q204,Q209)</f>
        <v>175.15600000347746</v>
      </c>
      <c r="R214" s="276">
        <f t="shared" ref="R214:S214" si="549">SUM(R199,R204,R209)</f>
        <v>118.15400000073043</v>
      </c>
      <c r="S214" s="276">
        <f t="shared" si="549"/>
        <v>40.954000000054215</v>
      </c>
      <c r="T214" s="276">
        <f>SUM(Q214:S214)</f>
        <v>334.26400000426213</v>
      </c>
      <c r="U214" s="276"/>
      <c r="V214" s="276">
        <f>SUM(V199,V204,V209)</f>
        <v>191.72800000615925</v>
      </c>
      <c r="W214" s="276">
        <f t="shared" ref="W214:X214" si="550">SUM(W199,W204,W209)</f>
        <v>130.62800000142298</v>
      </c>
      <c r="X214" s="276">
        <f t="shared" si="550"/>
        <v>46.146000000074267</v>
      </c>
      <c r="Y214" s="276">
        <f>SUM(V214:X214)</f>
        <v>368.50200000765648</v>
      </c>
    </row>
    <row r="215" spans="1:25" ht="12.6">
      <c r="A215" s="236" t="s">
        <v>144</v>
      </c>
      <c r="B215" s="276">
        <f>SUM(B200,B205,B210)</f>
        <v>851.54200000242679</v>
      </c>
      <c r="C215" s="276">
        <f t="shared" ref="C215:D215" si="551">SUM(C200,C205,C210)</f>
        <v>42.879000000373843</v>
      </c>
      <c r="D215" s="276">
        <f t="shared" si="551"/>
        <v>658.14199997938545</v>
      </c>
      <c r="E215" s="276">
        <f t="shared" ref="E215:E216" si="552">SUM(B215:D215)</f>
        <v>1552.5629999821861</v>
      </c>
      <c r="F215" s="276"/>
      <c r="G215" s="276">
        <f>SUM(G200,G205,G210)</f>
        <v>945.84000000248943</v>
      </c>
      <c r="H215" s="276">
        <f t="shared" ref="H215:I215" si="553">SUM(H200,H205,H210)</f>
        <v>44.335000000360878</v>
      </c>
      <c r="I215" s="276">
        <f t="shared" si="553"/>
        <v>698.11200001686666</v>
      </c>
      <c r="J215" s="276">
        <f t="shared" ref="J215:J216" si="554">SUM(G215:I215)</f>
        <v>1688.287000019717</v>
      </c>
      <c r="K215" s="276"/>
      <c r="L215" s="276">
        <f>SUM(L200,L205,L210)</f>
        <v>934.13899999943033</v>
      </c>
      <c r="M215" s="276">
        <f t="shared" ref="M215:N215" si="555">SUM(M200,M205,M210)</f>
        <v>69.881999999876527</v>
      </c>
      <c r="N215" s="276">
        <f t="shared" si="555"/>
        <v>680.71399997478898</v>
      </c>
      <c r="O215" s="276">
        <f t="shared" ref="O215:O216" si="556">SUM(L215:N215)</f>
        <v>1684.7349999740959</v>
      </c>
      <c r="P215" s="276"/>
      <c r="Q215" s="276">
        <f>SUM(Q200,Q205,Q210)</f>
        <v>967.4400000013618</v>
      </c>
      <c r="R215" s="276">
        <f t="shared" ref="R215:S215" si="557">SUM(R200,R205,R210)</f>
        <v>74.970000000419986</v>
      </c>
      <c r="S215" s="276">
        <f t="shared" si="557"/>
        <v>721.27699991679208</v>
      </c>
      <c r="T215" s="276">
        <f t="shared" ref="T215:T216" si="558">SUM(Q215:S215)</f>
        <v>1763.6869999185737</v>
      </c>
      <c r="U215" s="276"/>
      <c r="V215" s="276">
        <f>SUM(V200,V205,V210)</f>
        <v>1007.4150000021816</v>
      </c>
      <c r="W215" s="276">
        <f t="shared" ref="W215:X215" si="559">SUM(W200,W205,W210)</f>
        <v>83.976000000366781</v>
      </c>
      <c r="X215" s="276">
        <f t="shared" si="559"/>
        <v>792.02399992248445</v>
      </c>
      <c r="Y215" s="276">
        <f t="shared" ref="Y215:Y216" si="560">SUM(V215:X215)</f>
        <v>1883.414999925033</v>
      </c>
    </row>
    <row r="216" spans="1:25" ht="12.6">
      <c r="A216" s="240" t="s">
        <v>146</v>
      </c>
      <c r="B216" s="277">
        <f>SUM(B214:B215)</f>
        <v>979.41800000113324</v>
      </c>
      <c r="C216" s="277">
        <f t="shared" ref="C216" si="561">SUM(C214:C215)</f>
        <v>133.97900000128598</v>
      </c>
      <c r="D216" s="277">
        <f t="shared" ref="D216" si="562">SUM(D214:D215)</f>
        <v>686.95699997992733</v>
      </c>
      <c r="E216" s="277">
        <f t="shared" si="552"/>
        <v>1800.3539999823465</v>
      </c>
      <c r="F216" s="277"/>
      <c r="G216" s="277">
        <f>SUM(G214:G215)</f>
        <v>1109.0610000002021</v>
      </c>
      <c r="H216" s="277">
        <f t="shared" ref="H216" si="563">SUM(H214:H215)</f>
        <v>146.55400000149447</v>
      </c>
      <c r="I216" s="277">
        <f t="shared" ref="I216" si="564">SUM(I214:I215)</f>
        <v>741.14200001778079</v>
      </c>
      <c r="J216" s="277">
        <f t="shared" si="554"/>
        <v>1996.7570000194773</v>
      </c>
      <c r="K216" s="277"/>
      <c r="L216" s="277">
        <f>SUM(L214:L215)</f>
        <v>1099.785999997518</v>
      </c>
      <c r="M216" s="277">
        <f t="shared" ref="M216" si="565">SUM(M214:M215)</f>
        <v>180.88300000045837</v>
      </c>
      <c r="N216" s="277">
        <f t="shared" ref="N216" si="566">SUM(N214:N215)</f>
        <v>719.12599997442487</v>
      </c>
      <c r="O216" s="277">
        <f t="shared" si="556"/>
        <v>1999.7949999724015</v>
      </c>
      <c r="P216" s="277"/>
      <c r="Q216" s="277">
        <f>SUM(Q214:Q215)</f>
        <v>1142.5960000048392</v>
      </c>
      <c r="R216" s="277">
        <f t="shared" ref="R216" si="567">SUM(R214:R215)</f>
        <v>193.12400000115042</v>
      </c>
      <c r="S216" s="277">
        <f t="shared" ref="S216" si="568">SUM(S214:S215)</f>
        <v>762.23099991684626</v>
      </c>
      <c r="T216" s="277">
        <f t="shared" si="558"/>
        <v>2097.9509999228358</v>
      </c>
      <c r="U216" s="277"/>
      <c r="V216" s="277">
        <f>SUM(V214:V215)</f>
        <v>1199.1430000083408</v>
      </c>
      <c r="W216" s="277">
        <f t="shared" ref="W216" si="569">SUM(W214:W215)</f>
        <v>214.60400000178976</v>
      </c>
      <c r="X216" s="277">
        <f t="shared" ref="X216" si="570">SUM(X214:X215)</f>
        <v>838.16999992255876</v>
      </c>
      <c r="Y216" s="277">
        <f t="shared" si="560"/>
        <v>2251.9169999326891</v>
      </c>
    </row>
    <row r="217" spans="1:25" ht="12.6">
      <c r="C217" s="239"/>
    </row>
    <row r="218" spans="1:25" ht="12.6">
      <c r="C218" s="239"/>
    </row>
    <row r="219" spans="1:25" ht="12.6">
      <c r="C219" s="239"/>
    </row>
    <row r="220" spans="1:25" ht="14.1">
      <c r="A220" s="241" t="str">
        <f>"Industry 9 : "&amp; name!B12</f>
        <v>Industry 9 : Wholesale and retail trade</v>
      </c>
      <c r="B220" s="366">
        <f>$B$5</f>
        <v>2015</v>
      </c>
      <c r="C220" s="366"/>
      <c r="D220" s="366"/>
      <c r="E220" s="366"/>
      <c r="F220" s="291"/>
      <c r="G220" s="366">
        <f>$G$5</f>
        <v>2019</v>
      </c>
      <c r="H220" s="366"/>
      <c r="I220" s="366"/>
      <c r="J220" s="366"/>
      <c r="K220" s="291"/>
      <c r="L220" s="366">
        <f>$L$5</f>
        <v>2020</v>
      </c>
      <c r="M220" s="366"/>
      <c r="N220" s="366"/>
      <c r="O220" s="366"/>
      <c r="P220" s="289"/>
      <c r="Q220" s="366">
        <f>$Q$5</f>
        <v>2025</v>
      </c>
      <c r="R220" s="366"/>
      <c r="S220" s="366"/>
      <c r="T220" s="366"/>
      <c r="U220" s="291"/>
      <c r="V220" s="366">
        <f>$V$5</f>
        <v>2035</v>
      </c>
      <c r="W220" s="366"/>
      <c r="X220" s="366"/>
      <c r="Y220" s="366"/>
    </row>
    <row r="221" spans="1:25">
      <c r="A221" s="240"/>
      <c r="B221" s="244" t="str">
        <f>$B$6</f>
        <v>FT</v>
      </c>
      <c r="C221" s="244" t="str">
        <f>$C$6</f>
        <v>PT</v>
      </c>
      <c r="D221" s="244" t="str">
        <f>$D$6</f>
        <v>SE</v>
      </c>
      <c r="E221" s="244" t="str">
        <f>$E$6</f>
        <v>Total</v>
      </c>
      <c r="F221" s="244"/>
      <c r="G221" s="244" t="str">
        <f>$B$6</f>
        <v>FT</v>
      </c>
      <c r="H221" s="244" t="str">
        <f>$C$6</f>
        <v>PT</v>
      </c>
      <c r="I221" s="244" t="str">
        <f>$D$6</f>
        <v>SE</v>
      </c>
      <c r="J221" s="244" t="str">
        <f>$E$6</f>
        <v>Total</v>
      </c>
      <c r="K221" s="244"/>
      <c r="L221" s="244" t="str">
        <f>$L$6</f>
        <v>FT</v>
      </c>
      <c r="M221" s="244" t="str">
        <f>$M$6</f>
        <v>PT</v>
      </c>
      <c r="N221" s="244" t="str">
        <f>$N$6</f>
        <v>SE</v>
      </c>
      <c r="O221" s="244" t="str">
        <f>$O$6</f>
        <v>Total</v>
      </c>
      <c r="P221" s="244"/>
      <c r="Q221" s="244" t="str">
        <f>$L$6</f>
        <v>FT</v>
      </c>
      <c r="R221" s="244" t="str">
        <f>$M$6</f>
        <v>PT</v>
      </c>
      <c r="S221" s="244" t="str">
        <f>$N$6</f>
        <v>SE</v>
      </c>
      <c r="T221" s="244" t="str">
        <f>$O$6</f>
        <v>Total</v>
      </c>
      <c r="U221" s="244"/>
      <c r="V221" s="244" t="str">
        <f>$V$6</f>
        <v>FT</v>
      </c>
      <c r="W221" s="244" t="str">
        <f>$W$6</f>
        <v>PT</v>
      </c>
      <c r="X221" s="244" t="str">
        <f>$X$6</f>
        <v>SE</v>
      </c>
      <c r="Y221" s="244" t="str">
        <f>$Y$6</f>
        <v>Total</v>
      </c>
    </row>
    <row r="222" spans="1:25">
      <c r="C222" s="290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290"/>
      <c r="R222" s="290"/>
      <c r="S222" s="290"/>
      <c r="T222" s="290"/>
      <c r="U222" s="290"/>
      <c r="V222" s="290"/>
      <c r="W222" s="290"/>
      <c r="X222" s="290"/>
      <c r="Y222" s="290"/>
    </row>
    <row r="223" spans="1:25">
      <c r="A223" s="237" t="str">
        <f>name!A34</f>
        <v>Motor vehicle trade</v>
      </c>
      <c r="C223" s="239"/>
    </row>
    <row r="224" spans="1:25" ht="12.6">
      <c r="A224" s="236" t="s">
        <v>145</v>
      </c>
      <c r="B224" s="276">
        <v>58.859000000081117</v>
      </c>
      <c r="C224" s="276">
        <v>27.43000000088832</v>
      </c>
      <c r="D224" s="276">
        <v>4.2530000000607728</v>
      </c>
      <c r="E224" s="276">
        <f>SUM(B224:D224)</f>
        <v>90.542000001030203</v>
      </c>
      <c r="F224" s="276"/>
      <c r="G224" s="276">
        <v>62.642999999917329</v>
      </c>
      <c r="H224" s="276">
        <v>36.194000001074684</v>
      </c>
      <c r="I224" s="276">
        <v>7.9590000001064682</v>
      </c>
      <c r="J224" s="276">
        <f>SUM(G224:I224)</f>
        <v>106.79600000109849</v>
      </c>
      <c r="K224" s="276"/>
      <c r="L224" s="276">
        <v>62.006999999738298</v>
      </c>
      <c r="M224" s="276">
        <v>33.506000000736478</v>
      </c>
      <c r="N224" s="276">
        <v>6.9319999999313584</v>
      </c>
      <c r="O224" s="276">
        <f>SUM(L224:N224)</f>
        <v>102.44500000040614</v>
      </c>
      <c r="P224" s="276"/>
      <c r="Q224" s="276">
        <v>65.814000000839513</v>
      </c>
      <c r="R224" s="276">
        <v>32.442000001160864</v>
      </c>
      <c r="S224" s="276">
        <v>7.0180000000105194</v>
      </c>
      <c r="T224" s="276">
        <f>SUM(Q224:S224)</f>
        <v>105.27400000201089</v>
      </c>
      <c r="U224" s="276"/>
      <c r="V224" s="276">
        <v>72.498000000355404</v>
      </c>
      <c r="W224" s="276">
        <v>29.467000000996848</v>
      </c>
      <c r="X224" s="276">
        <v>7.06200000000059</v>
      </c>
      <c r="Y224" s="276">
        <f>SUM(V224:X224)</f>
        <v>109.02700000135285</v>
      </c>
    </row>
    <row r="225" spans="1:25" ht="12.6">
      <c r="A225" s="236" t="s">
        <v>144</v>
      </c>
      <c r="B225" s="276">
        <v>318.15400000126016</v>
      </c>
      <c r="C225" s="276">
        <v>32.853000000585887</v>
      </c>
      <c r="D225" s="276">
        <v>51.393000000278114</v>
      </c>
      <c r="E225" s="276">
        <f t="shared" ref="E225:E226" si="571">SUM(B225:D225)</f>
        <v>402.40000000212416</v>
      </c>
      <c r="F225" s="276"/>
      <c r="G225" s="276">
        <v>358.65300000107572</v>
      </c>
      <c r="H225" s="276">
        <v>30.318000000460561</v>
      </c>
      <c r="I225" s="276">
        <v>68.999000001065014</v>
      </c>
      <c r="J225" s="276">
        <f t="shared" ref="J225:J226" si="572">SUM(G225:I225)</f>
        <v>457.9700000026013</v>
      </c>
      <c r="K225" s="276"/>
      <c r="L225" s="276">
        <v>333.5440000004798</v>
      </c>
      <c r="M225" s="276">
        <v>38.738999999850066</v>
      </c>
      <c r="N225" s="276">
        <v>42.155999999877665</v>
      </c>
      <c r="O225" s="276">
        <f t="shared" ref="O225:O226" si="573">SUM(L225:N225)</f>
        <v>414.43900000020756</v>
      </c>
      <c r="P225" s="276"/>
      <c r="Q225" s="276">
        <v>344.18200000121925</v>
      </c>
      <c r="R225" s="276">
        <v>39.390000000518228</v>
      </c>
      <c r="S225" s="276">
        <v>43.584999998722168</v>
      </c>
      <c r="T225" s="276">
        <f t="shared" ref="T225:T226" si="574">SUM(Q225:S225)</f>
        <v>427.15700000045967</v>
      </c>
      <c r="U225" s="276"/>
      <c r="V225" s="276">
        <v>358.76900000201783</v>
      </c>
      <c r="W225" s="276">
        <v>40.029000000544123</v>
      </c>
      <c r="X225" s="276">
        <v>45.614999999040222</v>
      </c>
      <c r="Y225" s="276">
        <f t="shared" ref="Y225:Y226" si="575">SUM(V225:X225)</f>
        <v>444.41300000160214</v>
      </c>
    </row>
    <row r="226" spans="1:25" ht="12.6">
      <c r="A226" s="236" t="s">
        <v>146</v>
      </c>
      <c r="B226" s="276">
        <f>SUM(B224:B225)</f>
        <v>377.01300000134125</v>
      </c>
      <c r="C226" s="276">
        <f t="shared" ref="C226" si="576">SUM(C224:C225)</f>
        <v>60.283000001474207</v>
      </c>
      <c r="D226" s="276">
        <f t="shared" ref="D226" si="577">SUM(D224:D225)</f>
        <v>55.646000000338887</v>
      </c>
      <c r="E226" s="276">
        <f t="shared" si="571"/>
        <v>492.94200000315436</v>
      </c>
      <c r="F226" s="276"/>
      <c r="G226" s="276">
        <f>SUM(G224:G225)</f>
        <v>421.29600000099305</v>
      </c>
      <c r="H226" s="276">
        <f t="shared" ref="H226" si="578">SUM(H224:H225)</f>
        <v>66.512000001535242</v>
      </c>
      <c r="I226" s="276">
        <f t="shared" ref="I226" si="579">SUM(I224:I225)</f>
        <v>76.958000001171484</v>
      </c>
      <c r="J226" s="276">
        <f t="shared" si="572"/>
        <v>564.76600000369979</v>
      </c>
      <c r="K226" s="276"/>
      <c r="L226" s="276">
        <f>SUM(L224:L225)</f>
        <v>395.5510000002181</v>
      </c>
      <c r="M226" s="276">
        <f t="shared" ref="M226" si="580">SUM(M224:M225)</f>
        <v>72.245000000586543</v>
      </c>
      <c r="N226" s="276">
        <f t="shared" ref="N226" si="581">SUM(N224:N225)</f>
        <v>49.087999999809021</v>
      </c>
      <c r="O226" s="276">
        <f t="shared" si="573"/>
        <v>516.88400000061358</v>
      </c>
      <c r="P226" s="276"/>
      <c r="Q226" s="276">
        <f>SUM(Q224:Q225)</f>
        <v>409.99600000205874</v>
      </c>
      <c r="R226" s="276">
        <f t="shared" ref="R226" si="582">SUM(R224:R225)</f>
        <v>71.832000001679091</v>
      </c>
      <c r="S226" s="276">
        <f t="shared" ref="S226" si="583">SUM(S224:S225)</f>
        <v>50.602999998732685</v>
      </c>
      <c r="T226" s="276">
        <f t="shared" si="574"/>
        <v>532.43100000247046</v>
      </c>
      <c r="U226" s="276"/>
      <c r="V226" s="276">
        <f>SUM(V224:V225)</f>
        <v>431.26700000237327</v>
      </c>
      <c r="W226" s="276">
        <f t="shared" ref="W226" si="584">SUM(W224:W225)</f>
        <v>69.496000001540978</v>
      </c>
      <c r="X226" s="276">
        <f t="shared" ref="X226" si="585">SUM(X224:X225)</f>
        <v>52.67699999904081</v>
      </c>
      <c r="Y226" s="276">
        <f t="shared" si="575"/>
        <v>553.44000000295512</v>
      </c>
    </row>
    <row r="227" spans="1:25">
      <c r="C227" s="290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290"/>
      <c r="R227" s="290"/>
      <c r="S227" s="290"/>
      <c r="T227" s="290"/>
      <c r="U227" s="290"/>
      <c r="V227" s="290"/>
      <c r="W227" s="290"/>
      <c r="X227" s="290"/>
      <c r="Y227" s="290"/>
    </row>
    <row r="228" spans="1:25">
      <c r="A228" s="237" t="str">
        <f>name!A35</f>
        <v>Wholesale trade</v>
      </c>
      <c r="C228" s="239"/>
    </row>
    <row r="229" spans="1:25" ht="12.6">
      <c r="A229" s="236" t="s">
        <v>145</v>
      </c>
      <c r="B229" s="276">
        <v>246.52300000002987</v>
      </c>
      <c r="C229" s="276">
        <v>100.05900000271704</v>
      </c>
      <c r="D229" s="276">
        <v>19.276000000315147</v>
      </c>
      <c r="E229" s="276">
        <f>SUM(B229:D229)</f>
        <v>365.85800000306205</v>
      </c>
      <c r="F229" s="276"/>
      <c r="G229" s="276">
        <v>288.27399999803549</v>
      </c>
      <c r="H229" s="276">
        <v>89.634000002059935</v>
      </c>
      <c r="I229" s="276">
        <v>15.882000000226087</v>
      </c>
      <c r="J229" s="276">
        <f>SUM(G229:I229)</f>
        <v>393.79000000032147</v>
      </c>
      <c r="K229" s="276"/>
      <c r="L229" s="276">
        <v>285.52199999789383</v>
      </c>
      <c r="M229" s="276">
        <v>91.491000001541522</v>
      </c>
      <c r="N229" s="276">
        <v>13.58599999982642</v>
      </c>
      <c r="O229" s="276">
        <f>SUM(L229:N229)</f>
        <v>390.59899999926176</v>
      </c>
      <c r="P229" s="276"/>
      <c r="Q229" s="276">
        <v>303.46100000727017</v>
      </c>
      <c r="R229" s="276">
        <v>88.622000002577181</v>
      </c>
      <c r="S229" s="276">
        <v>13.700000000012002</v>
      </c>
      <c r="T229" s="276">
        <f>SUM(Q229:S229)</f>
        <v>405.78300000985934</v>
      </c>
      <c r="U229" s="276"/>
      <c r="V229" s="276">
        <v>334.46900000847222</v>
      </c>
      <c r="W229" s="276">
        <v>81.219000002413523</v>
      </c>
      <c r="X229" s="276">
        <v>13.681000000024108</v>
      </c>
      <c r="Y229" s="276">
        <f>SUM(V229:X229)</f>
        <v>429.36900001090982</v>
      </c>
    </row>
    <row r="230" spans="1:25" ht="12.6">
      <c r="A230" s="236" t="s">
        <v>144</v>
      </c>
      <c r="B230" s="276">
        <v>612.1140000028671</v>
      </c>
      <c r="C230" s="276">
        <v>52.932000000824161</v>
      </c>
      <c r="D230" s="276">
        <v>48.486000001013629</v>
      </c>
      <c r="E230" s="276">
        <f t="shared" ref="E230:E231" si="586">SUM(B230:D230)</f>
        <v>713.53200000470486</v>
      </c>
      <c r="F230" s="276"/>
      <c r="G230" s="276">
        <v>636.39500000202599</v>
      </c>
      <c r="H230" s="276">
        <v>49.669000000564324</v>
      </c>
      <c r="I230" s="276">
        <v>36.702000000290248</v>
      </c>
      <c r="J230" s="276">
        <f t="shared" ref="J230:J231" si="587">SUM(G230:I230)</f>
        <v>722.76600000288056</v>
      </c>
      <c r="K230" s="276"/>
      <c r="L230" s="276">
        <v>621.32600000021739</v>
      </c>
      <c r="M230" s="276">
        <v>48.630999999931305</v>
      </c>
      <c r="N230" s="276">
        <v>45.698000000553485</v>
      </c>
      <c r="O230" s="276">
        <f t="shared" ref="O230:O231" si="588">SUM(L230:N230)</f>
        <v>715.65500000070222</v>
      </c>
      <c r="P230" s="276"/>
      <c r="Q230" s="276">
        <v>618.67500000142593</v>
      </c>
      <c r="R230" s="276">
        <v>48.71400000044963</v>
      </c>
      <c r="S230" s="276">
        <v>46.4920000011561</v>
      </c>
      <c r="T230" s="276">
        <f t="shared" ref="T230:T231" si="589">SUM(Q230:S230)</f>
        <v>713.88100000303166</v>
      </c>
      <c r="U230" s="276"/>
      <c r="V230" s="276">
        <v>601.9030000021155</v>
      </c>
      <c r="W230" s="276">
        <v>48.0010000004498</v>
      </c>
      <c r="X230" s="276">
        <v>47.225000000961344</v>
      </c>
      <c r="Y230" s="276">
        <f t="shared" ref="Y230:Y231" si="590">SUM(V230:X230)</f>
        <v>697.1290000035267</v>
      </c>
    </row>
    <row r="231" spans="1:25" ht="12.6">
      <c r="A231" s="236" t="s">
        <v>146</v>
      </c>
      <c r="B231" s="276">
        <f>SUM(B229:B230)</f>
        <v>858.63700000289691</v>
      </c>
      <c r="C231" s="276">
        <f t="shared" ref="C231" si="591">SUM(C229:C230)</f>
        <v>152.99100000354122</v>
      </c>
      <c r="D231" s="276">
        <f t="shared" ref="D231" si="592">SUM(D229:D230)</f>
        <v>67.762000001328772</v>
      </c>
      <c r="E231" s="276">
        <f t="shared" si="586"/>
        <v>1079.390000007767</v>
      </c>
      <c r="F231" s="276"/>
      <c r="G231" s="276">
        <f>SUM(G229:G230)</f>
        <v>924.66900000006149</v>
      </c>
      <c r="H231" s="276">
        <f t="shared" ref="H231" si="593">SUM(H229:H230)</f>
        <v>139.30300000262426</v>
      </c>
      <c r="I231" s="276">
        <f t="shared" ref="I231" si="594">SUM(I229:I230)</f>
        <v>52.584000000516333</v>
      </c>
      <c r="J231" s="276">
        <f t="shared" si="587"/>
        <v>1116.5560000032021</v>
      </c>
      <c r="K231" s="276"/>
      <c r="L231" s="276">
        <f>SUM(L229:L230)</f>
        <v>906.84799999811116</v>
      </c>
      <c r="M231" s="276">
        <f t="shared" ref="M231" si="595">SUM(M229:M230)</f>
        <v>140.12200000147283</v>
      </c>
      <c r="N231" s="276">
        <f t="shared" ref="N231" si="596">SUM(N229:N230)</f>
        <v>59.284000000379905</v>
      </c>
      <c r="O231" s="276">
        <f t="shared" si="588"/>
        <v>1106.2539999999638</v>
      </c>
      <c r="P231" s="276"/>
      <c r="Q231" s="276">
        <f>SUM(Q229:Q230)</f>
        <v>922.1360000086961</v>
      </c>
      <c r="R231" s="276">
        <f t="shared" ref="R231" si="597">SUM(R229:R230)</f>
        <v>137.33600000302681</v>
      </c>
      <c r="S231" s="276">
        <f t="shared" ref="S231" si="598">SUM(S229:S230)</f>
        <v>60.192000001168104</v>
      </c>
      <c r="T231" s="276">
        <f t="shared" si="589"/>
        <v>1119.6640000128909</v>
      </c>
      <c r="U231" s="276"/>
      <c r="V231" s="276">
        <f>SUM(V229:V230)</f>
        <v>936.37200001058773</v>
      </c>
      <c r="W231" s="276">
        <f t="shared" ref="W231" si="599">SUM(W229:W230)</f>
        <v>129.22000000286332</v>
      </c>
      <c r="X231" s="276">
        <f t="shared" ref="X231" si="600">SUM(X229:X230)</f>
        <v>60.906000000985451</v>
      </c>
      <c r="Y231" s="276">
        <f t="shared" si="590"/>
        <v>1126.4980000144365</v>
      </c>
    </row>
    <row r="232" spans="1:25">
      <c r="C232" s="290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290"/>
      <c r="R232" s="290"/>
      <c r="S232" s="290"/>
      <c r="T232" s="290"/>
      <c r="U232" s="290"/>
      <c r="V232" s="290"/>
      <c r="W232" s="290"/>
      <c r="X232" s="290"/>
      <c r="Y232" s="290"/>
    </row>
    <row r="233" spans="1:25">
      <c r="A233" s="237" t="str">
        <f>name!A36</f>
        <v>Retail trade</v>
      </c>
      <c r="C233" s="239"/>
    </row>
    <row r="234" spans="1:25" ht="12.6">
      <c r="A234" s="236" t="s">
        <v>145</v>
      </c>
      <c r="B234" s="276">
        <v>508.73500000006618</v>
      </c>
      <c r="C234" s="276">
        <v>963.76300004967629</v>
      </c>
      <c r="D234" s="276">
        <v>86.598000001520816</v>
      </c>
      <c r="E234" s="276">
        <f>SUM(B234:D234)</f>
        <v>1559.0960000512634</v>
      </c>
      <c r="F234" s="276"/>
      <c r="G234" s="276">
        <v>537.8009999976349</v>
      </c>
      <c r="H234" s="276">
        <v>912.76300003880351</v>
      </c>
      <c r="I234" s="276">
        <v>79.258000001327616</v>
      </c>
      <c r="J234" s="276">
        <f>SUM(G234:I234)</f>
        <v>1529.822000037766</v>
      </c>
      <c r="K234" s="276"/>
      <c r="L234" s="276">
        <v>522.40699999685148</v>
      </c>
      <c r="M234" s="276">
        <v>928.16400003755939</v>
      </c>
      <c r="N234" s="276">
        <v>88.21799999868395</v>
      </c>
      <c r="O234" s="276">
        <f>SUM(L234:N234)</f>
        <v>1538.7890000330949</v>
      </c>
      <c r="P234" s="276"/>
      <c r="Q234" s="276">
        <v>534.65700001230903</v>
      </c>
      <c r="R234" s="276">
        <v>893.46300005838714</v>
      </c>
      <c r="S234" s="276">
        <v>91.585000000187975</v>
      </c>
      <c r="T234" s="276">
        <f>SUM(Q234:S234)</f>
        <v>1519.7050000708844</v>
      </c>
      <c r="U234" s="276"/>
      <c r="V234" s="276">
        <v>564.64600001090878</v>
      </c>
      <c r="W234" s="276">
        <v>833.11200004493912</v>
      </c>
      <c r="X234" s="276">
        <v>99.246000001161249</v>
      </c>
      <c r="Y234" s="276">
        <f>SUM(V234:X234)</f>
        <v>1497.0040000570091</v>
      </c>
    </row>
    <row r="235" spans="1:25" ht="12.6">
      <c r="A235" s="236" t="s">
        <v>144</v>
      </c>
      <c r="B235" s="276">
        <v>583.9170000037891</v>
      </c>
      <c r="C235" s="276">
        <v>414.40400000853168</v>
      </c>
      <c r="D235" s="276">
        <v>112.26200000239636</v>
      </c>
      <c r="E235" s="276">
        <f t="shared" ref="E235:E236" si="601">SUM(B235:D235)</f>
        <v>1110.5830000147173</v>
      </c>
      <c r="F235" s="276"/>
      <c r="G235" s="276">
        <v>602.30400000299539</v>
      </c>
      <c r="H235" s="276">
        <v>392.08700000696007</v>
      </c>
      <c r="I235" s="276">
        <v>85.671000001210558</v>
      </c>
      <c r="J235" s="276">
        <f t="shared" ref="J235:J236" si="602">SUM(G235:I235)</f>
        <v>1080.062000011166</v>
      </c>
      <c r="K235" s="276"/>
      <c r="L235" s="276">
        <v>584.98799999963796</v>
      </c>
      <c r="M235" s="276">
        <v>433.44299999813046</v>
      </c>
      <c r="N235" s="276">
        <v>79.269000000947713</v>
      </c>
      <c r="O235" s="276">
        <f t="shared" ref="O235:O236" si="603">SUM(L235:N235)</f>
        <v>1097.6999999987161</v>
      </c>
      <c r="P235" s="276"/>
      <c r="Q235" s="276">
        <v>599.24800000066728</v>
      </c>
      <c r="R235" s="276">
        <v>433.1460000079723</v>
      </c>
      <c r="S235" s="276">
        <v>79.43600000102613</v>
      </c>
      <c r="T235" s="276">
        <f t="shared" ref="T235:T236" si="604">SUM(Q235:S235)</f>
        <v>1111.8300000096656</v>
      </c>
      <c r="U235" s="276"/>
      <c r="V235" s="276">
        <v>633.87300000097332</v>
      </c>
      <c r="W235" s="276">
        <v>437.04700000746959</v>
      </c>
      <c r="X235" s="276">
        <v>80.60600000102842</v>
      </c>
      <c r="Y235" s="276">
        <f t="shared" ref="Y235:Y236" si="605">SUM(V235:X235)</f>
        <v>1151.5260000094713</v>
      </c>
    </row>
    <row r="236" spans="1:25" ht="12.6">
      <c r="A236" s="236" t="s">
        <v>146</v>
      </c>
      <c r="B236" s="276">
        <f>SUM(B234:B235)</f>
        <v>1092.6520000038554</v>
      </c>
      <c r="C236" s="276">
        <f t="shared" ref="C236" si="606">SUM(C234:C235)</f>
        <v>1378.167000058208</v>
      </c>
      <c r="D236" s="276">
        <f t="shared" ref="D236" si="607">SUM(D234:D235)</f>
        <v>198.86000000391718</v>
      </c>
      <c r="E236" s="276">
        <f t="shared" si="601"/>
        <v>2669.6790000659807</v>
      </c>
      <c r="F236" s="276"/>
      <c r="G236" s="276">
        <f>SUM(G234:G235)</f>
        <v>1140.1050000006303</v>
      </c>
      <c r="H236" s="276">
        <f t="shared" ref="H236" si="608">SUM(H234:H235)</f>
        <v>1304.8500000457636</v>
      </c>
      <c r="I236" s="276">
        <f t="shared" ref="I236" si="609">SUM(I234:I235)</f>
        <v>164.92900000253817</v>
      </c>
      <c r="J236" s="276">
        <f t="shared" si="602"/>
        <v>2609.8840000489322</v>
      </c>
      <c r="K236" s="276"/>
      <c r="L236" s="276">
        <f>SUM(L234:L235)</f>
        <v>1107.3949999964893</v>
      </c>
      <c r="M236" s="276">
        <f t="shared" ref="M236" si="610">SUM(M234:M235)</f>
        <v>1361.6070000356899</v>
      </c>
      <c r="N236" s="276">
        <f t="shared" ref="N236" si="611">SUM(N234:N235)</f>
        <v>167.48699999963168</v>
      </c>
      <c r="O236" s="276">
        <f t="shared" si="603"/>
        <v>2636.489000031811</v>
      </c>
      <c r="P236" s="276"/>
      <c r="Q236" s="276">
        <f>SUM(Q234:Q235)</f>
        <v>1133.9050000129764</v>
      </c>
      <c r="R236" s="276">
        <f t="shared" ref="R236" si="612">SUM(R234:R235)</f>
        <v>1326.6090000663594</v>
      </c>
      <c r="S236" s="276">
        <f t="shared" ref="S236" si="613">SUM(S234:S235)</f>
        <v>171.02100000121411</v>
      </c>
      <c r="T236" s="276">
        <f t="shared" si="604"/>
        <v>2631.5350000805497</v>
      </c>
      <c r="U236" s="276"/>
      <c r="V236" s="276">
        <f>SUM(V234:V235)</f>
        <v>1198.5190000118821</v>
      </c>
      <c r="W236" s="276">
        <f t="shared" ref="W236" si="614">SUM(W234:W235)</f>
        <v>1270.1590000524088</v>
      </c>
      <c r="X236" s="276">
        <f t="shared" ref="X236" si="615">SUM(X234:X235)</f>
        <v>179.85200000218967</v>
      </c>
      <c r="Y236" s="276">
        <f t="shared" si="605"/>
        <v>2648.5300000664806</v>
      </c>
    </row>
    <row r="237" spans="1:25" ht="12.6">
      <c r="C237" s="239"/>
    </row>
    <row r="238" spans="1:25">
      <c r="A238" s="237" t="s">
        <v>152</v>
      </c>
      <c r="C238" s="239"/>
    </row>
    <row r="239" spans="1:25" ht="12.6">
      <c r="A239" s="236" t="s">
        <v>145</v>
      </c>
      <c r="B239" s="276">
        <f>SUM(B224,B229,B234)</f>
        <v>814.11700000017709</v>
      </c>
      <c r="C239" s="276">
        <f t="shared" ref="C239:D239" si="616">SUM(C224,C229,C234)</f>
        <v>1091.2520000532816</v>
      </c>
      <c r="D239" s="276">
        <f t="shared" si="616"/>
        <v>110.12700000189673</v>
      </c>
      <c r="E239" s="276">
        <f>SUM(B239:D239)</f>
        <v>2015.4960000553554</v>
      </c>
      <c r="F239" s="276"/>
      <c r="G239" s="276">
        <f>SUM(G224,G229,G234)</f>
        <v>888.71799999558766</v>
      </c>
      <c r="H239" s="276">
        <f t="shared" ref="H239:I239" si="617">SUM(H224,H229,H234)</f>
        <v>1038.5910000419381</v>
      </c>
      <c r="I239" s="276">
        <f t="shared" si="617"/>
        <v>103.09900000166017</v>
      </c>
      <c r="J239" s="276">
        <f>SUM(G239:I239)</f>
        <v>2030.4080000391859</v>
      </c>
      <c r="K239" s="276"/>
      <c r="L239" s="276">
        <f>SUM(L224,L229,L234)</f>
        <v>869.93599999448361</v>
      </c>
      <c r="M239" s="276">
        <f t="shared" ref="M239:N239" si="618">SUM(M224,M229,M234)</f>
        <v>1053.1610000398373</v>
      </c>
      <c r="N239" s="276">
        <f t="shared" si="618"/>
        <v>108.73599999844173</v>
      </c>
      <c r="O239" s="276">
        <f>SUM(L239:N239)</f>
        <v>2031.8330000327626</v>
      </c>
      <c r="P239" s="276"/>
      <c r="Q239" s="276">
        <f>SUM(Q224,Q229,Q234)</f>
        <v>903.93200002041874</v>
      </c>
      <c r="R239" s="276">
        <f t="shared" ref="R239:S239" si="619">SUM(R224,R229,R234)</f>
        <v>1014.5270000621251</v>
      </c>
      <c r="S239" s="276">
        <f t="shared" si="619"/>
        <v>112.30300000021049</v>
      </c>
      <c r="T239" s="276">
        <f>SUM(Q239:S239)</f>
        <v>2030.7620000827542</v>
      </c>
      <c r="U239" s="276"/>
      <c r="V239" s="276">
        <f>SUM(V224,V229,V234)</f>
        <v>971.61300001973643</v>
      </c>
      <c r="W239" s="276">
        <f t="shared" ref="W239:X239" si="620">SUM(W224,W229,W234)</f>
        <v>943.79800004834954</v>
      </c>
      <c r="X239" s="276">
        <f t="shared" si="620"/>
        <v>119.98900000118594</v>
      </c>
      <c r="Y239" s="276">
        <f>SUM(V239:X239)</f>
        <v>2035.400000069272</v>
      </c>
    </row>
    <row r="240" spans="1:25" ht="12.6">
      <c r="A240" s="236" t="s">
        <v>144</v>
      </c>
      <c r="B240" s="276">
        <f>SUM(B225,B230,B235)</f>
        <v>1514.1850000079164</v>
      </c>
      <c r="C240" s="276">
        <f t="shared" ref="C240:D240" si="621">SUM(C225,C230,C235)</f>
        <v>500.18900000994176</v>
      </c>
      <c r="D240" s="276">
        <f t="shared" si="621"/>
        <v>212.14100000368811</v>
      </c>
      <c r="E240" s="276">
        <f t="shared" ref="E240:E241" si="622">SUM(B240:D240)</f>
        <v>2226.5150000215463</v>
      </c>
      <c r="F240" s="276"/>
      <c r="G240" s="276">
        <f>SUM(G225,G230,G235)</f>
        <v>1597.3520000060971</v>
      </c>
      <c r="H240" s="276">
        <f t="shared" ref="H240:I240" si="623">SUM(H225,H230,H235)</f>
        <v>472.07400000798498</v>
      </c>
      <c r="I240" s="276">
        <f t="shared" si="623"/>
        <v>191.37200000256581</v>
      </c>
      <c r="J240" s="276">
        <f t="shared" ref="J240:J241" si="624">SUM(G240:I240)</f>
        <v>2260.7980000166481</v>
      </c>
      <c r="K240" s="276"/>
      <c r="L240" s="276">
        <f>SUM(L225,L230,L235)</f>
        <v>1539.8580000003353</v>
      </c>
      <c r="M240" s="276">
        <f t="shared" ref="M240:N240" si="625">SUM(M225,M230,M235)</f>
        <v>520.81299999791179</v>
      </c>
      <c r="N240" s="276">
        <f t="shared" si="625"/>
        <v>167.12300000137884</v>
      </c>
      <c r="O240" s="276">
        <f t="shared" ref="O240:O241" si="626">SUM(L240:N240)</f>
        <v>2227.7939999996261</v>
      </c>
      <c r="P240" s="276"/>
      <c r="Q240" s="276">
        <f>SUM(Q225,Q230,Q235)</f>
        <v>1562.1050000033124</v>
      </c>
      <c r="R240" s="276">
        <f t="shared" ref="R240:S240" si="627">SUM(R225,R230,R235)</f>
        <v>521.25000000894011</v>
      </c>
      <c r="S240" s="276">
        <f t="shared" si="627"/>
        <v>169.51300000090441</v>
      </c>
      <c r="T240" s="276">
        <f t="shared" ref="T240:T241" si="628">SUM(Q240:S240)</f>
        <v>2252.8680000131567</v>
      </c>
      <c r="U240" s="276"/>
      <c r="V240" s="276">
        <f>SUM(V225,V230,V235)</f>
        <v>1594.5450000051067</v>
      </c>
      <c r="W240" s="276">
        <f t="shared" ref="W240:X240" si="629">SUM(W225,W230,W235)</f>
        <v>525.07700000846353</v>
      </c>
      <c r="X240" s="276">
        <f t="shared" si="629"/>
        <v>173.44600000102997</v>
      </c>
      <c r="Y240" s="276">
        <f t="shared" ref="Y240:Y241" si="630">SUM(V240:X240)</f>
        <v>2293.0680000145999</v>
      </c>
    </row>
    <row r="241" spans="1:25" ht="12.6">
      <c r="A241" s="240" t="s">
        <v>146</v>
      </c>
      <c r="B241" s="277">
        <f>SUM(B239:B240)</f>
        <v>2328.3020000080933</v>
      </c>
      <c r="C241" s="277">
        <f t="shared" ref="C241" si="631">SUM(C239:C240)</f>
        <v>1591.4410000632233</v>
      </c>
      <c r="D241" s="277">
        <f t="shared" ref="D241" si="632">SUM(D239:D240)</f>
        <v>322.26800000558484</v>
      </c>
      <c r="E241" s="277">
        <f t="shared" si="622"/>
        <v>4242.0110000769018</v>
      </c>
      <c r="F241" s="277"/>
      <c r="G241" s="277">
        <f>SUM(G239:G240)</f>
        <v>2486.070000001685</v>
      </c>
      <c r="H241" s="277">
        <f t="shared" ref="H241" si="633">SUM(H239:H240)</f>
        <v>1510.665000049923</v>
      </c>
      <c r="I241" s="277">
        <f t="shared" ref="I241" si="634">SUM(I239:I240)</f>
        <v>294.47100000422597</v>
      </c>
      <c r="J241" s="277">
        <f t="shared" si="624"/>
        <v>4291.206000055834</v>
      </c>
      <c r="K241" s="277"/>
      <c r="L241" s="277">
        <f>SUM(L239:L240)</f>
        <v>2409.7939999948189</v>
      </c>
      <c r="M241" s="277">
        <f t="shared" ref="M241" si="635">SUM(M239:M240)</f>
        <v>1573.9740000377492</v>
      </c>
      <c r="N241" s="277">
        <f t="shared" ref="N241" si="636">SUM(N239:N240)</f>
        <v>275.85899999982058</v>
      </c>
      <c r="O241" s="277">
        <f t="shared" si="626"/>
        <v>4259.6270000323884</v>
      </c>
      <c r="P241" s="277"/>
      <c r="Q241" s="277">
        <f>SUM(Q239:Q240)</f>
        <v>2466.0370000237313</v>
      </c>
      <c r="R241" s="277">
        <f t="shared" ref="R241" si="637">SUM(R239:R240)</f>
        <v>1535.7770000710652</v>
      </c>
      <c r="S241" s="277">
        <f t="shared" ref="S241" si="638">SUM(S239:S240)</f>
        <v>281.8160000011149</v>
      </c>
      <c r="T241" s="277">
        <f t="shared" si="628"/>
        <v>4283.6300000959118</v>
      </c>
      <c r="U241" s="277"/>
      <c r="V241" s="277">
        <f>SUM(V239:V240)</f>
        <v>2566.1580000248432</v>
      </c>
      <c r="W241" s="277">
        <f t="shared" ref="W241" si="639">SUM(W239:W240)</f>
        <v>1468.875000056813</v>
      </c>
      <c r="X241" s="277">
        <f t="shared" ref="X241" si="640">SUM(X239:X240)</f>
        <v>293.43500000221593</v>
      </c>
      <c r="Y241" s="277">
        <f t="shared" si="630"/>
        <v>4328.4680000838725</v>
      </c>
    </row>
    <row r="242" spans="1:25" ht="12.6">
      <c r="A242" s="242"/>
      <c r="B242" s="291"/>
      <c r="C242" s="291"/>
      <c r="D242" s="291"/>
      <c r="E242" s="291"/>
      <c r="F242" s="291"/>
      <c r="G242" s="291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291"/>
      <c r="W242" s="291"/>
      <c r="X242" s="291"/>
      <c r="Y242" s="291"/>
    </row>
    <row r="243" spans="1:25" ht="12.6">
      <c r="C243" s="239"/>
    </row>
    <row r="244" spans="1:25">
      <c r="A244" s="237"/>
    </row>
    <row r="245" spans="1:25" ht="14.1">
      <c r="A245" s="241" t="str">
        <f>"Industry 10 : "&amp; name!B13</f>
        <v>Industry 10 : Transport and storage</v>
      </c>
      <c r="B245" s="366">
        <f>$B$5</f>
        <v>2015</v>
      </c>
      <c r="C245" s="366"/>
      <c r="D245" s="366"/>
      <c r="E245" s="366"/>
      <c r="F245" s="291"/>
      <c r="G245" s="366">
        <f>$G$5</f>
        <v>2019</v>
      </c>
      <c r="H245" s="366"/>
      <c r="I245" s="366"/>
      <c r="J245" s="366"/>
      <c r="K245" s="291"/>
      <c r="L245" s="366">
        <f>$L$5</f>
        <v>2020</v>
      </c>
      <c r="M245" s="366"/>
      <c r="N245" s="366"/>
      <c r="O245" s="366"/>
      <c r="P245" s="289"/>
      <c r="Q245" s="366">
        <f>$Q$5</f>
        <v>2025</v>
      </c>
      <c r="R245" s="366"/>
      <c r="S245" s="366"/>
      <c r="T245" s="366"/>
      <c r="U245" s="291"/>
      <c r="V245" s="366">
        <f>$V$5</f>
        <v>2035</v>
      </c>
      <c r="W245" s="366"/>
      <c r="X245" s="366"/>
      <c r="Y245" s="366"/>
    </row>
    <row r="246" spans="1:25">
      <c r="A246" s="240"/>
      <c r="B246" s="244" t="str">
        <f>$B$6</f>
        <v>FT</v>
      </c>
      <c r="C246" s="244" t="str">
        <f>$C$6</f>
        <v>PT</v>
      </c>
      <c r="D246" s="244" t="str">
        <f>$D$6</f>
        <v>SE</v>
      </c>
      <c r="E246" s="244" t="str">
        <f>$E$6</f>
        <v>Total</v>
      </c>
      <c r="F246" s="244"/>
      <c r="G246" s="244" t="str">
        <f>$B$6</f>
        <v>FT</v>
      </c>
      <c r="H246" s="244" t="str">
        <f>$C$6</f>
        <v>PT</v>
      </c>
      <c r="I246" s="244" t="str">
        <f>$D$6</f>
        <v>SE</v>
      </c>
      <c r="J246" s="244" t="str">
        <f>$E$6</f>
        <v>Total</v>
      </c>
      <c r="K246" s="244"/>
      <c r="L246" s="244" t="str">
        <f>$L$6</f>
        <v>FT</v>
      </c>
      <c r="M246" s="244" t="str">
        <f>$M$6</f>
        <v>PT</v>
      </c>
      <c r="N246" s="244" t="str">
        <f>$N$6</f>
        <v>SE</v>
      </c>
      <c r="O246" s="244" t="str">
        <f>$O$6</f>
        <v>Total</v>
      </c>
      <c r="P246" s="244"/>
      <c r="Q246" s="244" t="str">
        <f>$L$6</f>
        <v>FT</v>
      </c>
      <c r="R246" s="244" t="str">
        <f>$M$6</f>
        <v>PT</v>
      </c>
      <c r="S246" s="244" t="str">
        <f>$N$6</f>
        <v>SE</v>
      </c>
      <c r="T246" s="244" t="str">
        <f>$O$6</f>
        <v>Total</v>
      </c>
      <c r="U246" s="244"/>
      <c r="V246" s="244" t="str">
        <f>$V$6</f>
        <v>FT</v>
      </c>
      <c r="W246" s="244" t="str">
        <f>$W$6</f>
        <v>PT</v>
      </c>
      <c r="X246" s="244" t="str">
        <f>$X$6</f>
        <v>SE</v>
      </c>
      <c r="Y246" s="244" t="str">
        <f>$Y$6</f>
        <v>Total</v>
      </c>
    </row>
    <row r="247" spans="1:25">
      <c r="C247" s="290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0"/>
      <c r="P247" s="290"/>
      <c r="Q247" s="290"/>
      <c r="R247" s="290"/>
      <c r="S247" s="290"/>
      <c r="T247" s="290"/>
      <c r="U247" s="290"/>
      <c r="V247" s="290"/>
      <c r="W247" s="290"/>
      <c r="X247" s="290"/>
      <c r="Y247" s="290"/>
    </row>
    <row r="248" spans="1:25">
      <c r="A248" s="237" t="str">
        <f>name!A37</f>
        <v>Land transport, etc</v>
      </c>
      <c r="C248" s="239"/>
    </row>
    <row r="249" spans="1:25" ht="12.6">
      <c r="A249" s="236" t="s">
        <v>145</v>
      </c>
      <c r="B249" s="276">
        <v>50.963999999742896</v>
      </c>
      <c r="C249" s="276">
        <v>25.254000000512342</v>
      </c>
      <c r="D249" s="276">
        <v>5.5080000001176765</v>
      </c>
      <c r="E249" s="276">
        <f>SUM(B249:D249)</f>
        <v>81.72600000037292</v>
      </c>
      <c r="F249" s="276"/>
      <c r="G249" s="276">
        <v>60.896999999464349</v>
      </c>
      <c r="H249" s="276">
        <v>36.806000000549943</v>
      </c>
      <c r="I249" s="276">
        <v>8.6110000001835871</v>
      </c>
      <c r="J249" s="276">
        <f>SUM(G249:I249)</f>
        <v>106.31400000019789</v>
      </c>
      <c r="K249" s="276"/>
      <c r="L249" s="276">
        <v>64.547999999485299</v>
      </c>
      <c r="M249" s="276">
        <v>41.213000000304355</v>
      </c>
      <c r="N249" s="276">
        <v>14.879999999857418</v>
      </c>
      <c r="O249" s="276">
        <f>SUM(L249:N249)</f>
        <v>120.64099999964706</v>
      </c>
      <c r="P249" s="276"/>
      <c r="Q249" s="276">
        <v>72.091000001413036</v>
      </c>
      <c r="R249" s="276">
        <v>46.304000000250142</v>
      </c>
      <c r="S249" s="276">
        <v>16.181999999965992</v>
      </c>
      <c r="T249" s="276">
        <f>SUM(Q249:S249)</f>
        <v>134.57700000162916</v>
      </c>
      <c r="U249" s="276"/>
      <c r="V249" s="276">
        <v>76.478000001798421</v>
      </c>
      <c r="W249" s="276">
        <v>49.608000000361798</v>
      </c>
      <c r="X249" s="276">
        <v>16.437000000012588</v>
      </c>
      <c r="Y249" s="276">
        <f>SUM(V249:X249)</f>
        <v>142.52300000217281</v>
      </c>
    </row>
    <row r="250" spans="1:25" ht="12.6">
      <c r="A250" s="236" t="s">
        <v>144</v>
      </c>
      <c r="B250" s="276">
        <v>358.30200000262528</v>
      </c>
      <c r="C250" s="276">
        <v>25.956000000551445</v>
      </c>
      <c r="D250" s="276">
        <v>178.05900000269708</v>
      </c>
      <c r="E250" s="276">
        <f t="shared" ref="E250:E251" si="641">SUM(B250:D250)</f>
        <v>562.31700000587375</v>
      </c>
      <c r="F250" s="276"/>
      <c r="G250" s="276">
        <v>381.75700000181132</v>
      </c>
      <c r="H250" s="276">
        <v>37.147000000651495</v>
      </c>
      <c r="I250" s="276">
        <v>224.89799998550808</v>
      </c>
      <c r="J250" s="276">
        <f t="shared" ref="J250:J251" si="642">SUM(G250:I250)</f>
        <v>643.80199998797093</v>
      </c>
      <c r="K250" s="276"/>
      <c r="L250" s="276">
        <v>380.51399999975087</v>
      </c>
      <c r="M250" s="276">
        <v>47.759999999737417</v>
      </c>
      <c r="N250" s="276">
        <v>160.38900000353752</v>
      </c>
      <c r="O250" s="276">
        <f t="shared" ref="O250:O251" si="643">SUM(L250:N250)</f>
        <v>588.66300000302579</v>
      </c>
      <c r="P250" s="276"/>
      <c r="Q250" s="276">
        <v>404.5680000004038</v>
      </c>
      <c r="R250" s="276">
        <v>52.837000000267288</v>
      </c>
      <c r="S250" s="276">
        <v>180.05900002016628</v>
      </c>
      <c r="T250" s="276">
        <f t="shared" ref="T250:T251" si="644">SUM(Q250:S250)</f>
        <v>637.46400002083737</v>
      </c>
      <c r="U250" s="276"/>
      <c r="V250" s="276">
        <v>388.97900000039851</v>
      </c>
      <c r="W250" s="276">
        <v>54.853000000329843</v>
      </c>
      <c r="X250" s="276">
        <v>192.9260000220001</v>
      </c>
      <c r="Y250" s="276">
        <f t="shared" ref="Y250:Y251" si="645">SUM(V250:X250)</f>
        <v>636.75800002272854</v>
      </c>
    </row>
    <row r="251" spans="1:25" ht="12.6">
      <c r="A251" s="236" t="s">
        <v>146</v>
      </c>
      <c r="B251" s="276">
        <f>SUM(B249:B250)</f>
        <v>409.26600000236817</v>
      </c>
      <c r="C251" s="276">
        <f t="shared" ref="C251" si="646">SUM(C249:C250)</f>
        <v>51.21000000106379</v>
      </c>
      <c r="D251" s="276">
        <f t="shared" ref="D251" si="647">SUM(D249:D250)</f>
        <v>183.56700000281475</v>
      </c>
      <c r="E251" s="276">
        <f t="shared" si="641"/>
        <v>644.04300000624676</v>
      </c>
      <c r="F251" s="276"/>
      <c r="G251" s="276">
        <f>SUM(G249:G250)</f>
        <v>442.65400000127568</v>
      </c>
      <c r="H251" s="276">
        <f t="shared" ref="H251" si="648">SUM(H249:H250)</f>
        <v>73.953000001201445</v>
      </c>
      <c r="I251" s="276">
        <f t="shared" ref="I251" si="649">SUM(I249:I250)</f>
        <v>233.50899998569167</v>
      </c>
      <c r="J251" s="276">
        <f t="shared" si="642"/>
        <v>750.11599998816882</v>
      </c>
      <c r="K251" s="276"/>
      <c r="L251" s="276">
        <f>SUM(L249:L250)</f>
        <v>445.06199999923615</v>
      </c>
      <c r="M251" s="276">
        <f t="shared" ref="M251" si="650">SUM(M249:M250)</f>
        <v>88.973000000041765</v>
      </c>
      <c r="N251" s="276">
        <f t="shared" ref="N251" si="651">SUM(N249:N250)</f>
        <v>175.26900000339492</v>
      </c>
      <c r="O251" s="276">
        <f t="shared" si="643"/>
        <v>709.30400000267286</v>
      </c>
      <c r="P251" s="276"/>
      <c r="Q251" s="276">
        <f>SUM(Q249:Q250)</f>
        <v>476.65900000181682</v>
      </c>
      <c r="R251" s="276">
        <f t="shared" ref="R251" si="652">SUM(R249:R250)</f>
        <v>99.141000000517437</v>
      </c>
      <c r="S251" s="276">
        <f t="shared" ref="S251" si="653">SUM(S249:S250)</f>
        <v>196.24100002013228</v>
      </c>
      <c r="T251" s="276">
        <f t="shared" si="644"/>
        <v>772.04100002246651</v>
      </c>
      <c r="U251" s="276"/>
      <c r="V251" s="276">
        <f>SUM(V249:V250)</f>
        <v>465.45700000219693</v>
      </c>
      <c r="W251" s="276">
        <f t="shared" ref="W251" si="654">SUM(W249:W250)</f>
        <v>104.46100000069164</v>
      </c>
      <c r="X251" s="276">
        <f t="shared" ref="X251" si="655">SUM(X249:X250)</f>
        <v>209.36300002201267</v>
      </c>
      <c r="Y251" s="276">
        <f t="shared" si="645"/>
        <v>779.28100002490123</v>
      </c>
    </row>
    <row r="252" spans="1:25">
      <c r="C252" s="290"/>
      <c r="D252" s="290"/>
      <c r="E252" s="290"/>
      <c r="F252" s="290"/>
      <c r="G252" s="290"/>
      <c r="H252" s="290"/>
      <c r="I252" s="290"/>
      <c r="J252" s="290"/>
      <c r="K252" s="290"/>
      <c r="L252" s="290"/>
      <c r="M252" s="290"/>
      <c r="N252" s="290"/>
      <c r="O252" s="290"/>
      <c r="P252" s="290"/>
      <c r="Q252" s="290"/>
      <c r="R252" s="290"/>
      <c r="S252" s="290"/>
      <c r="T252" s="290"/>
      <c r="U252" s="290"/>
      <c r="V252" s="290"/>
      <c r="W252" s="290"/>
      <c r="X252" s="290"/>
      <c r="Y252" s="290"/>
    </row>
    <row r="253" spans="1:25">
      <c r="A253" s="237" t="str">
        <f>name!A38</f>
        <v>Water transport</v>
      </c>
      <c r="C253" s="239"/>
    </row>
    <row r="254" spans="1:25" ht="12.6">
      <c r="A254" s="236" t="s">
        <v>145</v>
      </c>
      <c r="B254" s="276">
        <v>4.327999999986174</v>
      </c>
      <c r="C254" s="276">
        <v>1.6090000000226821</v>
      </c>
      <c r="D254" s="276">
        <v>0.36900000000499805</v>
      </c>
      <c r="E254" s="276">
        <f>SUM(B254:D254)</f>
        <v>6.3060000000138547</v>
      </c>
      <c r="F254" s="276"/>
      <c r="G254" s="276">
        <v>4.0669999999726869</v>
      </c>
      <c r="H254" s="276">
        <v>1.5300000000461851</v>
      </c>
      <c r="I254" s="276">
        <v>0.37200000000954625</v>
      </c>
      <c r="J254" s="276">
        <f>SUM(G254:I254)</f>
        <v>5.9690000000284176</v>
      </c>
      <c r="K254" s="276"/>
      <c r="L254" s="276">
        <v>3.7909999999747628</v>
      </c>
      <c r="M254" s="276">
        <v>1.7130000000255909</v>
      </c>
      <c r="N254" s="276">
        <v>0.28300000000002024</v>
      </c>
      <c r="O254" s="276">
        <f>SUM(L254:N254)</f>
        <v>5.7870000000003738</v>
      </c>
      <c r="P254" s="276"/>
      <c r="Q254" s="276">
        <v>3.1740000000606461</v>
      </c>
      <c r="R254" s="276">
        <v>1.4300000000300603</v>
      </c>
      <c r="S254" s="276">
        <v>0.24000000000175561</v>
      </c>
      <c r="T254" s="276">
        <f>SUM(Q254:S254)</f>
        <v>4.8440000000924615</v>
      </c>
      <c r="U254" s="276"/>
      <c r="V254" s="276">
        <v>2.9740000000625417</v>
      </c>
      <c r="W254" s="276">
        <v>1.3370000000148392</v>
      </c>
      <c r="X254" s="276">
        <v>0.23300000000412768</v>
      </c>
      <c r="Y254" s="276">
        <f>SUM(V254:X254)</f>
        <v>4.5440000000815086</v>
      </c>
    </row>
    <row r="255" spans="1:25" ht="12.6">
      <c r="A255" s="236" t="s">
        <v>144</v>
      </c>
      <c r="B255" s="276">
        <v>6.9540000000379187</v>
      </c>
      <c r="C255" s="276">
        <v>0.6790000000026658</v>
      </c>
      <c r="D255" s="276">
        <v>0.28000000000645764</v>
      </c>
      <c r="E255" s="276">
        <f t="shared" ref="E255:E256" si="656">SUM(B255:D255)</f>
        <v>7.9130000000470417</v>
      </c>
      <c r="F255" s="276"/>
      <c r="G255" s="276">
        <v>6.2310000000241876</v>
      </c>
      <c r="H255" s="276">
        <v>0.78100000000163627</v>
      </c>
      <c r="I255" s="276">
        <v>3.087000000034922</v>
      </c>
      <c r="J255" s="276">
        <f t="shared" ref="J255:J256" si="657">SUM(G255:I255)</f>
        <v>10.099000000060746</v>
      </c>
      <c r="K255" s="276"/>
      <c r="L255" s="276">
        <v>6.293999999994929</v>
      </c>
      <c r="M255" s="276">
        <v>0.73700000000037946</v>
      </c>
      <c r="N255" s="276">
        <v>3.192000000042321</v>
      </c>
      <c r="O255" s="276">
        <f t="shared" ref="O255:O256" si="658">SUM(L255:N255)</f>
        <v>10.223000000037629</v>
      </c>
      <c r="P255" s="276"/>
      <c r="Q255" s="276">
        <v>5.3580000000064869</v>
      </c>
      <c r="R255" s="276">
        <v>0.61200000000123433</v>
      </c>
      <c r="S255" s="276">
        <v>2.6060000000929202</v>
      </c>
      <c r="T255" s="276">
        <f t="shared" ref="T255:T256" si="659">SUM(Q255:S255)</f>
        <v>8.5760000001006418</v>
      </c>
      <c r="U255" s="276"/>
      <c r="V255" s="276">
        <v>5.1830000000056966</v>
      </c>
      <c r="W255" s="276">
        <v>0.5689999999996106</v>
      </c>
      <c r="X255" s="276">
        <v>2.320000000078974</v>
      </c>
      <c r="Y255" s="276">
        <f t="shared" ref="Y255:Y256" si="660">SUM(V255:X255)</f>
        <v>8.072000000084282</v>
      </c>
    </row>
    <row r="256" spans="1:25" ht="12.6">
      <c r="A256" s="236" t="s">
        <v>146</v>
      </c>
      <c r="B256" s="276">
        <f>SUM(B254:B255)</f>
        <v>11.282000000024093</v>
      </c>
      <c r="C256" s="276">
        <f t="shared" ref="C256" si="661">SUM(C254:C255)</f>
        <v>2.288000000025348</v>
      </c>
      <c r="D256" s="276">
        <f t="shared" ref="D256" si="662">SUM(D254:D255)</f>
        <v>0.64900000001145575</v>
      </c>
      <c r="E256" s="276">
        <f t="shared" si="656"/>
        <v>14.219000000060895</v>
      </c>
      <c r="F256" s="276"/>
      <c r="G256" s="276">
        <f>SUM(G254:G255)</f>
        <v>10.297999999996875</v>
      </c>
      <c r="H256" s="276">
        <f t="shared" ref="H256" si="663">SUM(H254:H255)</f>
        <v>2.3110000000478212</v>
      </c>
      <c r="I256" s="276">
        <f t="shared" ref="I256" si="664">SUM(I254:I255)</f>
        <v>3.4590000000444681</v>
      </c>
      <c r="J256" s="276">
        <f t="shared" si="657"/>
        <v>16.068000000089164</v>
      </c>
      <c r="K256" s="276"/>
      <c r="L256" s="276">
        <f>SUM(L254:L255)</f>
        <v>10.084999999969693</v>
      </c>
      <c r="M256" s="276">
        <f t="shared" ref="M256" si="665">SUM(M254:M255)</f>
        <v>2.4500000000259705</v>
      </c>
      <c r="N256" s="276">
        <f t="shared" ref="N256" si="666">SUM(N254:N255)</f>
        <v>3.4750000000423413</v>
      </c>
      <c r="O256" s="276">
        <f t="shared" si="658"/>
        <v>16.010000000038005</v>
      </c>
      <c r="P256" s="276"/>
      <c r="Q256" s="276">
        <f>SUM(Q254:Q255)</f>
        <v>8.5320000000671321</v>
      </c>
      <c r="R256" s="276">
        <f t="shared" ref="R256" si="667">SUM(R254:R255)</f>
        <v>2.0420000000312948</v>
      </c>
      <c r="S256" s="276">
        <f t="shared" ref="S256" si="668">SUM(S254:S255)</f>
        <v>2.8460000000946759</v>
      </c>
      <c r="T256" s="276">
        <f t="shared" si="659"/>
        <v>13.420000000193102</v>
      </c>
      <c r="U256" s="276"/>
      <c r="V256" s="276">
        <f>SUM(V254:V255)</f>
        <v>8.1570000000682388</v>
      </c>
      <c r="W256" s="276">
        <f t="shared" ref="W256" si="669">SUM(W254:W255)</f>
        <v>1.9060000000144499</v>
      </c>
      <c r="X256" s="276">
        <f t="shared" ref="X256" si="670">SUM(X254:X255)</f>
        <v>2.5530000000831015</v>
      </c>
      <c r="Y256" s="276">
        <f t="shared" si="660"/>
        <v>12.616000000165791</v>
      </c>
    </row>
    <row r="257" spans="1:25">
      <c r="C257" s="290"/>
      <c r="D257" s="290"/>
      <c r="E257" s="290"/>
      <c r="F257" s="290"/>
      <c r="G257" s="290"/>
      <c r="H257" s="290"/>
      <c r="I257" s="290"/>
      <c r="J257" s="290"/>
      <c r="K257" s="290"/>
      <c r="L257" s="290"/>
      <c r="M257" s="290"/>
      <c r="N257" s="290"/>
      <c r="O257" s="290"/>
      <c r="P257" s="290"/>
      <c r="Q257" s="290"/>
      <c r="R257" s="290"/>
      <c r="S257" s="290"/>
      <c r="T257" s="290"/>
      <c r="U257" s="290"/>
      <c r="V257" s="290"/>
      <c r="W257" s="290"/>
      <c r="X257" s="290"/>
      <c r="Y257" s="290"/>
    </row>
    <row r="258" spans="1:25">
      <c r="A258" s="237" t="str">
        <f>name!A39</f>
        <v>Air transport</v>
      </c>
      <c r="C258" s="239"/>
    </row>
    <row r="259" spans="1:25" ht="12.6">
      <c r="A259" s="236" t="s">
        <v>145</v>
      </c>
      <c r="B259" s="276">
        <v>19.931999999930053</v>
      </c>
      <c r="C259" s="276">
        <v>14.229000000318335</v>
      </c>
      <c r="D259" s="276">
        <v>0.20200000000212867</v>
      </c>
      <c r="E259" s="276">
        <f>SUM(B259:D259)</f>
        <v>34.363000000250516</v>
      </c>
      <c r="F259" s="276"/>
      <c r="G259" s="276">
        <v>22.683999999829172</v>
      </c>
      <c r="H259" s="276">
        <v>13.73400000031562</v>
      </c>
      <c r="I259" s="276">
        <v>0.59400000000719277</v>
      </c>
      <c r="J259" s="276">
        <f>SUM(G259:I259)</f>
        <v>37.012000000151986</v>
      </c>
      <c r="K259" s="276"/>
      <c r="L259" s="276">
        <v>19.496999999864808</v>
      </c>
      <c r="M259" s="276">
        <v>12.955000000027487</v>
      </c>
      <c r="N259" s="276">
        <v>0.31399999999827505</v>
      </c>
      <c r="O259" s="276">
        <f>SUM(L259:N259)</f>
        <v>32.765999999890568</v>
      </c>
      <c r="P259" s="276"/>
      <c r="Q259" s="276">
        <v>20.505000000400923</v>
      </c>
      <c r="R259" s="276">
        <v>13.580000000107313</v>
      </c>
      <c r="S259" s="276">
        <v>0.30599999999962052</v>
      </c>
      <c r="T259" s="276">
        <f>SUM(Q259:S259)</f>
        <v>34.391000000507859</v>
      </c>
      <c r="U259" s="276"/>
      <c r="V259" s="276">
        <v>21.277000000488911</v>
      </c>
      <c r="W259" s="276">
        <v>14.150000000199057</v>
      </c>
      <c r="X259" s="276">
        <v>0.31499999999960943</v>
      </c>
      <c r="Y259" s="276">
        <f>SUM(V259:X259)</f>
        <v>35.742000000687575</v>
      </c>
    </row>
    <row r="260" spans="1:25" ht="12.6">
      <c r="A260" s="236" t="s">
        <v>144</v>
      </c>
      <c r="B260" s="276">
        <v>28.271000000190352</v>
      </c>
      <c r="C260" s="276">
        <v>7.7480000000918627</v>
      </c>
      <c r="D260" s="276">
        <v>0.45800000000733276</v>
      </c>
      <c r="E260" s="276">
        <f t="shared" ref="E260:E261" si="671">SUM(B260:D260)</f>
        <v>36.477000000289543</v>
      </c>
      <c r="F260" s="276"/>
      <c r="G260" s="276">
        <v>32.34600000017538</v>
      </c>
      <c r="H260" s="276">
        <v>5.9240000000464565</v>
      </c>
      <c r="I260" s="276">
        <v>0.18700000000229</v>
      </c>
      <c r="J260" s="276">
        <f t="shared" ref="J260:J261" si="672">SUM(G260:I260)</f>
        <v>38.457000000224127</v>
      </c>
      <c r="K260" s="276"/>
      <c r="L260" s="276">
        <v>29.68899999992616</v>
      </c>
      <c r="M260" s="276">
        <v>4.7879999999891236</v>
      </c>
      <c r="N260" s="276">
        <v>3.2309999999754049</v>
      </c>
      <c r="O260" s="276">
        <f t="shared" ref="O260:O261" si="673">SUM(L260:N260)</f>
        <v>37.707999999890689</v>
      </c>
      <c r="P260" s="276"/>
      <c r="Q260" s="276">
        <v>30.451999999975417</v>
      </c>
      <c r="R260" s="276">
        <v>5.0229999999931536</v>
      </c>
      <c r="S260" s="276">
        <v>3.3289999999552835</v>
      </c>
      <c r="T260" s="276">
        <f t="shared" ref="T260:T261" si="674">SUM(Q260:S260)</f>
        <v>38.80399999992386</v>
      </c>
      <c r="U260" s="276"/>
      <c r="V260" s="276">
        <v>30.017000000005865</v>
      </c>
      <c r="W260" s="276">
        <v>5.0690000000040465</v>
      </c>
      <c r="X260" s="276">
        <v>3.3649999999613294</v>
      </c>
      <c r="Y260" s="276">
        <f t="shared" ref="Y260:Y261" si="675">SUM(V260:X260)</f>
        <v>38.450999999971238</v>
      </c>
    </row>
    <row r="261" spans="1:25" ht="12.6">
      <c r="A261" s="236" t="s">
        <v>146</v>
      </c>
      <c r="B261" s="276">
        <f>SUM(B259:B260)</f>
        <v>48.203000000120404</v>
      </c>
      <c r="C261" s="276">
        <f t="shared" ref="C261" si="676">SUM(C259:C260)</f>
        <v>21.977000000410197</v>
      </c>
      <c r="D261" s="276">
        <f t="shared" ref="D261" si="677">SUM(D259:D260)</f>
        <v>0.66000000000946146</v>
      </c>
      <c r="E261" s="276">
        <f t="shared" si="671"/>
        <v>70.840000000540059</v>
      </c>
      <c r="F261" s="276"/>
      <c r="G261" s="276">
        <f>SUM(G259:G260)</f>
        <v>55.030000000004549</v>
      </c>
      <c r="H261" s="276">
        <f t="shared" ref="H261" si="678">SUM(H259:H260)</f>
        <v>19.658000000362076</v>
      </c>
      <c r="I261" s="276">
        <f t="shared" ref="I261" si="679">SUM(I259:I260)</f>
        <v>0.78100000000948278</v>
      </c>
      <c r="J261" s="276">
        <f t="shared" si="672"/>
        <v>75.469000000376113</v>
      </c>
      <c r="K261" s="276"/>
      <c r="L261" s="276">
        <f>SUM(L259:L260)</f>
        <v>49.185999999790965</v>
      </c>
      <c r="M261" s="276">
        <f t="shared" ref="M261" si="680">SUM(M259:M260)</f>
        <v>17.743000000016611</v>
      </c>
      <c r="N261" s="276">
        <f t="shared" ref="N261" si="681">SUM(N259:N260)</f>
        <v>3.5449999999736801</v>
      </c>
      <c r="O261" s="276">
        <f t="shared" si="673"/>
        <v>70.473999999781256</v>
      </c>
      <c r="P261" s="276"/>
      <c r="Q261" s="276">
        <f>SUM(Q259:Q260)</f>
        <v>50.95700000037634</v>
      </c>
      <c r="R261" s="276">
        <f t="shared" ref="R261" si="682">SUM(R259:R260)</f>
        <v>18.603000000100465</v>
      </c>
      <c r="S261" s="276">
        <f t="shared" ref="S261" si="683">SUM(S259:S260)</f>
        <v>3.6349999999549039</v>
      </c>
      <c r="T261" s="276">
        <f t="shared" si="674"/>
        <v>73.195000000431705</v>
      </c>
      <c r="U261" s="276"/>
      <c r="V261" s="276">
        <f>SUM(V259:V260)</f>
        <v>51.294000000494776</v>
      </c>
      <c r="W261" s="276">
        <f t="shared" ref="W261" si="684">SUM(W259:W260)</f>
        <v>19.219000000203103</v>
      </c>
      <c r="X261" s="276">
        <f t="shared" ref="X261" si="685">SUM(X259:X260)</f>
        <v>3.679999999960939</v>
      </c>
      <c r="Y261" s="276">
        <f t="shared" si="675"/>
        <v>74.193000000658813</v>
      </c>
    </row>
    <row r="262" spans="1:25">
      <c r="C262" s="290"/>
      <c r="D262" s="290"/>
      <c r="E262" s="290"/>
      <c r="F262" s="290"/>
      <c r="G262" s="290"/>
      <c r="H262" s="290"/>
      <c r="I262" s="290"/>
      <c r="J262" s="290"/>
      <c r="K262" s="290"/>
      <c r="L262" s="290"/>
      <c r="M262" s="290"/>
      <c r="N262" s="290"/>
      <c r="O262" s="290"/>
      <c r="P262" s="290"/>
      <c r="Q262" s="290"/>
      <c r="R262" s="290"/>
      <c r="S262" s="290"/>
      <c r="T262" s="290"/>
      <c r="U262" s="290"/>
      <c r="V262" s="290"/>
      <c r="W262" s="290"/>
      <c r="X262" s="290"/>
      <c r="Y262" s="290"/>
    </row>
    <row r="263" spans="1:25">
      <c r="A263" s="237" t="str">
        <f>name!A40</f>
        <v>Warehousing, etc</v>
      </c>
      <c r="C263" s="239"/>
    </row>
    <row r="264" spans="1:25" ht="12.6">
      <c r="A264" s="236" t="s">
        <v>145</v>
      </c>
      <c r="B264" s="276">
        <v>43.791999999821904</v>
      </c>
      <c r="C264" s="276">
        <v>23.645000000466979</v>
      </c>
      <c r="D264" s="276">
        <v>4.2080000000988926</v>
      </c>
      <c r="E264" s="276">
        <f>SUM(B264:D264)</f>
        <v>71.645000000387782</v>
      </c>
      <c r="F264" s="276"/>
      <c r="G264" s="276">
        <v>56.929999999300875</v>
      </c>
      <c r="H264" s="276">
        <v>30.678000000501758</v>
      </c>
      <c r="I264" s="276">
        <v>9.3380000002290373</v>
      </c>
      <c r="J264" s="276">
        <f>SUM(G264:I264)</f>
        <v>96.94600000003166</v>
      </c>
      <c r="K264" s="276"/>
      <c r="L264" s="276">
        <v>57.508999999528044</v>
      </c>
      <c r="M264" s="276">
        <v>34.072000000391945</v>
      </c>
      <c r="N264" s="276">
        <v>0.23299999999511575</v>
      </c>
      <c r="O264" s="276">
        <f>SUM(L264:N264)</f>
        <v>91.813999999915097</v>
      </c>
      <c r="P264" s="276"/>
      <c r="Q264" s="276">
        <v>62.354000001394738</v>
      </c>
      <c r="R264" s="276">
        <v>37.684000000624863</v>
      </c>
      <c r="S264" s="276">
        <v>0.26500000000058893</v>
      </c>
      <c r="T264" s="276">
        <f>SUM(Q264:S264)</f>
        <v>100.30300000202018</v>
      </c>
      <c r="U264" s="276"/>
      <c r="V264" s="276">
        <v>65.63900000170193</v>
      </c>
      <c r="W264" s="276">
        <v>41.910000000716138</v>
      </c>
      <c r="X264" s="276">
        <v>0.2800000000033791</v>
      </c>
      <c r="Y264" s="276">
        <f>SUM(V264:X264)</f>
        <v>107.82900000242145</v>
      </c>
    </row>
    <row r="265" spans="1:25" ht="12.6">
      <c r="A265" s="236" t="s">
        <v>144</v>
      </c>
      <c r="B265" s="276">
        <v>298.10100000153051</v>
      </c>
      <c r="C265" s="276">
        <v>30.107000000470077</v>
      </c>
      <c r="D265" s="276">
        <v>22.756000000447276</v>
      </c>
      <c r="E265" s="276">
        <f t="shared" ref="E265:E266" si="686">SUM(B265:D265)</f>
        <v>350.96400000244785</v>
      </c>
      <c r="F265" s="276"/>
      <c r="G265" s="276">
        <v>324.35600000096662</v>
      </c>
      <c r="H265" s="276">
        <v>43.620000000487579</v>
      </c>
      <c r="I265" s="276">
        <v>20.811000000032301</v>
      </c>
      <c r="J265" s="276">
        <f t="shared" ref="J265:J266" si="687">SUM(G265:I265)</f>
        <v>388.78700000148649</v>
      </c>
      <c r="K265" s="276"/>
      <c r="L265" s="276">
        <v>333.93599999998355</v>
      </c>
      <c r="M265" s="276">
        <v>50.410999999916768</v>
      </c>
      <c r="N265" s="276">
        <v>27.841000000353532</v>
      </c>
      <c r="O265" s="276">
        <f t="shared" ref="O265:O266" si="688">SUM(L265:N265)</f>
        <v>412.18800000025385</v>
      </c>
      <c r="P265" s="276"/>
      <c r="Q265" s="276">
        <v>350.70400000062347</v>
      </c>
      <c r="R265" s="276">
        <v>52.502000000420452</v>
      </c>
      <c r="S265" s="276">
        <v>26.930000001020321</v>
      </c>
      <c r="T265" s="276">
        <f t="shared" ref="T265:T266" si="689">SUM(Q265:S265)</f>
        <v>430.13600000206424</v>
      </c>
      <c r="U265" s="276"/>
      <c r="V265" s="276">
        <v>354.88000000087067</v>
      </c>
      <c r="W265" s="276">
        <v>55.244000000494118</v>
      </c>
      <c r="X265" s="276">
        <v>26.598000000911686</v>
      </c>
      <c r="Y265" s="276">
        <f t="shared" ref="Y265:Y266" si="690">SUM(V265:X265)</f>
        <v>436.72200000227645</v>
      </c>
    </row>
    <row r="266" spans="1:25" ht="12.6">
      <c r="A266" s="236" t="s">
        <v>146</v>
      </c>
      <c r="B266" s="276">
        <f>SUM(B264:B265)</f>
        <v>341.89300000135239</v>
      </c>
      <c r="C266" s="276">
        <f t="shared" ref="C266" si="691">SUM(C264:C265)</f>
        <v>53.752000000937059</v>
      </c>
      <c r="D266" s="276">
        <f t="shared" ref="D266" si="692">SUM(D264:D265)</f>
        <v>26.964000000546168</v>
      </c>
      <c r="E266" s="276">
        <f t="shared" si="686"/>
        <v>422.60900000283561</v>
      </c>
      <c r="F266" s="276"/>
      <c r="G266" s="276">
        <f>SUM(G264:G265)</f>
        <v>381.28600000026751</v>
      </c>
      <c r="H266" s="276">
        <f t="shared" ref="H266" si="693">SUM(H264:H265)</f>
        <v>74.298000000989333</v>
      </c>
      <c r="I266" s="276">
        <f t="shared" ref="I266" si="694">SUM(I264:I265)</f>
        <v>30.149000000261339</v>
      </c>
      <c r="J266" s="276">
        <f t="shared" si="687"/>
        <v>485.73300000151823</v>
      </c>
      <c r="K266" s="276"/>
      <c r="L266" s="276">
        <f>SUM(L264:L265)</f>
        <v>391.44499999951159</v>
      </c>
      <c r="M266" s="276">
        <f t="shared" ref="M266" si="695">SUM(M264:M265)</f>
        <v>84.483000000308721</v>
      </c>
      <c r="N266" s="276">
        <f t="shared" ref="N266" si="696">SUM(N264:N265)</f>
        <v>28.074000000348647</v>
      </c>
      <c r="O266" s="276">
        <f t="shared" si="688"/>
        <v>504.00200000016895</v>
      </c>
      <c r="P266" s="276"/>
      <c r="Q266" s="276">
        <f>SUM(Q264:Q265)</f>
        <v>413.05800000201822</v>
      </c>
      <c r="R266" s="276">
        <f t="shared" ref="R266" si="697">SUM(R264:R265)</f>
        <v>90.186000001045315</v>
      </c>
      <c r="S266" s="276">
        <f t="shared" ref="S266" si="698">SUM(S264:S265)</f>
        <v>27.195000001020912</v>
      </c>
      <c r="T266" s="276">
        <f t="shared" si="689"/>
        <v>530.43900000408451</v>
      </c>
      <c r="U266" s="276"/>
      <c r="V266" s="276">
        <f>SUM(V264:V265)</f>
        <v>420.51900000257262</v>
      </c>
      <c r="W266" s="276">
        <f t="shared" ref="W266" si="699">SUM(W264:W265)</f>
        <v>97.15400000121025</v>
      </c>
      <c r="X266" s="276">
        <f t="shared" ref="X266" si="700">SUM(X264:X265)</f>
        <v>26.878000000915065</v>
      </c>
      <c r="Y266" s="276">
        <f t="shared" si="690"/>
        <v>544.55100000469793</v>
      </c>
    </row>
    <row r="267" spans="1:25">
      <c r="C267" s="290"/>
      <c r="D267" s="290"/>
      <c r="E267" s="290"/>
      <c r="F267" s="290"/>
      <c r="G267" s="290"/>
      <c r="H267" s="290"/>
      <c r="I267" s="290"/>
      <c r="J267" s="290"/>
      <c r="K267" s="290"/>
      <c r="L267" s="290"/>
      <c r="M267" s="290"/>
      <c r="N267" s="290"/>
      <c r="O267" s="290"/>
      <c r="P267" s="290"/>
      <c r="Q267" s="290"/>
      <c r="R267" s="290"/>
      <c r="S267" s="290"/>
      <c r="T267" s="290"/>
      <c r="U267" s="290"/>
      <c r="V267" s="290"/>
      <c r="W267" s="290"/>
      <c r="X267" s="290"/>
      <c r="Y267" s="290"/>
    </row>
    <row r="268" spans="1:25">
      <c r="A268" s="237" t="str">
        <f>name!A41</f>
        <v>Postal and courier</v>
      </c>
      <c r="C268" s="239"/>
    </row>
    <row r="269" spans="1:25" ht="12.6">
      <c r="A269" s="236" t="s">
        <v>145</v>
      </c>
      <c r="B269" s="276">
        <v>62.320999999944206</v>
      </c>
      <c r="C269" s="276">
        <v>38.946000000918481</v>
      </c>
      <c r="D269" s="276">
        <v>1.9400000000368169</v>
      </c>
      <c r="E269" s="276">
        <f>SUM(B269:D269)</f>
        <v>103.2070000008995</v>
      </c>
      <c r="F269" s="276"/>
      <c r="G269" s="276">
        <v>72.274999999597867</v>
      </c>
      <c r="H269" s="276">
        <v>43.767000000979557</v>
      </c>
      <c r="I269" s="276">
        <v>3.5630000000783184</v>
      </c>
      <c r="J269" s="276">
        <f>SUM(G269:I269)</f>
        <v>119.60500000065574</v>
      </c>
      <c r="K269" s="276"/>
      <c r="L269" s="276">
        <v>72.876999999400311</v>
      </c>
      <c r="M269" s="276">
        <v>47.995000001052048</v>
      </c>
      <c r="N269" s="276">
        <v>4.7819999999450946</v>
      </c>
      <c r="O269" s="276">
        <f>SUM(L269:N269)</f>
        <v>125.65400000039746</v>
      </c>
      <c r="P269" s="276"/>
      <c r="Q269" s="276">
        <v>78.705000001581794</v>
      </c>
      <c r="R269" s="276">
        <v>52.824000001427002</v>
      </c>
      <c r="S269" s="276">
        <v>4.4039999999928012</v>
      </c>
      <c r="T269" s="276">
        <f>SUM(Q269:S269)</f>
        <v>135.93300000300161</v>
      </c>
      <c r="U269" s="276"/>
      <c r="V269" s="276">
        <v>82.581000001834482</v>
      </c>
      <c r="W269" s="276">
        <v>58.463000001309567</v>
      </c>
      <c r="X269" s="276">
        <v>4.1289999999861671</v>
      </c>
      <c r="Y269" s="276">
        <f>SUM(V269:X269)</f>
        <v>145.17300000313023</v>
      </c>
    </row>
    <row r="270" spans="1:25" ht="12.6">
      <c r="A270" s="236" t="s">
        <v>144</v>
      </c>
      <c r="B270" s="276">
        <v>111.8510000010331</v>
      </c>
      <c r="C270" s="276">
        <v>21.184000000378994</v>
      </c>
      <c r="D270" s="276">
        <v>11.693000000131672</v>
      </c>
      <c r="E270" s="276">
        <f t="shared" ref="E270:E271" si="701">SUM(B270:D270)</f>
        <v>144.72800000154376</v>
      </c>
      <c r="F270" s="276"/>
      <c r="G270" s="276">
        <v>109.9780000008263</v>
      </c>
      <c r="H270" s="276">
        <v>27.721000000440171</v>
      </c>
      <c r="I270" s="276">
        <v>10.065999999877173</v>
      </c>
      <c r="J270" s="276">
        <f t="shared" ref="J270:J271" si="702">SUM(G270:I270)</f>
        <v>147.76500000114365</v>
      </c>
      <c r="K270" s="276"/>
      <c r="L270" s="276">
        <v>113.24599999973304</v>
      </c>
      <c r="M270" s="276">
        <v>30.846000000110511</v>
      </c>
      <c r="N270" s="276">
        <v>13.243000000073772</v>
      </c>
      <c r="O270" s="276">
        <f t="shared" ref="O270:O271" si="703">SUM(L270:N270)</f>
        <v>157.33499999991733</v>
      </c>
      <c r="P270" s="276"/>
      <c r="Q270" s="276">
        <v>118.2269999999358</v>
      </c>
      <c r="R270" s="276">
        <v>31.989000000507893</v>
      </c>
      <c r="S270" s="276">
        <v>12.74600000046585</v>
      </c>
      <c r="T270" s="276">
        <f t="shared" ref="T270:T271" si="704">SUM(Q270:S270)</f>
        <v>162.96200000090954</v>
      </c>
      <c r="U270" s="276"/>
      <c r="V270" s="276">
        <v>119.10199999981482</v>
      </c>
      <c r="W270" s="276">
        <v>33.516000000535605</v>
      </c>
      <c r="X270" s="276">
        <v>12.535000000502555</v>
      </c>
      <c r="Y270" s="276">
        <f t="shared" ref="Y270:Y271" si="705">SUM(V270:X270)</f>
        <v>165.15300000085298</v>
      </c>
    </row>
    <row r="271" spans="1:25" ht="12.6">
      <c r="A271" s="236" t="s">
        <v>146</v>
      </c>
      <c r="B271" s="276">
        <f>SUM(B269:B270)</f>
        <v>174.17200000097731</v>
      </c>
      <c r="C271" s="276">
        <f t="shared" ref="C271" si="706">SUM(C269:C270)</f>
        <v>60.130000001297475</v>
      </c>
      <c r="D271" s="276">
        <f t="shared" ref="D271" si="707">SUM(D269:D270)</f>
        <v>13.633000000168488</v>
      </c>
      <c r="E271" s="276">
        <f t="shared" si="701"/>
        <v>247.93500000244327</v>
      </c>
      <c r="F271" s="276"/>
      <c r="G271" s="276">
        <f>SUM(G269:G270)</f>
        <v>182.25300000042415</v>
      </c>
      <c r="H271" s="276">
        <f t="shared" ref="H271" si="708">SUM(H269:H270)</f>
        <v>71.488000001419721</v>
      </c>
      <c r="I271" s="276">
        <f t="shared" ref="I271" si="709">SUM(I269:I270)</f>
        <v>13.628999999955491</v>
      </c>
      <c r="J271" s="276">
        <f t="shared" si="702"/>
        <v>267.37000000179938</v>
      </c>
      <c r="K271" s="276"/>
      <c r="L271" s="276">
        <f>SUM(L269:L270)</f>
        <v>186.12299999913336</v>
      </c>
      <c r="M271" s="276">
        <f t="shared" ref="M271" si="710">SUM(M269:M270)</f>
        <v>78.841000001162556</v>
      </c>
      <c r="N271" s="276">
        <f t="shared" ref="N271" si="711">SUM(N269:N270)</f>
        <v>18.025000000018867</v>
      </c>
      <c r="O271" s="276">
        <f t="shared" si="703"/>
        <v>282.98900000031477</v>
      </c>
      <c r="P271" s="276"/>
      <c r="Q271" s="276">
        <f>SUM(Q269:Q270)</f>
        <v>196.93200000151759</v>
      </c>
      <c r="R271" s="276">
        <f t="shared" ref="R271" si="712">SUM(R269:R270)</f>
        <v>84.813000001934896</v>
      </c>
      <c r="S271" s="276">
        <f t="shared" ref="S271" si="713">SUM(S269:S270)</f>
        <v>17.15000000045865</v>
      </c>
      <c r="T271" s="276">
        <f t="shared" si="704"/>
        <v>298.89500000391115</v>
      </c>
      <c r="U271" s="276"/>
      <c r="V271" s="276">
        <f>SUM(V269:V270)</f>
        <v>201.6830000016493</v>
      </c>
      <c r="W271" s="276">
        <f t="shared" ref="W271" si="714">SUM(W269:W270)</f>
        <v>91.979000001845179</v>
      </c>
      <c r="X271" s="276">
        <f t="shared" ref="X271" si="715">SUM(X269:X270)</f>
        <v>16.66400000048872</v>
      </c>
      <c r="Y271" s="276">
        <f t="shared" si="705"/>
        <v>310.32600000398321</v>
      </c>
    </row>
    <row r="272" spans="1:25" ht="12.6">
      <c r="C272" s="239"/>
    </row>
    <row r="273" spans="1:25">
      <c r="A273" s="237" t="s">
        <v>153</v>
      </c>
    </row>
    <row r="274" spans="1:25" ht="12.6">
      <c r="A274" s="236" t="s">
        <v>145</v>
      </c>
      <c r="B274" s="276">
        <f>SUM(B249,B254,B259,B264,B269)</f>
        <v>181.33699999942525</v>
      </c>
      <c r="C274" s="276">
        <f t="shared" ref="C274:D275" si="716">SUM(C249,C254,C259,C264,C269)</f>
        <v>103.68300000223883</v>
      </c>
      <c r="D274" s="276">
        <f t="shared" si="716"/>
        <v>12.227000000260512</v>
      </c>
      <c r="E274" s="276">
        <f>SUM(B274:D274)</f>
        <v>297.24700000192456</v>
      </c>
      <c r="F274" s="276"/>
      <c r="G274" s="276">
        <f>SUM(G249,G254,G259,G264,G269)</f>
        <v>216.85299999816493</v>
      </c>
      <c r="H274" s="276">
        <f t="shared" ref="H274:I274" si="717">SUM(H249,H254,H259,H264,H269)</f>
        <v>126.51500000239307</v>
      </c>
      <c r="I274" s="276">
        <f t="shared" si="717"/>
        <v>22.478000000507681</v>
      </c>
      <c r="J274" s="276">
        <f>SUM(G274:I274)</f>
        <v>365.8460000010657</v>
      </c>
      <c r="K274" s="276"/>
      <c r="L274" s="276">
        <f>SUM(L249,L254,L259,L264,L269)</f>
        <v>218.22199999825324</v>
      </c>
      <c r="M274" s="276">
        <f t="shared" ref="M274:N274" si="718">SUM(M249,M254,M259,M264,M269)</f>
        <v>137.9480000018014</v>
      </c>
      <c r="N274" s="276">
        <f t="shared" si="718"/>
        <v>20.491999999795922</v>
      </c>
      <c r="O274" s="276">
        <f>SUM(L274:N274)</f>
        <v>376.66199999985054</v>
      </c>
      <c r="P274" s="276"/>
      <c r="Q274" s="276">
        <f>SUM(Q249,Q254,Q259,Q264,Q269)</f>
        <v>236.82900000485114</v>
      </c>
      <c r="R274" s="276">
        <f t="shared" ref="R274:S274" si="719">SUM(R249,R254,R259,R264,R269)</f>
        <v>151.82200000243938</v>
      </c>
      <c r="S274" s="276">
        <f t="shared" si="719"/>
        <v>21.396999999960762</v>
      </c>
      <c r="T274" s="276">
        <f>SUM(Q274:S274)</f>
        <v>410.04800000725129</v>
      </c>
      <c r="U274" s="276"/>
      <c r="V274" s="276">
        <f>SUM(V249,V254,V259,V264,V269)</f>
        <v>248.94900000588626</v>
      </c>
      <c r="W274" s="276">
        <f t="shared" ref="W274:X274" si="720">SUM(W249,W254,W259,W264,W269)</f>
        <v>165.4680000026014</v>
      </c>
      <c r="X274" s="276">
        <f t="shared" si="720"/>
        <v>21.394000000005875</v>
      </c>
      <c r="Y274" s="276">
        <f>SUM(V274:X274)</f>
        <v>435.81100000849352</v>
      </c>
    </row>
    <row r="275" spans="1:25" ht="12.6">
      <c r="A275" s="236" t="s">
        <v>144</v>
      </c>
      <c r="B275" s="276">
        <f>SUM(B250,B255,B260,B265,B270)</f>
        <v>803.47900000541711</v>
      </c>
      <c r="C275" s="276">
        <f t="shared" si="716"/>
        <v>85.674000001495045</v>
      </c>
      <c r="D275" s="276">
        <f t="shared" si="716"/>
        <v>213.24600000328979</v>
      </c>
      <c r="E275" s="276">
        <f t="shared" ref="E275:E276" si="721">SUM(B275:D275)</f>
        <v>1102.3990000102019</v>
      </c>
      <c r="F275" s="276"/>
      <c r="G275" s="276">
        <f>SUM(G250,G255,G260,G265,G270)</f>
        <v>854.66800000380385</v>
      </c>
      <c r="H275" s="276">
        <f t="shared" ref="H275:I275" si="722">SUM(H250,H255,H260,H265,H270)</f>
        <v>115.19300000162733</v>
      </c>
      <c r="I275" s="276">
        <f t="shared" si="722"/>
        <v>259.04899998545477</v>
      </c>
      <c r="J275" s="276">
        <f t="shared" ref="J275:J276" si="723">SUM(G275:I275)</f>
        <v>1228.9099999908858</v>
      </c>
      <c r="K275" s="276"/>
      <c r="L275" s="276">
        <f>SUM(L250,L255,L260,L265,L270)</f>
        <v>863.67899999938857</v>
      </c>
      <c r="M275" s="276">
        <f t="shared" ref="M275:N275" si="724">SUM(M250,M255,M260,M265,M270)</f>
        <v>134.54199999975421</v>
      </c>
      <c r="N275" s="276">
        <f t="shared" si="724"/>
        <v>207.89600000398258</v>
      </c>
      <c r="O275" s="276">
        <f t="shared" ref="O275:O276" si="725">SUM(L275:N275)</f>
        <v>1206.1170000031254</v>
      </c>
      <c r="P275" s="276"/>
      <c r="Q275" s="276">
        <f>SUM(Q250,Q255,Q260,Q265,Q270)</f>
        <v>909.30900000094493</v>
      </c>
      <c r="R275" s="276">
        <f t="shared" ref="R275:S275" si="726">SUM(R250,R255,R260,R265,R270)</f>
        <v>142.96300000119001</v>
      </c>
      <c r="S275" s="276">
        <f t="shared" si="726"/>
        <v>225.67000002170064</v>
      </c>
      <c r="T275" s="276">
        <f t="shared" ref="T275:T276" si="727">SUM(Q275:S275)</f>
        <v>1277.9420000238356</v>
      </c>
      <c r="U275" s="276"/>
      <c r="V275" s="276">
        <f>SUM(V250,V255,V260,V265,V270)</f>
        <v>898.16100000109554</v>
      </c>
      <c r="W275" s="276">
        <f t="shared" ref="W275:X275" si="728">SUM(W250,W255,W260,W265,W270)</f>
        <v>149.25100000136322</v>
      </c>
      <c r="X275" s="276">
        <f t="shared" si="728"/>
        <v>237.74400002345465</v>
      </c>
      <c r="Y275" s="276">
        <f t="shared" ref="Y275:Y276" si="729">SUM(V275:X275)</f>
        <v>1285.1560000259135</v>
      </c>
    </row>
    <row r="276" spans="1:25" ht="12.6">
      <c r="A276" s="240" t="s">
        <v>146</v>
      </c>
      <c r="B276" s="277">
        <f>SUM(B274:B275)</f>
        <v>984.81600000484241</v>
      </c>
      <c r="C276" s="277">
        <f t="shared" ref="C276" si="730">SUM(C274:C275)</f>
        <v>189.35700000373387</v>
      </c>
      <c r="D276" s="277">
        <f t="shared" ref="D276" si="731">SUM(D274:D275)</f>
        <v>225.47300000355031</v>
      </c>
      <c r="E276" s="277">
        <f t="shared" si="721"/>
        <v>1399.6460000121267</v>
      </c>
      <c r="F276" s="277"/>
      <c r="G276" s="277">
        <f>SUM(G274:G275)</f>
        <v>1071.5210000019688</v>
      </c>
      <c r="H276" s="277">
        <f t="shared" ref="H276" si="732">SUM(H274:H275)</f>
        <v>241.70800000402039</v>
      </c>
      <c r="I276" s="277">
        <f t="shared" ref="I276" si="733">SUM(I274:I275)</f>
        <v>281.52699998596245</v>
      </c>
      <c r="J276" s="277">
        <f t="shared" si="723"/>
        <v>1594.7559999919517</v>
      </c>
      <c r="K276" s="277"/>
      <c r="L276" s="277">
        <f>SUM(L274:L275)</f>
        <v>1081.9009999976417</v>
      </c>
      <c r="M276" s="277">
        <f t="shared" ref="M276" si="734">SUM(M274:M275)</f>
        <v>272.49000000155559</v>
      </c>
      <c r="N276" s="277">
        <f t="shared" ref="N276" si="735">SUM(N274:N275)</f>
        <v>228.3880000037785</v>
      </c>
      <c r="O276" s="277">
        <f t="shared" si="725"/>
        <v>1582.7790000029759</v>
      </c>
      <c r="P276" s="277"/>
      <c r="Q276" s="277">
        <f>SUM(Q274:Q275)</f>
        <v>1146.1380000057961</v>
      </c>
      <c r="R276" s="277">
        <f t="shared" ref="R276" si="736">SUM(R274:R275)</f>
        <v>294.78500000362942</v>
      </c>
      <c r="S276" s="277">
        <f t="shared" ref="S276" si="737">SUM(S274:S275)</f>
        <v>247.06700002166141</v>
      </c>
      <c r="T276" s="277">
        <f t="shared" si="727"/>
        <v>1687.990000031087</v>
      </c>
      <c r="U276" s="277"/>
      <c r="V276" s="277">
        <f>SUM(V274:V275)</f>
        <v>1147.1100000069819</v>
      </c>
      <c r="W276" s="277">
        <f t="shared" ref="W276" si="738">SUM(W274:W275)</f>
        <v>314.71900000396465</v>
      </c>
      <c r="X276" s="277">
        <f t="shared" ref="X276" si="739">SUM(X274:X275)</f>
        <v>259.13800002346051</v>
      </c>
      <c r="Y276" s="277">
        <f t="shared" si="729"/>
        <v>1720.967000034407</v>
      </c>
    </row>
    <row r="277" spans="1:25" ht="12.6">
      <c r="C277" s="239"/>
    </row>
    <row r="278" spans="1:25" ht="12.6">
      <c r="C278" s="239"/>
    </row>
    <row r="279" spans="1:25" ht="12.6">
      <c r="C279" s="239"/>
    </row>
    <row r="280" spans="1:25" ht="14.1">
      <c r="A280" s="241" t="str">
        <f>"Industry 11 : "&amp; name!B14</f>
        <v>Industry 11 : Accommodation and food</v>
      </c>
      <c r="B280" s="366">
        <f>$B$5</f>
        <v>2015</v>
      </c>
      <c r="C280" s="366"/>
      <c r="D280" s="366"/>
      <c r="E280" s="366"/>
      <c r="F280" s="291"/>
      <c r="G280" s="366">
        <f>$G$5</f>
        <v>2019</v>
      </c>
      <c r="H280" s="366"/>
      <c r="I280" s="366"/>
      <c r="J280" s="366"/>
      <c r="K280" s="291"/>
      <c r="L280" s="366">
        <f>$L$5</f>
        <v>2020</v>
      </c>
      <c r="M280" s="366"/>
      <c r="N280" s="366"/>
      <c r="O280" s="366"/>
      <c r="P280" s="289"/>
      <c r="Q280" s="366">
        <f>$Q$5</f>
        <v>2025</v>
      </c>
      <c r="R280" s="366"/>
      <c r="S280" s="366"/>
      <c r="T280" s="366"/>
      <c r="U280" s="291"/>
      <c r="V280" s="366">
        <f>$V$5</f>
        <v>2035</v>
      </c>
      <c r="W280" s="366"/>
      <c r="X280" s="366"/>
      <c r="Y280" s="366"/>
    </row>
    <row r="281" spans="1:25">
      <c r="A281" s="240"/>
      <c r="B281" s="244" t="str">
        <f>$B$6</f>
        <v>FT</v>
      </c>
      <c r="C281" s="244" t="str">
        <f>$C$6</f>
        <v>PT</v>
      </c>
      <c r="D281" s="244" t="str">
        <f>$D$6</f>
        <v>SE</v>
      </c>
      <c r="E281" s="244" t="str">
        <f>$E$6</f>
        <v>Total</v>
      </c>
      <c r="F281" s="244"/>
      <c r="G281" s="244" t="str">
        <f>$B$6</f>
        <v>FT</v>
      </c>
      <c r="H281" s="244" t="str">
        <f>$C$6</f>
        <v>PT</v>
      </c>
      <c r="I281" s="244" t="str">
        <f>$D$6</f>
        <v>SE</v>
      </c>
      <c r="J281" s="244" t="str">
        <f>$E$6</f>
        <v>Total</v>
      </c>
      <c r="K281" s="244"/>
      <c r="L281" s="244" t="str">
        <f>$L$6</f>
        <v>FT</v>
      </c>
      <c r="M281" s="244" t="str">
        <f>$M$6</f>
        <v>PT</v>
      </c>
      <c r="N281" s="244" t="str">
        <f>$N$6</f>
        <v>SE</v>
      </c>
      <c r="O281" s="244" t="str">
        <f>$O$6</f>
        <v>Total</v>
      </c>
      <c r="P281" s="244"/>
      <c r="Q281" s="244" t="str">
        <f>$L$6</f>
        <v>FT</v>
      </c>
      <c r="R281" s="244" t="str">
        <f>$M$6</f>
        <v>PT</v>
      </c>
      <c r="S281" s="244" t="str">
        <f>$N$6</f>
        <v>SE</v>
      </c>
      <c r="T281" s="244" t="str">
        <f>$O$6</f>
        <v>Total</v>
      </c>
      <c r="U281" s="244"/>
      <c r="V281" s="244" t="str">
        <f>$V$6</f>
        <v>FT</v>
      </c>
      <c r="W281" s="244" t="str">
        <f>$W$6</f>
        <v>PT</v>
      </c>
      <c r="X281" s="244" t="str">
        <f>$X$6</f>
        <v>SE</v>
      </c>
      <c r="Y281" s="244" t="str">
        <f>$Y$6</f>
        <v>Total</v>
      </c>
    </row>
    <row r="282" spans="1:25">
      <c r="C282" s="290"/>
      <c r="D282" s="290"/>
      <c r="E282" s="290"/>
      <c r="F282" s="290"/>
      <c r="G282" s="290"/>
      <c r="H282" s="290"/>
      <c r="I282" s="290"/>
      <c r="J282" s="290"/>
      <c r="K282" s="290"/>
      <c r="L282" s="290"/>
      <c r="M282" s="290"/>
      <c r="N282" s="290"/>
      <c r="O282" s="290"/>
      <c r="P282" s="290"/>
      <c r="Q282" s="290"/>
      <c r="R282" s="290"/>
      <c r="S282" s="290"/>
      <c r="T282" s="290"/>
      <c r="U282" s="290"/>
      <c r="V282" s="290"/>
      <c r="W282" s="290"/>
      <c r="X282" s="290"/>
      <c r="Y282" s="290"/>
    </row>
    <row r="283" spans="1:25">
      <c r="A283" s="237" t="str">
        <f>name!A42</f>
        <v>Accommodation</v>
      </c>
      <c r="C283" s="239"/>
    </row>
    <row r="284" spans="1:25" ht="12.6">
      <c r="A284" s="236" t="s">
        <v>145</v>
      </c>
      <c r="B284" s="276">
        <v>98.535000000057664</v>
      </c>
      <c r="C284" s="276">
        <v>98.346000002948884</v>
      </c>
      <c r="D284" s="276">
        <v>21.261000000517257</v>
      </c>
      <c r="E284" s="276">
        <f>SUM(B284:D284)</f>
        <v>218.14200000352378</v>
      </c>
      <c r="F284" s="276"/>
      <c r="G284" s="276">
        <v>109.70099999986796</v>
      </c>
      <c r="H284" s="276">
        <v>109.64400000320403</v>
      </c>
      <c r="I284" s="276">
        <v>30.225000000860426</v>
      </c>
      <c r="J284" s="276">
        <f>SUM(G284:I284)</f>
        <v>249.57000000393242</v>
      </c>
      <c r="K284" s="276"/>
      <c r="L284" s="276">
        <v>87.731999999415223</v>
      </c>
      <c r="M284" s="276">
        <v>116.20300000306653</v>
      </c>
      <c r="N284" s="276">
        <v>25.065999999574238</v>
      </c>
      <c r="O284" s="276">
        <f>SUM(L284:N284)</f>
        <v>229.001000002056</v>
      </c>
      <c r="P284" s="276"/>
      <c r="Q284" s="276">
        <v>96.973000002052586</v>
      </c>
      <c r="R284" s="276">
        <v>131.84600000587176</v>
      </c>
      <c r="S284" s="276">
        <v>28.166000000160672</v>
      </c>
      <c r="T284" s="276">
        <f>SUM(Q284:S284)</f>
        <v>256.98500000808502</v>
      </c>
      <c r="U284" s="276"/>
      <c r="V284" s="276">
        <v>103.50700000218423</v>
      </c>
      <c r="W284" s="276">
        <v>149.09600000650488</v>
      </c>
      <c r="X284" s="276">
        <v>31.092999999765308</v>
      </c>
      <c r="Y284" s="276">
        <f>SUM(V284:X284)</f>
        <v>283.6960000084544</v>
      </c>
    </row>
    <row r="285" spans="1:25" ht="12.6">
      <c r="A285" s="236" t="s">
        <v>144</v>
      </c>
      <c r="B285" s="276">
        <v>114.33800000063704</v>
      </c>
      <c r="C285" s="276">
        <v>41.835000000771657</v>
      </c>
      <c r="D285" s="276">
        <v>13.742000000264557</v>
      </c>
      <c r="E285" s="276">
        <f t="shared" ref="E285:E286" si="740">SUM(B285:D285)</f>
        <v>169.91500000167326</v>
      </c>
      <c r="F285" s="276"/>
      <c r="G285" s="276">
        <v>120.42400000056985</v>
      </c>
      <c r="H285" s="276">
        <v>50.634000000836274</v>
      </c>
      <c r="I285" s="276">
        <v>16.063000000133275</v>
      </c>
      <c r="J285" s="276">
        <f t="shared" ref="J285:J286" si="741">SUM(G285:I285)</f>
        <v>187.12100000153941</v>
      </c>
      <c r="K285" s="276"/>
      <c r="L285" s="276">
        <v>99.801999999485744</v>
      </c>
      <c r="M285" s="276">
        <v>56.465999999844591</v>
      </c>
      <c r="N285" s="276">
        <v>15.032000000176037</v>
      </c>
      <c r="O285" s="276">
        <f t="shared" ref="O285:O286" si="742">SUM(L285:N285)</f>
        <v>171.29999999950635</v>
      </c>
      <c r="P285" s="276"/>
      <c r="Q285" s="276">
        <v>109.90099999993171</v>
      </c>
      <c r="R285" s="276">
        <v>62.990000001116478</v>
      </c>
      <c r="S285" s="276">
        <v>16.851000000371183</v>
      </c>
      <c r="T285" s="276">
        <f t="shared" ref="T285:T286" si="743">SUM(Q285:S285)</f>
        <v>189.74200000141937</v>
      </c>
      <c r="U285" s="276"/>
      <c r="V285" s="276">
        <v>116.36199999969899</v>
      </c>
      <c r="W285" s="276">
        <v>68.453000001080611</v>
      </c>
      <c r="X285" s="276">
        <v>18.610000000281854</v>
      </c>
      <c r="Y285" s="276">
        <f t="shared" ref="Y285:Y286" si="744">SUM(V285:X285)</f>
        <v>203.42500000106145</v>
      </c>
    </row>
    <row r="286" spans="1:25" ht="12.6">
      <c r="A286" s="236" t="s">
        <v>146</v>
      </c>
      <c r="B286" s="276">
        <f>SUM(B284:B285)</f>
        <v>212.8730000006947</v>
      </c>
      <c r="C286" s="276">
        <f t="shared" ref="C286" si="745">SUM(C284:C285)</f>
        <v>140.18100000372056</v>
      </c>
      <c r="D286" s="276">
        <f t="shared" ref="D286" si="746">SUM(D284:D285)</f>
        <v>35.00300000078181</v>
      </c>
      <c r="E286" s="276">
        <f t="shared" si="740"/>
        <v>388.05700000519704</v>
      </c>
      <c r="F286" s="276"/>
      <c r="G286" s="276">
        <f>SUM(G284:G285)</f>
        <v>230.12500000043781</v>
      </c>
      <c r="H286" s="276">
        <f t="shared" ref="H286" si="747">SUM(H284:H285)</f>
        <v>160.27800000404031</v>
      </c>
      <c r="I286" s="276">
        <f t="shared" ref="I286" si="748">SUM(I284:I285)</f>
        <v>46.288000000993705</v>
      </c>
      <c r="J286" s="276">
        <f t="shared" si="741"/>
        <v>436.69100000547184</v>
      </c>
      <c r="K286" s="276"/>
      <c r="L286" s="276">
        <f>SUM(L284:L285)</f>
        <v>187.53399999890098</v>
      </c>
      <c r="M286" s="276">
        <f t="shared" ref="M286" si="749">SUM(M284:M285)</f>
        <v>172.66900000291113</v>
      </c>
      <c r="N286" s="276">
        <f t="shared" ref="N286" si="750">SUM(N284:N285)</f>
        <v>40.097999999750272</v>
      </c>
      <c r="O286" s="276">
        <f t="shared" si="742"/>
        <v>400.30100000156244</v>
      </c>
      <c r="P286" s="276"/>
      <c r="Q286" s="276">
        <f>SUM(Q284:Q285)</f>
        <v>206.87400000198431</v>
      </c>
      <c r="R286" s="276">
        <f t="shared" ref="R286" si="751">SUM(R284:R285)</f>
        <v>194.83600000698823</v>
      </c>
      <c r="S286" s="276">
        <f t="shared" ref="S286" si="752">SUM(S284:S285)</f>
        <v>45.017000000531851</v>
      </c>
      <c r="T286" s="276">
        <f t="shared" si="743"/>
        <v>446.72700000950442</v>
      </c>
      <c r="U286" s="276"/>
      <c r="V286" s="276">
        <f>SUM(V284:V285)</f>
        <v>219.86900000188322</v>
      </c>
      <c r="W286" s="276">
        <f t="shared" ref="W286" si="753">SUM(W284:W285)</f>
        <v>217.54900000758551</v>
      </c>
      <c r="X286" s="276">
        <f t="shared" ref="X286" si="754">SUM(X284:X285)</f>
        <v>49.703000000047162</v>
      </c>
      <c r="Y286" s="276">
        <f t="shared" si="744"/>
        <v>487.12100000951591</v>
      </c>
    </row>
    <row r="287" spans="1:25">
      <c r="C287" s="290"/>
      <c r="D287" s="290"/>
      <c r="E287" s="290"/>
      <c r="F287" s="290"/>
      <c r="G287" s="290"/>
      <c r="H287" s="290"/>
      <c r="I287" s="290"/>
      <c r="J287" s="290"/>
      <c r="K287" s="290"/>
      <c r="L287" s="290"/>
      <c r="M287" s="290"/>
      <c r="N287" s="290"/>
      <c r="O287" s="290"/>
      <c r="P287" s="290"/>
      <c r="Q287" s="290"/>
      <c r="R287" s="290"/>
      <c r="S287" s="290"/>
      <c r="T287" s="290"/>
      <c r="U287" s="290"/>
      <c r="V287" s="290"/>
      <c r="W287" s="290"/>
      <c r="X287" s="290"/>
      <c r="Y287" s="290"/>
    </row>
    <row r="288" spans="1:25">
      <c r="A288" s="237" t="str">
        <f>name!A43</f>
        <v>Food and beverage services</v>
      </c>
      <c r="C288" s="239"/>
    </row>
    <row r="289" spans="1:25" ht="12.6">
      <c r="A289" s="236" t="s">
        <v>145</v>
      </c>
      <c r="B289" s="276">
        <v>247.28400000041546</v>
      </c>
      <c r="C289" s="276">
        <v>479.33400001525371</v>
      </c>
      <c r="D289" s="276">
        <v>34.388000000862284</v>
      </c>
      <c r="E289" s="276">
        <f>SUM(B289:D289)</f>
        <v>761.0060000165314</v>
      </c>
      <c r="F289" s="276"/>
      <c r="G289" s="276">
        <v>298.96299999929454</v>
      </c>
      <c r="H289" s="276">
        <v>538.00900001578395</v>
      </c>
      <c r="I289" s="276">
        <v>39.638000001146601</v>
      </c>
      <c r="J289" s="276">
        <f>SUM(G289:I289)</f>
        <v>876.61000001622506</v>
      </c>
      <c r="K289" s="276"/>
      <c r="L289" s="276">
        <v>286.88599999795485</v>
      </c>
      <c r="M289" s="276">
        <v>537.08100001296646</v>
      </c>
      <c r="N289" s="276">
        <v>39.942999999290834</v>
      </c>
      <c r="O289" s="276">
        <f>SUM(L289:N289)</f>
        <v>863.91000001021212</v>
      </c>
      <c r="P289" s="276"/>
      <c r="Q289" s="276">
        <v>297.28400000571969</v>
      </c>
      <c r="R289" s="276">
        <v>549.57000002306688</v>
      </c>
      <c r="S289" s="276">
        <v>41.49700000017323</v>
      </c>
      <c r="T289" s="276">
        <f>SUM(Q289:S289)</f>
        <v>888.35100002895979</v>
      </c>
      <c r="U289" s="276"/>
      <c r="V289" s="276">
        <v>348.53300000731105</v>
      </c>
      <c r="W289" s="276">
        <v>625.42500002720328</v>
      </c>
      <c r="X289" s="276">
        <v>48.467999999643268</v>
      </c>
      <c r="Y289" s="276">
        <f>SUM(V289:X289)</f>
        <v>1022.4260000341576</v>
      </c>
    </row>
    <row r="290" spans="1:25" ht="12.6">
      <c r="A290" s="236" t="s">
        <v>144</v>
      </c>
      <c r="B290" s="276">
        <v>354.85300000223225</v>
      </c>
      <c r="C290" s="276">
        <v>330.18200000656719</v>
      </c>
      <c r="D290" s="276">
        <v>49.301000000961885</v>
      </c>
      <c r="E290" s="276">
        <f t="shared" ref="E290:E291" si="755">SUM(B290:D290)</f>
        <v>734.33600000976128</v>
      </c>
      <c r="F290" s="276"/>
      <c r="G290" s="276">
        <v>388.742000001647</v>
      </c>
      <c r="H290" s="276">
        <v>368.35800000628132</v>
      </c>
      <c r="I290" s="276">
        <v>51.547000000412588</v>
      </c>
      <c r="J290" s="276">
        <f t="shared" ref="J290:J291" si="756">SUM(G290:I290)</f>
        <v>808.64700000834091</v>
      </c>
      <c r="K290" s="276"/>
      <c r="L290" s="276">
        <v>352.57799999830178</v>
      </c>
      <c r="M290" s="276">
        <v>390.56799999811216</v>
      </c>
      <c r="N290" s="276">
        <v>28.742000000317081</v>
      </c>
      <c r="O290" s="276">
        <f t="shared" ref="O290:O291" si="757">SUM(L290:N290)</f>
        <v>771.88799999673097</v>
      </c>
      <c r="P290" s="276"/>
      <c r="Q290" s="276">
        <v>367.82199999992412</v>
      </c>
      <c r="R290" s="276">
        <v>400.82900000631849</v>
      </c>
      <c r="S290" s="276">
        <v>29.752000000647623</v>
      </c>
      <c r="T290" s="276">
        <f t="shared" ref="T290:T291" si="758">SUM(Q290:S290)</f>
        <v>798.40300000689024</v>
      </c>
      <c r="U290" s="276"/>
      <c r="V290" s="276">
        <v>436.90299999922195</v>
      </c>
      <c r="W290" s="276">
        <v>460.17800000718483</v>
      </c>
      <c r="X290" s="276">
        <v>34.732000000558244</v>
      </c>
      <c r="Y290" s="276">
        <f t="shared" ref="Y290:Y291" si="759">SUM(V290:X290)</f>
        <v>931.81300000696513</v>
      </c>
    </row>
    <row r="291" spans="1:25" ht="12.6">
      <c r="A291" s="236" t="s">
        <v>146</v>
      </c>
      <c r="B291" s="276">
        <f>SUM(B289:B290)</f>
        <v>602.13700000264771</v>
      </c>
      <c r="C291" s="276">
        <f t="shared" ref="C291" si="760">SUM(C289:C290)</f>
        <v>809.5160000218209</v>
      </c>
      <c r="D291" s="276">
        <f t="shared" ref="D291" si="761">SUM(D289:D290)</f>
        <v>83.689000001824169</v>
      </c>
      <c r="E291" s="276">
        <f t="shared" si="755"/>
        <v>1495.3420000262927</v>
      </c>
      <c r="F291" s="276"/>
      <c r="G291" s="276">
        <f>SUM(G289:G290)</f>
        <v>687.70500000094148</v>
      </c>
      <c r="H291" s="276">
        <f t="shared" ref="H291" si="762">SUM(H289:H290)</f>
        <v>906.36700002206521</v>
      </c>
      <c r="I291" s="276">
        <f t="shared" ref="I291" si="763">SUM(I289:I290)</f>
        <v>91.185000001559189</v>
      </c>
      <c r="J291" s="276">
        <f t="shared" si="756"/>
        <v>1685.257000024566</v>
      </c>
      <c r="K291" s="276"/>
      <c r="L291" s="276">
        <f>SUM(L289:L290)</f>
        <v>639.46399999625669</v>
      </c>
      <c r="M291" s="276">
        <f t="shared" ref="M291" si="764">SUM(M289:M290)</f>
        <v>927.64900001107867</v>
      </c>
      <c r="N291" s="276">
        <f t="shared" ref="N291" si="765">SUM(N289:N290)</f>
        <v>68.684999999607911</v>
      </c>
      <c r="O291" s="276">
        <f t="shared" si="757"/>
        <v>1635.7980000069433</v>
      </c>
      <c r="P291" s="276"/>
      <c r="Q291" s="276">
        <f>SUM(Q289:Q290)</f>
        <v>665.10600000564386</v>
      </c>
      <c r="R291" s="276">
        <f t="shared" ref="R291" si="766">SUM(R289:R290)</f>
        <v>950.39900002938543</v>
      </c>
      <c r="S291" s="276">
        <f t="shared" ref="S291" si="767">SUM(S289:S290)</f>
        <v>71.249000000820857</v>
      </c>
      <c r="T291" s="276">
        <f t="shared" si="758"/>
        <v>1686.7540000358501</v>
      </c>
      <c r="U291" s="276"/>
      <c r="V291" s="276">
        <f>SUM(V289:V290)</f>
        <v>785.43600000653305</v>
      </c>
      <c r="W291" s="276">
        <f t="shared" ref="W291" si="768">SUM(W289:W290)</f>
        <v>1085.6030000343881</v>
      </c>
      <c r="X291" s="276">
        <f t="shared" ref="X291" si="769">SUM(X289:X290)</f>
        <v>83.200000000201513</v>
      </c>
      <c r="Y291" s="276">
        <f t="shared" si="759"/>
        <v>1954.2390000411226</v>
      </c>
    </row>
    <row r="292" spans="1:25" ht="12.6">
      <c r="C292" s="239"/>
    </row>
    <row r="293" spans="1:25">
      <c r="A293" s="237" t="s">
        <v>154</v>
      </c>
    </row>
    <row r="294" spans="1:25" ht="12.6">
      <c r="A294" s="236" t="s">
        <v>145</v>
      </c>
      <c r="B294" s="276">
        <f>SUM(B284,B289)</f>
        <v>345.81900000047312</v>
      </c>
      <c r="C294" s="276">
        <f t="shared" ref="C294:D295" si="770">SUM(C284,C289)</f>
        <v>577.68000001820258</v>
      </c>
      <c r="D294" s="276">
        <f t="shared" si="770"/>
        <v>55.649000001379541</v>
      </c>
      <c r="E294" s="276">
        <f>SUM(B294:D294)</f>
        <v>979.14800002005529</v>
      </c>
      <c r="F294" s="276"/>
      <c r="G294" s="276">
        <f>SUM(G284,G289)</f>
        <v>408.66399999916251</v>
      </c>
      <c r="H294" s="276">
        <f t="shared" ref="H294:I294" si="771">SUM(H284,H289)</f>
        <v>647.653000018988</v>
      </c>
      <c r="I294" s="276">
        <f t="shared" si="771"/>
        <v>69.863000002007027</v>
      </c>
      <c r="J294" s="276">
        <f>SUM(G294:I294)</f>
        <v>1126.1800000201576</v>
      </c>
      <c r="K294" s="276"/>
      <c r="L294" s="276">
        <f>SUM(L284,L289)</f>
        <v>374.61799999737008</v>
      </c>
      <c r="M294" s="276">
        <f t="shared" ref="M294:N294" si="772">SUM(M284,M289)</f>
        <v>653.28400001603302</v>
      </c>
      <c r="N294" s="276">
        <f t="shared" si="772"/>
        <v>65.008999998865079</v>
      </c>
      <c r="O294" s="276">
        <f>SUM(L294:N294)</f>
        <v>1092.9110000122682</v>
      </c>
      <c r="P294" s="276"/>
      <c r="Q294" s="276">
        <f>SUM(Q284,Q289)</f>
        <v>394.25700000777226</v>
      </c>
      <c r="R294" s="276">
        <f t="shared" ref="R294:S294" si="773">SUM(R284,R289)</f>
        <v>681.4160000289387</v>
      </c>
      <c r="S294" s="276">
        <f t="shared" si="773"/>
        <v>69.663000000333909</v>
      </c>
      <c r="T294" s="276">
        <f>SUM(Q294:S294)</f>
        <v>1145.3360000370449</v>
      </c>
      <c r="U294" s="276"/>
      <c r="V294" s="276">
        <f>SUM(V284,V289)</f>
        <v>452.04000000949526</v>
      </c>
      <c r="W294" s="276">
        <f t="shared" ref="W294:X294" si="774">SUM(W284,W289)</f>
        <v>774.52100003370811</v>
      </c>
      <c r="X294" s="276">
        <f t="shared" si="774"/>
        <v>79.56099999940858</v>
      </c>
      <c r="Y294" s="276">
        <f>SUM(V294:X294)</f>
        <v>1306.1220000426119</v>
      </c>
    </row>
    <row r="295" spans="1:25" ht="12.6">
      <c r="A295" s="236" t="s">
        <v>144</v>
      </c>
      <c r="B295" s="276">
        <f>SUM(B285,B290)</f>
        <v>469.19100000286926</v>
      </c>
      <c r="C295" s="276">
        <f t="shared" si="770"/>
        <v>372.01700000733888</v>
      </c>
      <c r="D295" s="276">
        <f t="shared" si="770"/>
        <v>63.043000001226446</v>
      </c>
      <c r="E295" s="276">
        <f t="shared" ref="E295:E296" si="775">SUM(B295:D295)</f>
        <v>904.2510000114346</v>
      </c>
      <c r="F295" s="276"/>
      <c r="G295" s="276">
        <f>SUM(G285,G290)</f>
        <v>509.16600000221683</v>
      </c>
      <c r="H295" s="276">
        <f t="shared" ref="H295:I295" si="776">SUM(H285,H290)</f>
        <v>418.99200000711761</v>
      </c>
      <c r="I295" s="276">
        <f t="shared" si="776"/>
        <v>67.610000000545867</v>
      </c>
      <c r="J295" s="276">
        <f t="shared" ref="J295:J296" si="777">SUM(G295:I295)</f>
        <v>995.76800000988032</v>
      </c>
      <c r="K295" s="276"/>
      <c r="L295" s="276">
        <f>SUM(L285,L290)</f>
        <v>452.37999999778754</v>
      </c>
      <c r="M295" s="276">
        <f t="shared" ref="M295:N295" si="778">SUM(M285,M290)</f>
        <v>447.03399999795676</v>
      </c>
      <c r="N295" s="276">
        <f t="shared" si="778"/>
        <v>43.774000000493118</v>
      </c>
      <c r="O295" s="276">
        <f t="shared" ref="O295:O296" si="779">SUM(L295:N295)</f>
        <v>943.18799999623729</v>
      </c>
      <c r="P295" s="276"/>
      <c r="Q295" s="276">
        <f>SUM(Q285,Q290)</f>
        <v>477.7229999998558</v>
      </c>
      <c r="R295" s="276">
        <f t="shared" ref="R295:S295" si="780">SUM(R285,R290)</f>
        <v>463.81900000743497</v>
      </c>
      <c r="S295" s="276">
        <f t="shared" si="780"/>
        <v>46.603000001018806</v>
      </c>
      <c r="T295" s="276">
        <f t="shared" ref="T295:T296" si="781">SUM(Q295:S295)</f>
        <v>988.14500000830958</v>
      </c>
      <c r="U295" s="276"/>
      <c r="V295" s="276">
        <f>SUM(V285,V290)</f>
        <v>553.26499999892098</v>
      </c>
      <c r="W295" s="276">
        <f t="shared" ref="W295:X295" si="782">SUM(W285,W290)</f>
        <v>528.63100000826546</v>
      </c>
      <c r="X295" s="276">
        <f t="shared" si="782"/>
        <v>53.342000000840102</v>
      </c>
      <c r="Y295" s="276">
        <f t="shared" ref="Y295:Y296" si="783">SUM(V295:X295)</f>
        <v>1135.2380000080266</v>
      </c>
    </row>
    <row r="296" spans="1:25" ht="12.6">
      <c r="A296" s="240" t="s">
        <v>146</v>
      </c>
      <c r="B296" s="277">
        <f>SUM(B294:B295)</f>
        <v>815.01000000334238</v>
      </c>
      <c r="C296" s="277">
        <f t="shared" ref="C296" si="784">SUM(C294:C295)</f>
        <v>949.69700002554146</v>
      </c>
      <c r="D296" s="277">
        <f t="shared" ref="D296" si="785">SUM(D294:D295)</f>
        <v>118.69200000260599</v>
      </c>
      <c r="E296" s="277">
        <f t="shared" si="775"/>
        <v>1883.3990000314898</v>
      </c>
      <c r="F296" s="277"/>
      <c r="G296" s="277">
        <f>SUM(G294:G295)</f>
        <v>917.8300000013794</v>
      </c>
      <c r="H296" s="277">
        <f t="shared" ref="H296" si="786">SUM(H294:H295)</f>
        <v>1066.6450000261057</v>
      </c>
      <c r="I296" s="277">
        <f t="shared" ref="I296" si="787">SUM(I294:I295)</f>
        <v>137.47300000255291</v>
      </c>
      <c r="J296" s="277">
        <f t="shared" si="777"/>
        <v>2121.9480000300382</v>
      </c>
      <c r="K296" s="277"/>
      <c r="L296" s="277">
        <f>SUM(L294:L295)</f>
        <v>826.99799999515767</v>
      </c>
      <c r="M296" s="277">
        <f t="shared" ref="M296" si="788">SUM(M294:M295)</f>
        <v>1100.3180000139898</v>
      </c>
      <c r="N296" s="277">
        <f t="shared" ref="N296" si="789">SUM(N294:N295)</f>
        <v>108.7829999993582</v>
      </c>
      <c r="O296" s="277">
        <f t="shared" si="779"/>
        <v>2036.0990000085058</v>
      </c>
      <c r="P296" s="277"/>
      <c r="Q296" s="277">
        <f>SUM(Q294:Q295)</f>
        <v>871.98000000762806</v>
      </c>
      <c r="R296" s="277">
        <f t="shared" ref="R296" si="790">SUM(R294:R295)</f>
        <v>1145.2350000363735</v>
      </c>
      <c r="S296" s="277">
        <f t="shared" ref="S296" si="791">SUM(S294:S295)</f>
        <v>116.26600000135272</v>
      </c>
      <c r="T296" s="277">
        <f t="shared" si="781"/>
        <v>2133.4810000453544</v>
      </c>
      <c r="U296" s="277"/>
      <c r="V296" s="277">
        <f>SUM(V294:V295)</f>
        <v>1005.3050000084163</v>
      </c>
      <c r="W296" s="277">
        <f t="shared" ref="W296" si="792">SUM(W294:W295)</f>
        <v>1303.1520000419737</v>
      </c>
      <c r="X296" s="277">
        <f t="shared" ref="X296" si="793">SUM(X294:X295)</f>
        <v>132.90300000024868</v>
      </c>
      <c r="Y296" s="277">
        <f t="shared" si="783"/>
        <v>2441.3600000506385</v>
      </c>
    </row>
    <row r="297" spans="1:25" ht="12.6">
      <c r="C297" s="239"/>
    </row>
    <row r="298" spans="1:25" ht="12.6">
      <c r="C298" s="239"/>
    </row>
    <row r="299" spans="1:25" ht="12.6">
      <c r="C299" s="239"/>
    </row>
    <row r="300" spans="1:25" ht="14.1">
      <c r="A300" s="241" t="str">
        <f>"Industry 12 : "&amp; name!B15</f>
        <v>Industry 12 : Media</v>
      </c>
      <c r="B300" s="366">
        <f>$B$5</f>
        <v>2015</v>
      </c>
      <c r="C300" s="366"/>
      <c r="D300" s="366"/>
      <c r="E300" s="366"/>
      <c r="F300" s="291"/>
      <c r="G300" s="366">
        <f>$G$5</f>
        <v>2019</v>
      </c>
      <c r="H300" s="366"/>
      <c r="I300" s="366"/>
      <c r="J300" s="366"/>
      <c r="K300" s="291"/>
      <c r="L300" s="366">
        <f>$L$5</f>
        <v>2020</v>
      </c>
      <c r="M300" s="366"/>
      <c r="N300" s="366"/>
      <c r="O300" s="366"/>
      <c r="P300" s="289"/>
      <c r="Q300" s="366">
        <f>$Q$5</f>
        <v>2025</v>
      </c>
      <c r="R300" s="366"/>
      <c r="S300" s="366"/>
      <c r="T300" s="366"/>
      <c r="U300" s="291"/>
      <c r="V300" s="366">
        <f>$V$5</f>
        <v>2035</v>
      </c>
      <c r="W300" s="366"/>
      <c r="X300" s="366"/>
      <c r="Y300" s="366"/>
    </row>
    <row r="301" spans="1:25">
      <c r="A301" s="240"/>
      <c r="B301" s="244" t="str">
        <f>$B$6</f>
        <v>FT</v>
      </c>
      <c r="C301" s="244" t="str">
        <f>$C$6</f>
        <v>PT</v>
      </c>
      <c r="D301" s="244" t="str">
        <f>$D$6</f>
        <v>SE</v>
      </c>
      <c r="E301" s="244" t="str">
        <f>$E$6</f>
        <v>Total</v>
      </c>
      <c r="F301" s="244"/>
      <c r="G301" s="244" t="str">
        <f>$B$6</f>
        <v>FT</v>
      </c>
      <c r="H301" s="244" t="str">
        <f>$C$6</f>
        <v>PT</v>
      </c>
      <c r="I301" s="244" t="str">
        <f>$D$6</f>
        <v>SE</v>
      </c>
      <c r="J301" s="244" t="str">
        <f>$E$6</f>
        <v>Total</v>
      </c>
      <c r="K301" s="244"/>
      <c r="L301" s="244" t="str">
        <f>$L$6</f>
        <v>FT</v>
      </c>
      <c r="M301" s="244" t="str">
        <f>$M$6</f>
        <v>PT</v>
      </c>
      <c r="N301" s="244" t="str">
        <f>$N$6</f>
        <v>SE</v>
      </c>
      <c r="O301" s="244" t="str">
        <f>$O$6</f>
        <v>Total</v>
      </c>
      <c r="P301" s="244"/>
      <c r="Q301" s="244" t="str">
        <f>$L$6</f>
        <v>FT</v>
      </c>
      <c r="R301" s="244" t="str">
        <f>$M$6</f>
        <v>PT</v>
      </c>
      <c r="S301" s="244" t="str">
        <f>$N$6</f>
        <v>SE</v>
      </c>
      <c r="T301" s="244" t="str">
        <f>$O$6</f>
        <v>Total</v>
      </c>
      <c r="U301" s="244"/>
      <c r="V301" s="244" t="str">
        <f>$V$6</f>
        <v>FT</v>
      </c>
      <c r="W301" s="244" t="str">
        <f>$W$6</f>
        <v>PT</v>
      </c>
      <c r="X301" s="244" t="str">
        <f>$X$6</f>
        <v>SE</v>
      </c>
      <c r="Y301" s="244" t="str">
        <f>$Y$6</f>
        <v>Total</v>
      </c>
    </row>
    <row r="302" spans="1:25">
      <c r="C302" s="290"/>
      <c r="D302" s="290"/>
      <c r="E302" s="290"/>
      <c r="F302" s="290"/>
      <c r="G302" s="290"/>
      <c r="H302" s="290"/>
      <c r="I302" s="290"/>
      <c r="J302" s="290"/>
      <c r="K302" s="290"/>
      <c r="L302" s="290"/>
      <c r="M302" s="290"/>
      <c r="N302" s="290"/>
      <c r="O302" s="290"/>
      <c r="P302" s="290"/>
      <c r="Q302" s="290"/>
      <c r="R302" s="290"/>
      <c r="S302" s="290"/>
      <c r="T302" s="290"/>
      <c r="U302" s="290"/>
      <c r="V302" s="290"/>
      <c r="W302" s="290"/>
      <c r="X302" s="290"/>
      <c r="Y302" s="290"/>
    </row>
    <row r="303" spans="1:25">
      <c r="A303" s="237" t="str">
        <f>name!A44</f>
        <v>Publishing activities</v>
      </c>
      <c r="C303" s="239"/>
    </row>
    <row r="304" spans="1:25" ht="12.6">
      <c r="A304" s="236" t="s">
        <v>145</v>
      </c>
      <c r="B304" s="276">
        <v>34.901999999556999</v>
      </c>
      <c r="C304" s="276">
        <v>12.726000000038285</v>
      </c>
      <c r="D304" s="276">
        <v>16.3010000000993</v>
      </c>
      <c r="E304" s="276">
        <f>SUM(B304:D304)</f>
        <v>63.928999999694582</v>
      </c>
      <c r="F304" s="276"/>
      <c r="G304" s="276">
        <v>31.973999999493881</v>
      </c>
      <c r="H304" s="276">
        <v>9.339000000030433</v>
      </c>
      <c r="I304" s="276">
        <v>18.323000000156956</v>
      </c>
      <c r="J304" s="276">
        <f>SUM(G304:I304)</f>
        <v>59.635999999681275</v>
      </c>
      <c r="K304" s="276"/>
      <c r="L304" s="276">
        <v>35.109999999836013</v>
      </c>
      <c r="M304" s="276">
        <v>9.1579999999817669</v>
      </c>
      <c r="N304" s="276">
        <v>18.940999999620399</v>
      </c>
      <c r="O304" s="276">
        <f>SUM(L304:N304)</f>
        <v>63.208999999438177</v>
      </c>
      <c r="P304" s="276"/>
      <c r="Q304" s="276">
        <v>35.516000000777922</v>
      </c>
      <c r="R304" s="276">
        <v>9.2929999999861934</v>
      </c>
      <c r="S304" s="276">
        <v>18.467999999917247</v>
      </c>
      <c r="T304" s="276">
        <f>SUM(Q304:S304)</f>
        <v>63.277000000681362</v>
      </c>
      <c r="U304" s="276"/>
      <c r="V304" s="276">
        <v>36.110000000950706</v>
      </c>
      <c r="W304" s="276">
        <v>9.344000000023204</v>
      </c>
      <c r="X304" s="276">
        <v>17.484000000075234</v>
      </c>
      <c r="Y304" s="276">
        <f>SUM(V304:X304)</f>
        <v>62.93800000104914</v>
      </c>
    </row>
    <row r="305" spans="1:25" ht="12.6">
      <c r="A305" s="236" t="s">
        <v>144</v>
      </c>
      <c r="B305" s="276">
        <v>59.473999999313698</v>
      </c>
      <c r="C305" s="276">
        <v>12.258999999995748</v>
      </c>
      <c r="D305" s="276">
        <v>27.394000000395902</v>
      </c>
      <c r="E305" s="276">
        <f t="shared" ref="E305:E306" si="794">SUM(B305:D305)</f>
        <v>99.126999999705347</v>
      </c>
      <c r="F305" s="276"/>
      <c r="G305" s="276">
        <v>56.241999999503022</v>
      </c>
      <c r="H305" s="276">
        <v>6.3259999999764283</v>
      </c>
      <c r="I305" s="276">
        <v>23.835999999968099</v>
      </c>
      <c r="J305" s="276">
        <f t="shared" ref="J305:J306" si="795">SUM(G305:I305)</f>
        <v>86.403999999447549</v>
      </c>
      <c r="K305" s="276"/>
      <c r="L305" s="276">
        <v>56.217999999923208</v>
      </c>
      <c r="M305" s="276">
        <v>8.8910000000083347</v>
      </c>
      <c r="N305" s="276">
        <v>19.933000000523165</v>
      </c>
      <c r="O305" s="276">
        <f t="shared" ref="O305:O306" si="796">SUM(L305:N305)</f>
        <v>85.042000000454706</v>
      </c>
      <c r="P305" s="276"/>
      <c r="Q305" s="276">
        <v>56.300000000136556</v>
      </c>
      <c r="R305" s="276">
        <v>9.2099999999825624</v>
      </c>
      <c r="S305" s="276">
        <v>20.16900000122147</v>
      </c>
      <c r="T305" s="276">
        <f t="shared" ref="T305:T306" si="797">SUM(Q305:S305)</f>
        <v>85.679000001340597</v>
      </c>
      <c r="U305" s="276"/>
      <c r="V305" s="276">
        <v>56.124000000125633</v>
      </c>
      <c r="W305" s="276">
        <v>9.7899999999829816</v>
      </c>
      <c r="X305" s="276">
        <v>20.512000001043521</v>
      </c>
      <c r="Y305" s="276">
        <f t="shared" ref="Y305:Y306" si="798">SUM(V305:X305)</f>
        <v>86.426000001152133</v>
      </c>
    </row>
    <row r="306" spans="1:25" ht="12.6">
      <c r="A306" s="236" t="s">
        <v>146</v>
      </c>
      <c r="B306" s="276">
        <f>SUM(B304:B305)</f>
        <v>94.375999998870697</v>
      </c>
      <c r="C306" s="276">
        <f t="shared" ref="C306" si="799">SUM(C304:C305)</f>
        <v>24.985000000034034</v>
      </c>
      <c r="D306" s="276">
        <f t="shared" ref="D306" si="800">SUM(D304:D305)</f>
        <v>43.695000000495199</v>
      </c>
      <c r="E306" s="276">
        <f t="shared" si="794"/>
        <v>163.05599999939994</v>
      </c>
      <c r="F306" s="276"/>
      <c r="G306" s="276">
        <f>SUM(G304:G305)</f>
        <v>88.215999998996907</v>
      </c>
      <c r="H306" s="276">
        <f t="shared" ref="H306" si="801">SUM(H304:H305)</f>
        <v>15.665000000006861</v>
      </c>
      <c r="I306" s="276">
        <f t="shared" ref="I306" si="802">SUM(I304:I305)</f>
        <v>42.159000000125054</v>
      </c>
      <c r="J306" s="276">
        <f t="shared" si="795"/>
        <v>146.03999999912881</v>
      </c>
      <c r="K306" s="276"/>
      <c r="L306" s="276">
        <f>SUM(L304:L305)</f>
        <v>91.327999999759214</v>
      </c>
      <c r="M306" s="276">
        <f t="shared" ref="M306" si="803">SUM(M304:M305)</f>
        <v>18.048999999990102</v>
      </c>
      <c r="N306" s="276">
        <f t="shared" ref="N306" si="804">SUM(N304:N305)</f>
        <v>38.874000000143567</v>
      </c>
      <c r="O306" s="276">
        <f t="shared" si="796"/>
        <v>148.25099999989288</v>
      </c>
      <c r="P306" s="276"/>
      <c r="Q306" s="276">
        <f>SUM(Q304:Q305)</f>
        <v>91.816000000914471</v>
      </c>
      <c r="R306" s="276">
        <f t="shared" ref="R306" si="805">SUM(R304:R305)</f>
        <v>18.502999999968758</v>
      </c>
      <c r="S306" s="276">
        <f t="shared" ref="S306" si="806">SUM(S304:S305)</f>
        <v>38.637000001138716</v>
      </c>
      <c r="T306" s="276">
        <f t="shared" si="797"/>
        <v>148.95600000202194</v>
      </c>
      <c r="U306" s="276"/>
      <c r="V306" s="276">
        <f>SUM(V304:V305)</f>
        <v>92.234000001076339</v>
      </c>
      <c r="W306" s="276">
        <f t="shared" ref="W306" si="807">SUM(W304:W305)</f>
        <v>19.134000000006186</v>
      </c>
      <c r="X306" s="276">
        <f t="shared" ref="X306" si="808">SUM(X304:X305)</f>
        <v>37.996000001118759</v>
      </c>
      <c r="Y306" s="276">
        <f t="shared" si="798"/>
        <v>149.36400000220129</v>
      </c>
    </row>
    <row r="307" spans="1:25">
      <c r="C307" s="290"/>
      <c r="D307" s="290"/>
      <c r="E307" s="290"/>
      <c r="F307" s="290"/>
      <c r="G307" s="290"/>
      <c r="H307" s="290"/>
      <c r="I307" s="290"/>
      <c r="J307" s="290"/>
      <c r="K307" s="290"/>
      <c r="L307" s="290"/>
      <c r="M307" s="290"/>
      <c r="N307" s="290"/>
      <c r="O307" s="290"/>
      <c r="P307" s="290"/>
      <c r="Q307" s="290"/>
      <c r="R307" s="290"/>
      <c r="S307" s="290"/>
      <c r="T307" s="290"/>
      <c r="U307" s="290"/>
      <c r="V307" s="290"/>
      <c r="W307" s="290"/>
      <c r="X307" s="290"/>
      <c r="Y307" s="290"/>
    </row>
    <row r="308" spans="1:25">
      <c r="A308" s="237" t="str">
        <f>name!A45</f>
        <v>Film and music</v>
      </c>
      <c r="C308" s="239"/>
    </row>
    <row r="309" spans="1:25" ht="12.6">
      <c r="A309" s="236" t="s">
        <v>145</v>
      </c>
      <c r="B309" s="276">
        <v>43.487999999660239</v>
      </c>
      <c r="C309" s="276">
        <v>16.131000000135558</v>
      </c>
      <c r="D309" s="276">
        <v>10.990000000104979</v>
      </c>
      <c r="E309" s="276">
        <f>SUM(B309:D309)</f>
        <v>70.608999999900774</v>
      </c>
      <c r="F309" s="276"/>
      <c r="G309" s="276">
        <v>46.977999999570144</v>
      </c>
      <c r="H309" s="276">
        <v>22.273000000184837</v>
      </c>
      <c r="I309" s="276">
        <v>7.7580000000600942</v>
      </c>
      <c r="J309" s="276">
        <f>SUM(G309:I309)</f>
        <v>77.008999999815074</v>
      </c>
      <c r="K309" s="276"/>
      <c r="L309" s="276">
        <v>49.565999999951366</v>
      </c>
      <c r="M309" s="276">
        <v>21.179000000079366</v>
      </c>
      <c r="N309" s="276">
        <v>9.1909999997785938</v>
      </c>
      <c r="O309" s="276">
        <f>SUM(L309:N309)</f>
        <v>79.935999999809326</v>
      </c>
      <c r="P309" s="276"/>
      <c r="Q309" s="276">
        <v>50.462000000627896</v>
      </c>
      <c r="R309" s="276">
        <v>21.377000000100352</v>
      </c>
      <c r="S309" s="276">
        <v>9.3819999999436376</v>
      </c>
      <c r="T309" s="276">
        <f>SUM(Q309:S309)</f>
        <v>81.221000000671893</v>
      </c>
      <c r="U309" s="276"/>
      <c r="V309" s="276">
        <v>51.564000000774044</v>
      </c>
      <c r="W309" s="276">
        <v>21.601000000140267</v>
      </c>
      <c r="X309" s="276">
        <v>9.5740000000547134</v>
      </c>
      <c r="Y309" s="276">
        <f>SUM(V309:X309)</f>
        <v>82.739000000969028</v>
      </c>
    </row>
    <row r="310" spans="1:25" ht="12.6">
      <c r="A310" s="236" t="s">
        <v>144</v>
      </c>
      <c r="B310" s="276">
        <v>37.310999999896005</v>
      </c>
      <c r="C310" s="276">
        <v>7.7760000000732816</v>
      </c>
      <c r="D310" s="276">
        <v>21.791000000507072</v>
      </c>
      <c r="E310" s="276">
        <f t="shared" ref="E310:E311" si="809">SUM(B310:D310)</f>
        <v>66.878000000476362</v>
      </c>
      <c r="F310" s="276"/>
      <c r="G310" s="276">
        <v>41.122999999955269</v>
      </c>
      <c r="H310" s="276">
        <v>9.5390000000745605</v>
      </c>
      <c r="I310" s="276">
        <v>27.29600000001161</v>
      </c>
      <c r="J310" s="276">
        <f t="shared" ref="J310:J311" si="810">SUM(G310:I310)</f>
        <v>77.958000000041437</v>
      </c>
      <c r="K310" s="276"/>
      <c r="L310" s="276">
        <v>41.82200000003435</v>
      </c>
      <c r="M310" s="276">
        <v>11.721000000026075</v>
      </c>
      <c r="N310" s="276">
        <v>21.504000000859449</v>
      </c>
      <c r="O310" s="276">
        <f t="shared" ref="O310:O311" si="811">SUM(L310:N310)</f>
        <v>75.047000000919866</v>
      </c>
      <c r="P310" s="276"/>
      <c r="Q310" s="276">
        <v>42.514000000044227</v>
      </c>
      <c r="R310" s="276">
        <v>12.221000000068134</v>
      </c>
      <c r="S310" s="276">
        <v>21.895000001925006</v>
      </c>
      <c r="T310" s="276">
        <f t="shared" ref="T310:T311" si="812">SUM(Q310:S310)</f>
        <v>76.630000002037377</v>
      </c>
      <c r="U310" s="276"/>
      <c r="V310" s="276">
        <v>42.749000000077082</v>
      </c>
      <c r="W310" s="276">
        <v>13.135000000079973</v>
      </c>
      <c r="X310" s="276">
        <v>22.409000001753572</v>
      </c>
      <c r="Y310" s="276">
        <f t="shared" ref="Y310:Y311" si="813">SUM(V310:X310)</f>
        <v>78.293000001910627</v>
      </c>
    </row>
    <row r="311" spans="1:25" ht="12.6">
      <c r="A311" s="236" t="s">
        <v>146</v>
      </c>
      <c r="B311" s="276">
        <f>SUM(B309:B310)</f>
        <v>80.798999999556244</v>
      </c>
      <c r="C311" s="276">
        <f t="shared" ref="C311" si="814">SUM(C309:C310)</f>
        <v>23.907000000208839</v>
      </c>
      <c r="D311" s="276">
        <f t="shared" ref="D311" si="815">SUM(D309:D310)</f>
        <v>32.781000000612053</v>
      </c>
      <c r="E311" s="276">
        <f t="shared" si="809"/>
        <v>137.48700000037712</v>
      </c>
      <c r="F311" s="276"/>
      <c r="G311" s="276">
        <f>SUM(G309:G310)</f>
        <v>88.100999999525413</v>
      </c>
      <c r="H311" s="276">
        <f t="shared" ref="H311" si="816">SUM(H309:H310)</f>
        <v>31.812000000259395</v>
      </c>
      <c r="I311" s="276">
        <f t="shared" ref="I311" si="817">SUM(I309:I310)</f>
        <v>35.054000000071703</v>
      </c>
      <c r="J311" s="276">
        <f t="shared" si="810"/>
        <v>154.96699999985651</v>
      </c>
      <c r="K311" s="276"/>
      <c r="L311" s="276">
        <f>SUM(L309:L310)</f>
        <v>91.387999999985709</v>
      </c>
      <c r="M311" s="276">
        <f t="shared" ref="M311" si="818">SUM(M309:M310)</f>
        <v>32.900000000105443</v>
      </c>
      <c r="N311" s="276">
        <f t="shared" ref="N311" si="819">SUM(N309:N310)</f>
        <v>30.695000000638043</v>
      </c>
      <c r="O311" s="276">
        <f t="shared" si="811"/>
        <v>154.98300000072919</v>
      </c>
      <c r="P311" s="276"/>
      <c r="Q311" s="276">
        <f>SUM(Q309:Q310)</f>
        <v>92.976000000672116</v>
      </c>
      <c r="R311" s="276">
        <f t="shared" ref="R311" si="820">SUM(R309:R310)</f>
        <v>33.598000000168483</v>
      </c>
      <c r="S311" s="276">
        <f t="shared" ref="S311" si="821">SUM(S309:S310)</f>
        <v>31.277000001868643</v>
      </c>
      <c r="T311" s="276">
        <f t="shared" si="812"/>
        <v>157.85100000270924</v>
      </c>
      <c r="U311" s="276"/>
      <c r="V311" s="276">
        <f>SUM(V309:V310)</f>
        <v>94.313000000851133</v>
      </c>
      <c r="W311" s="276">
        <f t="shared" ref="W311" si="822">SUM(W309:W310)</f>
        <v>34.736000000220244</v>
      </c>
      <c r="X311" s="276">
        <f t="shared" ref="X311" si="823">SUM(X309:X310)</f>
        <v>31.983000001808286</v>
      </c>
      <c r="Y311" s="276">
        <f t="shared" si="813"/>
        <v>161.03200000287964</v>
      </c>
    </row>
    <row r="312" spans="1:25">
      <c r="C312" s="290"/>
      <c r="D312" s="290"/>
      <c r="E312" s="290"/>
      <c r="F312" s="290"/>
      <c r="G312" s="290"/>
      <c r="H312" s="290"/>
      <c r="I312" s="290"/>
      <c r="J312" s="290"/>
      <c r="K312" s="290"/>
      <c r="L312" s="290"/>
      <c r="M312" s="290"/>
      <c r="N312" s="290"/>
      <c r="O312" s="290"/>
      <c r="P312" s="290"/>
      <c r="Q312" s="290"/>
      <c r="R312" s="290"/>
      <c r="S312" s="290"/>
      <c r="T312" s="290"/>
      <c r="U312" s="290"/>
      <c r="V312" s="290"/>
      <c r="W312" s="290"/>
      <c r="X312" s="290"/>
      <c r="Y312" s="290"/>
    </row>
    <row r="313" spans="1:25">
      <c r="A313" s="237" t="str">
        <f>name!A46</f>
        <v>Broadcasting</v>
      </c>
      <c r="C313" s="239"/>
    </row>
    <row r="314" spans="1:25" ht="12.6">
      <c r="A314" s="236" t="s">
        <v>145</v>
      </c>
      <c r="B314" s="276">
        <v>7.7969999999191613</v>
      </c>
      <c r="C314" s="276">
        <v>1.4080000000027661</v>
      </c>
      <c r="D314" s="276">
        <v>2.0540000000061509</v>
      </c>
      <c r="E314" s="276">
        <f>SUM(B314:D314)</f>
        <v>11.258999999928079</v>
      </c>
      <c r="F314" s="276"/>
      <c r="G314" s="276">
        <v>6.7779999999306435</v>
      </c>
      <c r="H314" s="276">
        <v>2.0950000000035822</v>
      </c>
      <c r="I314" s="276">
        <v>6.1560000000480111</v>
      </c>
      <c r="J314" s="276">
        <f>SUM(G314:I314)</f>
        <v>15.028999999982236</v>
      </c>
      <c r="K314" s="276"/>
      <c r="L314" s="276">
        <v>7.4360000000037427</v>
      </c>
      <c r="M314" s="276">
        <v>2.1519999999980981</v>
      </c>
      <c r="N314" s="276">
        <v>6.5209999998937356</v>
      </c>
      <c r="O314" s="276">
        <f>SUM(L314:N314)</f>
        <v>16.108999999895577</v>
      </c>
      <c r="P314" s="276"/>
      <c r="Q314" s="276">
        <v>7.6960000001232247</v>
      </c>
      <c r="R314" s="276">
        <v>2.2449999999939521</v>
      </c>
      <c r="S314" s="276">
        <v>6.3700000000596937</v>
      </c>
      <c r="T314" s="276">
        <f>SUM(Q314:S314)</f>
        <v>16.311000000176868</v>
      </c>
      <c r="U314" s="276"/>
      <c r="V314" s="276">
        <v>7.9220000001309456</v>
      </c>
      <c r="W314" s="276">
        <v>2.2909999999982649</v>
      </c>
      <c r="X314" s="276">
        <v>5.9030000000483271</v>
      </c>
      <c r="Y314" s="276">
        <f>SUM(V314:X314)</f>
        <v>16.116000000177536</v>
      </c>
    </row>
    <row r="315" spans="1:25" ht="12.6">
      <c r="A315" s="236" t="s">
        <v>144</v>
      </c>
      <c r="B315" s="276">
        <v>18.426999999845798</v>
      </c>
      <c r="C315" s="276">
        <v>1.4790000000104162</v>
      </c>
      <c r="D315" s="276">
        <v>7.7350000001682231</v>
      </c>
      <c r="E315" s="276">
        <f t="shared" ref="E315:E316" si="824">SUM(B315:D315)</f>
        <v>27.641000000024437</v>
      </c>
      <c r="F315" s="276"/>
      <c r="G315" s="276">
        <v>18.919999999898796</v>
      </c>
      <c r="H315" s="276">
        <v>1.8810000000083962</v>
      </c>
      <c r="I315" s="276">
        <v>8.318999999994956</v>
      </c>
      <c r="J315" s="276">
        <f t="shared" ref="J315:J316" si="825">SUM(G315:I315)</f>
        <v>29.119999999902149</v>
      </c>
      <c r="K315" s="276"/>
      <c r="L315" s="276">
        <v>19.094999999994606</v>
      </c>
      <c r="M315" s="276">
        <v>2.5120000000011435</v>
      </c>
      <c r="N315" s="276">
        <v>7.420000000323852</v>
      </c>
      <c r="O315" s="276">
        <f t="shared" ref="O315:O316" si="826">SUM(L315:N315)</f>
        <v>29.027000000319603</v>
      </c>
      <c r="P315" s="276"/>
      <c r="Q315" s="276">
        <v>19.347000000050702</v>
      </c>
      <c r="R315" s="276">
        <v>2.6570000000011231</v>
      </c>
      <c r="S315" s="276">
        <v>7.6120000007046427</v>
      </c>
      <c r="T315" s="276">
        <f t="shared" ref="T315:T316" si="827">SUM(Q315:S315)</f>
        <v>29.616000000756468</v>
      </c>
      <c r="U315" s="276"/>
      <c r="V315" s="276">
        <v>19.432000000076982</v>
      </c>
      <c r="W315" s="276">
        <v>2.8680000000021555</v>
      </c>
      <c r="X315" s="276">
        <v>7.8030000006381659</v>
      </c>
      <c r="Y315" s="276">
        <f t="shared" ref="Y315:Y316" si="828">SUM(V315:X315)</f>
        <v>30.103000000717302</v>
      </c>
    </row>
    <row r="316" spans="1:25" ht="12.6">
      <c r="A316" s="236" t="s">
        <v>146</v>
      </c>
      <c r="B316" s="276">
        <f>SUM(B314:B315)</f>
        <v>26.22399999976496</v>
      </c>
      <c r="C316" s="276">
        <f t="shared" ref="C316" si="829">SUM(C314:C315)</f>
        <v>2.8870000000131824</v>
      </c>
      <c r="D316" s="276">
        <f t="shared" ref="D316" si="830">SUM(D314:D315)</f>
        <v>9.789000000174374</v>
      </c>
      <c r="E316" s="276">
        <f t="shared" si="824"/>
        <v>38.899999999952513</v>
      </c>
      <c r="F316" s="276"/>
      <c r="G316" s="276">
        <f>SUM(G314:G315)</f>
        <v>25.697999999829438</v>
      </c>
      <c r="H316" s="276">
        <f t="shared" ref="H316" si="831">SUM(H314:H315)</f>
        <v>3.9760000000119784</v>
      </c>
      <c r="I316" s="276">
        <f t="shared" ref="I316" si="832">SUM(I314:I315)</f>
        <v>14.475000000042968</v>
      </c>
      <c r="J316" s="276">
        <f t="shared" si="825"/>
        <v>44.148999999884381</v>
      </c>
      <c r="K316" s="276"/>
      <c r="L316" s="276">
        <f>SUM(L314:L315)</f>
        <v>26.53099999999835</v>
      </c>
      <c r="M316" s="276">
        <f t="shared" ref="M316" si="833">SUM(M314:M315)</f>
        <v>4.6639999999992412</v>
      </c>
      <c r="N316" s="276">
        <f t="shared" ref="N316" si="834">SUM(N314:N315)</f>
        <v>13.941000000217588</v>
      </c>
      <c r="O316" s="276">
        <f t="shared" si="826"/>
        <v>45.136000000215176</v>
      </c>
      <c r="P316" s="276"/>
      <c r="Q316" s="276">
        <f>SUM(Q314:Q315)</f>
        <v>27.043000000173926</v>
      </c>
      <c r="R316" s="276">
        <f t="shared" ref="R316" si="835">SUM(R314:R315)</f>
        <v>4.9019999999950752</v>
      </c>
      <c r="S316" s="276">
        <f t="shared" ref="S316" si="836">SUM(S314:S315)</f>
        <v>13.982000000764337</v>
      </c>
      <c r="T316" s="276">
        <f t="shared" si="827"/>
        <v>45.92700000093334</v>
      </c>
      <c r="U316" s="276"/>
      <c r="V316" s="276">
        <f>SUM(V314:V315)</f>
        <v>27.354000000207929</v>
      </c>
      <c r="W316" s="276">
        <f t="shared" ref="W316" si="837">SUM(W314:W315)</f>
        <v>5.1590000000004199</v>
      </c>
      <c r="X316" s="276">
        <f t="shared" ref="X316" si="838">SUM(X314:X315)</f>
        <v>13.706000000686494</v>
      </c>
      <c r="Y316" s="276">
        <f t="shared" si="828"/>
        <v>46.219000000894845</v>
      </c>
    </row>
    <row r="317" spans="1:25" ht="12.6">
      <c r="C317" s="239"/>
    </row>
    <row r="318" spans="1:25">
      <c r="A318" s="237" t="s">
        <v>155</v>
      </c>
      <c r="C318" s="239"/>
    </row>
    <row r="319" spans="1:25" ht="12.6">
      <c r="A319" s="236" t="s">
        <v>145</v>
      </c>
      <c r="B319" s="276">
        <f>SUM(B304,B309,B314)</f>
        <v>86.186999999136404</v>
      </c>
      <c r="C319" s="276">
        <f t="shared" ref="C319:D319" si="839">SUM(C304,C309,C314)</f>
        <v>30.265000000176606</v>
      </c>
      <c r="D319" s="276">
        <f t="shared" si="839"/>
        <v>29.34500000021043</v>
      </c>
      <c r="E319" s="276">
        <f>SUM(B319:D319)</f>
        <v>145.79699999952345</v>
      </c>
      <c r="F319" s="276"/>
      <c r="G319" s="276">
        <f>SUM(G304,G309,G314)</f>
        <v>85.729999998994671</v>
      </c>
      <c r="H319" s="276">
        <f t="shared" ref="H319:I319" si="840">SUM(H304,H309,H314)</f>
        <v>33.707000000218848</v>
      </c>
      <c r="I319" s="276">
        <f t="shared" si="840"/>
        <v>32.237000000265063</v>
      </c>
      <c r="J319" s="276">
        <f>SUM(G319:I319)</f>
        <v>151.67399999947858</v>
      </c>
      <c r="K319" s="276"/>
      <c r="L319" s="276">
        <f>SUM(L304,L309,L314)</f>
        <v>92.111999999791124</v>
      </c>
      <c r="M319" s="276">
        <f t="shared" ref="M319:N319" si="841">SUM(M304,M309,M314)</f>
        <v>32.489000000059228</v>
      </c>
      <c r="N319" s="276">
        <f t="shared" si="841"/>
        <v>34.652999999292732</v>
      </c>
      <c r="O319" s="276">
        <f>SUM(L319:N319)</f>
        <v>159.2539999991431</v>
      </c>
      <c r="P319" s="276"/>
      <c r="Q319" s="276">
        <f>SUM(Q304,Q309,Q314)</f>
        <v>93.674000001529038</v>
      </c>
      <c r="R319" s="276">
        <f t="shared" ref="R319:S319" si="842">SUM(R304,R309,R314)</f>
        <v>32.915000000080497</v>
      </c>
      <c r="S319" s="276">
        <f t="shared" si="842"/>
        <v>34.219999999920574</v>
      </c>
      <c r="T319" s="276">
        <f>SUM(Q319:S319)</f>
        <v>160.80900000153011</v>
      </c>
      <c r="U319" s="276"/>
      <c r="V319" s="276">
        <f>SUM(V304,V309,V314)</f>
        <v>95.5960000018557</v>
      </c>
      <c r="W319" s="276">
        <f t="shared" ref="W319:X319" si="843">SUM(W304,W309,W314)</f>
        <v>33.236000000161738</v>
      </c>
      <c r="X319" s="276">
        <f t="shared" si="843"/>
        <v>32.961000000178274</v>
      </c>
      <c r="Y319" s="276">
        <f>SUM(V319:X319)</f>
        <v>161.7930000021957</v>
      </c>
    </row>
    <row r="320" spans="1:25" ht="12.6">
      <c r="A320" s="236" t="s">
        <v>144</v>
      </c>
      <c r="B320" s="276">
        <f>SUM(B305,B310,B315)</f>
        <v>115.21199999905551</v>
      </c>
      <c r="C320" s="276">
        <f t="shared" ref="C320:D320" si="844">SUM(C305,C310,C315)</f>
        <v>21.514000000079445</v>
      </c>
      <c r="D320" s="276">
        <f t="shared" si="844"/>
        <v>56.920000001071195</v>
      </c>
      <c r="E320" s="276">
        <f t="shared" ref="E320:E321" si="845">SUM(B320:D320)</f>
        <v>193.64600000020616</v>
      </c>
      <c r="F320" s="276"/>
      <c r="G320" s="276">
        <f>SUM(G305,G310,G315)</f>
        <v>116.28499999935708</v>
      </c>
      <c r="H320" s="276">
        <f t="shared" ref="H320:I320" si="846">SUM(H305,H310,H315)</f>
        <v>17.746000000059386</v>
      </c>
      <c r="I320" s="276">
        <f t="shared" si="846"/>
        <v>59.45099999997467</v>
      </c>
      <c r="J320" s="276">
        <f t="shared" ref="J320:J321" si="847">SUM(G320:I320)</f>
        <v>193.48199999939115</v>
      </c>
      <c r="K320" s="276"/>
      <c r="L320" s="276">
        <f>SUM(L305,L310,L315)</f>
        <v>117.13499999995216</v>
      </c>
      <c r="M320" s="276">
        <f t="shared" ref="M320:N320" si="848">SUM(M305,M310,M315)</f>
        <v>23.124000000035554</v>
      </c>
      <c r="N320" s="276">
        <f t="shared" si="848"/>
        <v>48.857000001706467</v>
      </c>
      <c r="O320" s="276">
        <f t="shared" ref="O320:O321" si="849">SUM(L320:N320)</f>
        <v>189.11600000169418</v>
      </c>
      <c r="P320" s="276"/>
      <c r="Q320" s="276">
        <f>SUM(Q305,Q310,Q315)</f>
        <v>118.16100000023148</v>
      </c>
      <c r="R320" s="276">
        <f t="shared" ref="R320:S320" si="850">SUM(R305,R310,R315)</f>
        <v>24.088000000051817</v>
      </c>
      <c r="S320" s="276">
        <f t="shared" si="850"/>
        <v>49.676000003851115</v>
      </c>
      <c r="T320" s="276">
        <f t="shared" ref="T320:T321" si="851">SUM(Q320:S320)</f>
        <v>191.9250000041344</v>
      </c>
      <c r="U320" s="276"/>
      <c r="V320" s="276">
        <f>SUM(V305,V310,V315)</f>
        <v>118.3050000002797</v>
      </c>
      <c r="W320" s="276">
        <f t="shared" ref="W320:X320" si="852">SUM(W305,W310,W315)</f>
        <v>25.79300000006511</v>
      </c>
      <c r="X320" s="276">
        <f t="shared" si="852"/>
        <v>50.724000003435258</v>
      </c>
      <c r="Y320" s="276">
        <f t="shared" ref="Y320:Y321" si="853">SUM(V320:X320)</f>
        <v>194.82200000378009</v>
      </c>
    </row>
    <row r="321" spans="1:25" ht="12.6">
      <c r="A321" s="240" t="s">
        <v>146</v>
      </c>
      <c r="B321" s="277">
        <f>SUM(B319:B320)</f>
        <v>201.39899999819193</v>
      </c>
      <c r="C321" s="277">
        <f t="shared" ref="C321" si="854">SUM(C319:C320)</f>
        <v>51.779000000256048</v>
      </c>
      <c r="D321" s="277">
        <f t="shared" ref="D321" si="855">SUM(D319:D320)</f>
        <v>86.265000001281621</v>
      </c>
      <c r="E321" s="277">
        <f t="shared" si="845"/>
        <v>339.44299999972958</v>
      </c>
      <c r="F321" s="277"/>
      <c r="G321" s="277">
        <f>SUM(G319:G320)</f>
        <v>202.01499999835175</v>
      </c>
      <c r="H321" s="277">
        <f t="shared" ref="H321" si="856">SUM(H319:H320)</f>
        <v>51.453000000278237</v>
      </c>
      <c r="I321" s="277">
        <f t="shared" ref="I321" si="857">SUM(I319:I320)</f>
        <v>91.688000000239725</v>
      </c>
      <c r="J321" s="277">
        <f t="shared" si="847"/>
        <v>345.15599999886967</v>
      </c>
      <c r="K321" s="277"/>
      <c r="L321" s="277">
        <f>SUM(L319:L320)</f>
        <v>209.24699999974328</v>
      </c>
      <c r="M321" s="277">
        <f t="shared" ref="M321" si="858">SUM(M319:M320)</f>
        <v>55.613000000094786</v>
      </c>
      <c r="N321" s="277">
        <f t="shared" ref="N321" si="859">SUM(N319:N320)</f>
        <v>83.510000000999199</v>
      </c>
      <c r="O321" s="277">
        <f t="shared" si="849"/>
        <v>348.37000000083725</v>
      </c>
      <c r="P321" s="277"/>
      <c r="Q321" s="277">
        <f>SUM(Q319:Q320)</f>
        <v>211.83500000176053</v>
      </c>
      <c r="R321" s="277">
        <f t="shared" ref="R321" si="860">SUM(R319:R320)</f>
        <v>57.003000000132317</v>
      </c>
      <c r="S321" s="277">
        <f t="shared" ref="S321" si="861">SUM(S319:S320)</f>
        <v>83.89600000377169</v>
      </c>
      <c r="T321" s="277">
        <f t="shared" si="851"/>
        <v>352.73400000566454</v>
      </c>
      <c r="U321" s="277"/>
      <c r="V321" s="277">
        <f>SUM(V319:V320)</f>
        <v>213.90100000213539</v>
      </c>
      <c r="W321" s="277">
        <f t="shared" ref="W321" si="862">SUM(W319:W320)</f>
        <v>59.029000000226844</v>
      </c>
      <c r="X321" s="277">
        <f t="shared" ref="X321" si="863">SUM(X319:X320)</f>
        <v>83.685000003613538</v>
      </c>
      <c r="Y321" s="277">
        <f t="shared" si="853"/>
        <v>356.61500000597579</v>
      </c>
    </row>
    <row r="322" spans="1:25" ht="12.6">
      <c r="C322" s="239"/>
    </row>
    <row r="323" spans="1:25" ht="12.6">
      <c r="C323" s="239"/>
    </row>
    <row r="324" spans="1:25">
      <c r="A324" s="238"/>
    </row>
    <row r="325" spans="1:25" ht="14.1">
      <c r="A325" s="241" t="str">
        <f>"Industry 13 : "&amp; name!B16</f>
        <v>Industry 13 : Information technology</v>
      </c>
      <c r="B325" s="366">
        <f>$B$5</f>
        <v>2015</v>
      </c>
      <c r="C325" s="366"/>
      <c r="D325" s="366"/>
      <c r="E325" s="366"/>
      <c r="F325" s="291"/>
      <c r="G325" s="366">
        <f>$G$5</f>
        <v>2019</v>
      </c>
      <c r="H325" s="366"/>
      <c r="I325" s="366"/>
      <c r="J325" s="366"/>
      <c r="K325" s="291"/>
      <c r="L325" s="366">
        <f>$L$5</f>
        <v>2020</v>
      </c>
      <c r="M325" s="366"/>
      <c r="N325" s="366"/>
      <c r="O325" s="366"/>
      <c r="P325" s="289"/>
      <c r="Q325" s="366">
        <f>$Q$5</f>
        <v>2025</v>
      </c>
      <c r="R325" s="366"/>
      <c r="S325" s="366"/>
      <c r="T325" s="366"/>
      <c r="U325" s="291"/>
      <c r="V325" s="366">
        <f>$V$5</f>
        <v>2035</v>
      </c>
      <c r="W325" s="366"/>
      <c r="X325" s="366"/>
      <c r="Y325" s="366"/>
    </row>
    <row r="326" spans="1:25">
      <c r="A326" s="240"/>
      <c r="B326" s="244" t="str">
        <f>$B$6</f>
        <v>FT</v>
      </c>
      <c r="C326" s="244" t="str">
        <f>$C$6</f>
        <v>PT</v>
      </c>
      <c r="D326" s="244" t="str">
        <f>$D$6</f>
        <v>SE</v>
      </c>
      <c r="E326" s="244" t="str">
        <f>$E$6</f>
        <v>Total</v>
      </c>
      <c r="F326" s="244"/>
      <c r="G326" s="244" t="str">
        <f>$B$6</f>
        <v>FT</v>
      </c>
      <c r="H326" s="244" t="str">
        <f>$C$6</f>
        <v>PT</v>
      </c>
      <c r="I326" s="244" t="str">
        <f>$D$6</f>
        <v>SE</v>
      </c>
      <c r="J326" s="244" t="str">
        <f>$E$6</f>
        <v>Total</v>
      </c>
      <c r="K326" s="244"/>
      <c r="L326" s="244" t="str">
        <f>$L$6</f>
        <v>FT</v>
      </c>
      <c r="M326" s="244" t="str">
        <f>$M$6</f>
        <v>PT</v>
      </c>
      <c r="N326" s="244" t="str">
        <f>$N$6</f>
        <v>SE</v>
      </c>
      <c r="O326" s="244" t="str">
        <f>$O$6</f>
        <v>Total</v>
      </c>
      <c r="P326" s="244"/>
      <c r="Q326" s="244" t="str">
        <f>$L$6</f>
        <v>FT</v>
      </c>
      <c r="R326" s="244" t="str">
        <f>$M$6</f>
        <v>PT</v>
      </c>
      <c r="S326" s="244" t="str">
        <f>$N$6</f>
        <v>SE</v>
      </c>
      <c r="T326" s="244" t="str">
        <f>$O$6</f>
        <v>Total</v>
      </c>
      <c r="U326" s="244"/>
      <c r="V326" s="244" t="str">
        <f>$V$6</f>
        <v>FT</v>
      </c>
      <c r="W326" s="244" t="str">
        <f>$W$6</f>
        <v>PT</v>
      </c>
      <c r="X326" s="244" t="str">
        <f>$X$6</f>
        <v>SE</v>
      </c>
      <c r="Y326" s="244" t="str">
        <f>$Y$6</f>
        <v>Total</v>
      </c>
    </row>
    <row r="327" spans="1:25">
      <c r="C327" s="290"/>
      <c r="D327" s="290"/>
      <c r="E327" s="290"/>
      <c r="F327" s="290"/>
      <c r="G327" s="290"/>
      <c r="H327" s="290"/>
      <c r="I327" s="290"/>
      <c r="J327" s="290"/>
      <c r="K327" s="290"/>
      <c r="L327" s="290"/>
      <c r="M327" s="290"/>
      <c r="N327" s="290"/>
      <c r="O327" s="290"/>
      <c r="P327" s="290"/>
      <c r="Q327" s="290"/>
      <c r="R327" s="290"/>
      <c r="S327" s="290"/>
      <c r="T327" s="290"/>
      <c r="U327" s="290"/>
      <c r="V327" s="290"/>
      <c r="W327" s="290"/>
      <c r="X327" s="290"/>
      <c r="Y327" s="290"/>
    </row>
    <row r="328" spans="1:25">
      <c r="A328" s="237" t="str">
        <f>name!A47</f>
        <v>Telecommunications</v>
      </c>
      <c r="C328" s="239"/>
    </row>
    <row r="329" spans="1:25" ht="12.6">
      <c r="A329" s="236" t="s">
        <v>145</v>
      </c>
      <c r="B329" s="276">
        <v>26.74899999971646</v>
      </c>
      <c r="C329" s="276">
        <v>9.0740000001192609</v>
      </c>
      <c r="D329" s="276">
        <v>3.3600000000248671</v>
      </c>
      <c r="E329" s="276">
        <f>SUM(B329:D329)</f>
        <v>39.182999999860591</v>
      </c>
      <c r="F329" s="276"/>
      <c r="G329" s="276">
        <v>24.596999999670469</v>
      </c>
      <c r="H329" s="276">
        <v>7.608000000094008</v>
      </c>
      <c r="I329" s="276">
        <v>0.57800000000432183</v>
      </c>
      <c r="J329" s="276">
        <f>SUM(G329:I329)</f>
        <v>32.782999999768798</v>
      </c>
      <c r="K329" s="276"/>
      <c r="L329" s="276">
        <v>27.690999999712322</v>
      </c>
      <c r="M329" s="276">
        <v>5.0090000000629642</v>
      </c>
      <c r="N329" s="276">
        <v>0.4749999999949025</v>
      </c>
      <c r="O329" s="276">
        <f>SUM(L329:N329)</f>
        <v>33.174999999770186</v>
      </c>
      <c r="P329" s="276"/>
      <c r="Q329" s="276">
        <v>30.352000000714817</v>
      </c>
      <c r="R329" s="276">
        <v>5.2990000001556892</v>
      </c>
      <c r="S329" s="276">
        <v>0.43399999999883876</v>
      </c>
      <c r="T329" s="276">
        <f>SUM(Q329:S329)</f>
        <v>36.085000000869343</v>
      </c>
      <c r="U329" s="276"/>
      <c r="V329" s="276">
        <v>34.028000001234595</v>
      </c>
      <c r="W329" s="276">
        <v>5.5030000002425536</v>
      </c>
      <c r="X329" s="276">
        <v>0.40599999999973696</v>
      </c>
      <c r="Y329" s="276">
        <f>SUM(V329:X329)</f>
        <v>39.937000001476882</v>
      </c>
    </row>
    <row r="330" spans="1:25" ht="12.6">
      <c r="A330" s="236" t="s">
        <v>144</v>
      </c>
      <c r="B330" s="276">
        <v>134.74599999817073</v>
      </c>
      <c r="C330" s="276">
        <v>5.4900000000323042</v>
      </c>
      <c r="D330" s="276">
        <v>16.84500000008515</v>
      </c>
      <c r="E330" s="276">
        <f t="shared" ref="E330:E331" si="864">SUM(B330:D330)</f>
        <v>157.08099999828818</v>
      </c>
      <c r="F330" s="276"/>
      <c r="G330" s="276">
        <v>137.82399999864626</v>
      </c>
      <c r="H330" s="276">
        <v>3.94500000003347</v>
      </c>
      <c r="I330" s="276">
        <v>10.074000000016474</v>
      </c>
      <c r="J330" s="276">
        <f t="shared" ref="J330:J331" si="865">SUM(G330:I330)</f>
        <v>151.8429999986962</v>
      </c>
      <c r="K330" s="276"/>
      <c r="L330" s="276">
        <v>127.75399999889331</v>
      </c>
      <c r="M330" s="276">
        <v>5.4409999999765795</v>
      </c>
      <c r="N330" s="276">
        <v>12.340000000129542</v>
      </c>
      <c r="O330" s="276">
        <f t="shared" ref="O330:O331" si="866">SUM(L330:N330)</f>
        <v>145.53499999899944</v>
      </c>
      <c r="P330" s="276"/>
      <c r="Q330" s="276">
        <v>135.78299999978375</v>
      </c>
      <c r="R330" s="276">
        <v>5.8760000000268837</v>
      </c>
      <c r="S330" s="276">
        <v>13.491000000350368</v>
      </c>
      <c r="T330" s="276">
        <f t="shared" ref="T330:T331" si="867">SUM(Q330:S330)</f>
        <v>155.15000000016101</v>
      </c>
      <c r="U330" s="276"/>
      <c r="V330" s="276">
        <v>144.2899999993696</v>
      </c>
      <c r="W330" s="276">
        <v>6.3680000000243728</v>
      </c>
      <c r="X330" s="276">
        <v>14.777000000246426</v>
      </c>
      <c r="Y330" s="276">
        <f t="shared" ref="Y330:Y331" si="868">SUM(V330:X330)</f>
        <v>165.43499999964041</v>
      </c>
    </row>
    <row r="331" spans="1:25" ht="12.6">
      <c r="A331" s="236" t="s">
        <v>146</v>
      </c>
      <c r="B331" s="276">
        <f>SUM(B329:B330)</f>
        <v>161.49499999788719</v>
      </c>
      <c r="C331" s="276">
        <f t="shared" ref="C331" si="869">SUM(C329:C330)</f>
        <v>14.564000000151566</v>
      </c>
      <c r="D331" s="276">
        <f t="shared" ref="D331" si="870">SUM(D329:D330)</f>
        <v>20.205000000110019</v>
      </c>
      <c r="E331" s="276">
        <f t="shared" si="864"/>
        <v>196.26399999814879</v>
      </c>
      <c r="F331" s="276"/>
      <c r="G331" s="276">
        <f>SUM(G329:G330)</f>
        <v>162.42099999831672</v>
      </c>
      <c r="H331" s="276">
        <f t="shared" ref="H331" si="871">SUM(H329:H330)</f>
        <v>11.553000000127478</v>
      </c>
      <c r="I331" s="276">
        <f t="shared" ref="I331" si="872">SUM(I329:I330)</f>
        <v>10.652000000020795</v>
      </c>
      <c r="J331" s="276">
        <f t="shared" si="865"/>
        <v>184.62599999846498</v>
      </c>
      <c r="K331" s="276"/>
      <c r="L331" s="276">
        <f>SUM(L329:L330)</f>
        <v>155.44499999860562</v>
      </c>
      <c r="M331" s="276">
        <f t="shared" ref="M331" si="873">SUM(M329:M330)</f>
        <v>10.450000000039545</v>
      </c>
      <c r="N331" s="276">
        <f t="shared" ref="N331" si="874">SUM(N329:N330)</f>
        <v>12.815000000124446</v>
      </c>
      <c r="O331" s="276">
        <f t="shared" si="866"/>
        <v>178.70999999876963</v>
      </c>
      <c r="P331" s="276"/>
      <c r="Q331" s="276">
        <f>SUM(Q329:Q330)</f>
        <v>166.13500000049856</v>
      </c>
      <c r="R331" s="276">
        <f t="shared" ref="R331" si="875">SUM(R329:R330)</f>
        <v>11.175000000182573</v>
      </c>
      <c r="S331" s="276">
        <f t="shared" ref="S331" si="876">SUM(S329:S330)</f>
        <v>13.925000000349208</v>
      </c>
      <c r="T331" s="276">
        <f t="shared" si="867"/>
        <v>191.23500000103033</v>
      </c>
      <c r="U331" s="276"/>
      <c r="V331" s="276">
        <f>SUM(V329:V330)</f>
        <v>178.3180000006042</v>
      </c>
      <c r="W331" s="276">
        <f t="shared" ref="W331" si="877">SUM(W329:W330)</f>
        <v>11.871000000266926</v>
      </c>
      <c r="X331" s="276">
        <f t="shared" ref="X331" si="878">SUM(X329:X330)</f>
        <v>15.183000000246164</v>
      </c>
      <c r="Y331" s="276">
        <f t="shared" si="868"/>
        <v>205.37200000111727</v>
      </c>
    </row>
    <row r="332" spans="1:25">
      <c r="C332" s="290"/>
      <c r="D332" s="290"/>
      <c r="E332" s="290"/>
      <c r="F332" s="290"/>
      <c r="G332" s="290"/>
      <c r="H332" s="290"/>
      <c r="I332" s="290"/>
      <c r="J332" s="290"/>
      <c r="K332" s="290"/>
      <c r="L332" s="290"/>
      <c r="M332" s="290"/>
      <c r="N332" s="290"/>
      <c r="O332" s="290"/>
      <c r="P332" s="290"/>
      <c r="Q332" s="290"/>
      <c r="R332" s="290"/>
      <c r="S332" s="290"/>
      <c r="T332" s="290"/>
      <c r="U332" s="290"/>
      <c r="V332" s="290"/>
      <c r="W332" s="290"/>
      <c r="X332" s="290"/>
      <c r="Y332" s="290"/>
    </row>
    <row r="333" spans="1:25">
      <c r="A333" s="237" t="str">
        <f>name!A48</f>
        <v>Computing services</v>
      </c>
      <c r="C333" s="239"/>
    </row>
    <row r="334" spans="1:25" ht="12.6">
      <c r="A334" s="236" t="s">
        <v>145</v>
      </c>
      <c r="B334" s="276">
        <v>125.90099999842353</v>
      </c>
      <c r="C334" s="276">
        <v>42.946999999480973</v>
      </c>
      <c r="D334" s="276">
        <v>13.955000000089035</v>
      </c>
      <c r="E334" s="276">
        <f>SUM(B334:D334)</f>
        <v>182.80299999799354</v>
      </c>
      <c r="F334" s="276"/>
      <c r="G334" s="276">
        <v>139.57199999805948</v>
      </c>
      <c r="H334" s="276">
        <v>53.663999999394527</v>
      </c>
      <c r="I334" s="276">
        <v>4.8350000000175619</v>
      </c>
      <c r="J334" s="276">
        <f>SUM(G334:I334)</f>
        <v>198.07099999747157</v>
      </c>
      <c r="K334" s="276"/>
      <c r="L334" s="276">
        <v>163.30899999868828</v>
      </c>
      <c r="M334" s="276">
        <v>39.128999999682556</v>
      </c>
      <c r="N334" s="276">
        <v>16.126999999720038</v>
      </c>
      <c r="O334" s="276">
        <f>SUM(L334:N334)</f>
        <v>218.56499999809085</v>
      </c>
      <c r="P334" s="276"/>
      <c r="Q334" s="276">
        <v>179.16900000339405</v>
      </c>
      <c r="R334" s="276">
        <v>41.321999999597196</v>
      </c>
      <c r="S334" s="276">
        <v>17.636999999899587</v>
      </c>
      <c r="T334" s="276">
        <f>SUM(Q334:S334)</f>
        <v>238.12800000289084</v>
      </c>
      <c r="U334" s="276"/>
      <c r="V334" s="276">
        <v>201.12600000545606</v>
      </c>
      <c r="W334" s="276">
        <v>42.886999999949282</v>
      </c>
      <c r="X334" s="276">
        <v>19.200000000009858</v>
      </c>
      <c r="Y334" s="276">
        <f>SUM(V334:X334)</f>
        <v>263.21300000541521</v>
      </c>
    </row>
    <row r="335" spans="1:25" ht="12.6">
      <c r="A335" s="236" t="s">
        <v>144</v>
      </c>
      <c r="B335" s="276">
        <v>391.97299999310155</v>
      </c>
      <c r="C335" s="276">
        <v>20.228999999663372</v>
      </c>
      <c r="D335" s="276">
        <v>51.447000000384016</v>
      </c>
      <c r="E335" s="276">
        <f t="shared" ref="E335:E336" si="879">SUM(B335:D335)</f>
        <v>463.64899999314895</v>
      </c>
      <c r="F335" s="276"/>
      <c r="G335" s="276">
        <v>463.65299999380619</v>
      </c>
      <c r="H335" s="276">
        <v>24.953999999628444</v>
      </c>
      <c r="I335" s="276">
        <v>38.249999999847361</v>
      </c>
      <c r="J335" s="276">
        <f t="shared" ref="J335:J336" si="880">SUM(G335:I335)</f>
        <v>526.85699999328199</v>
      </c>
      <c r="K335" s="276"/>
      <c r="L335" s="276">
        <v>432.42099999775286</v>
      </c>
      <c r="M335" s="276">
        <v>32.858999999979034</v>
      </c>
      <c r="N335" s="276">
        <v>49.60700000093351</v>
      </c>
      <c r="O335" s="276">
        <f t="shared" ref="O335:O336" si="881">SUM(L335:N335)</f>
        <v>514.88699999866549</v>
      </c>
      <c r="P335" s="276"/>
      <c r="Q335" s="276">
        <v>460.30600000001397</v>
      </c>
      <c r="R335" s="276">
        <v>35.440999999660377</v>
      </c>
      <c r="S335" s="276">
        <v>54.339000002504477</v>
      </c>
      <c r="T335" s="276">
        <f t="shared" ref="T335:T336" si="882">SUM(Q335:S335)</f>
        <v>550.08600000217882</v>
      </c>
      <c r="U335" s="276"/>
      <c r="V335" s="276">
        <v>490.10899999837153</v>
      </c>
      <c r="W335" s="276">
        <v>38.39699999961806</v>
      </c>
      <c r="X335" s="276">
        <v>59.654000001834056</v>
      </c>
      <c r="Y335" s="276">
        <f t="shared" ref="Y335:Y336" si="883">SUM(V335:X335)</f>
        <v>588.15999999982375</v>
      </c>
    </row>
    <row r="336" spans="1:25" ht="12.6">
      <c r="A336" s="236" t="s">
        <v>146</v>
      </c>
      <c r="B336" s="276">
        <f>SUM(B334:B335)</f>
        <v>517.87399999152512</v>
      </c>
      <c r="C336" s="276">
        <f t="shared" ref="C336" si="884">SUM(C334:C335)</f>
        <v>63.175999999144345</v>
      </c>
      <c r="D336" s="276">
        <f t="shared" ref="D336" si="885">SUM(D334:D335)</f>
        <v>65.402000000473052</v>
      </c>
      <c r="E336" s="276">
        <f t="shared" si="879"/>
        <v>646.45199999114254</v>
      </c>
      <c r="F336" s="276"/>
      <c r="G336" s="276">
        <f>SUM(G334:G335)</f>
        <v>603.22499999186562</v>
      </c>
      <c r="H336" s="276">
        <f t="shared" ref="H336" si="886">SUM(H334:H335)</f>
        <v>78.61799999902297</v>
      </c>
      <c r="I336" s="276">
        <f t="shared" ref="I336" si="887">SUM(I334:I335)</f>
        <v>43.08499999986492</v>
      </c>
      <c r="J336" s="276">
        <f t="shared" si="880"/>
        <v>724.92799999075351</v>
      </c>
      <c r="K336" s="276"/>
      <c r="L336" s="276">
        <f>SUM(L334:L335)</f>
        <v>595.72999999644117</v>
      </c>
      <c r="M336" s="276">
        <f t="shared" ref="M336" si="888">SUM(M334:M335)</f>
        <v>71.987999999661582</v>
      </c>
      <c r="N336" s="276">
        <f t="shared" ref="N336" si="889">SUM(N334:N335)</f>
        <v>65.734000000653552</v>
      </c>
      <c r="O336" s="276">
        <f t="shared" si="881"/>
        <v>733.45199999675629</v>
      </c>
      <c r="P336" s="276"/>
      <c r="Q336" s="276">
        <f>SUM(Q334:Q335)</f>
        <v>639.47500000340801</v>
      </c>
      <c r="R336" s="276">
        <f t="shared" ref="R336" si="890">SUM(R334:R335)</f>
        <v>76.762999999257573</v>
      </c>
      <c r="S336" s="276">
        <f t="shared" ref="S336" si="891">SUM(S334:S335)</f>
        <v>71.976000002404064</v>
      </c>
      <c r="T336" s="276">
        <f t="shared" si="882"/>
        <v>788.21400000506958</v>
      </c>
      <c r="U336" s="276"/>
      <c r="V336" s="276">
        <f>SUM(V334:V335)</f>
        <v>691.23500000382762</v>
      </c>
      <c r="W336" s="276">
        <f t="shared" ref="W336" si="892">SUM(W334:W335)</f>
        <v>81.283999999567342</v>
      </c>
      <c r="X336" s="276">
        <f t="shared" ref="X336" si="893">SUM(X334:X335)</f>
        <v>78.854000001843914</v>
      </c>
      <c r="Y336" s="276">
        <f t="shared" si="883"/>
        <v>851.37300000523885</v>
      </c>
    </row>
    <row r="337" spans="1:25">
      <c r="C337" s="290"/>
      <c r="D337" s="290"/>
      <c r="E337" s="290"/>
      <c r="F337" s="290"/>
      <c r="G337" s="290"/>
      <c r="H337" s="290"/>
      <c r="I337" s="290"/>
      <c r="J337" s="290"/>
      <c r="K337" s="290"/>
      <c r="L337" s="290"/>
      <c r="M337" s="290"/>
      <c r="N337" s="290"/>
      <c r="O337" s="290"/>
      <c r="P337" s="290"/>
      <c r="Q337" s="290"/>
      <c r="R337" s="290"/>
      <c r="S337" s="290"/>
      <c r="T337" s="290"/>
      <c r="U337" s="290"/>
      <c r="V337" s="290"/>
      <c r="W337" s="290"/>
      <c r="X337" s="290"/>
      <c r="Y337" s="290"/>
    </row>
    <row r="338" spans="1:25">
      <c r="A338" s="237" t="str">
        <f>name!A49</f>
        <v>Information services</v>
      </c>
      <c r="C338" s="239"/>
    </row>
    <row r="339" spans="1:25" ht="12.6">
      <c r="A339" s="236" t="s">
        <v>145</v>
      </c>
      <c r="B339" s="276">
        <v>31.714999999783554</v>
      </c>
      <c r="C339" s="276">
        <v>4.0780000000151357</v>
      </c>
      <c r="D339" s="276">
        <v>1.9040000000358486</v>
      </c>
      <c r="E339" s="276">
        <f>SUM(B339:D339)</f>
        <v>37.696999999834539</v>
      </c>
      <c r="F339" s="276"/>
      <c r="G339" s="276">
        <v>28.624999999760504</v>
      </c>
      <c r="H339" s="276">
        <v>5.6130000000202855</v>
      </c>
      <c r="I339" s="276">
        <v>0.74700000001609734</v>
      </c>
      <c r="J339" s="276">
        <f>SUM(G339:I339)</f>
        <v>34.984999999796891</v>
      </c>
      <c r="K339" s="276"/>
      <c r="L339" s="276">
        <v>33.406999999822219</v>
      </c>
      <c r="M339" s="276">
        <v>3.8099999999994827</v>
      </c>
      <c r="N339" s="276">
        <v>1.6599999999646808</v>
      </c>
      <c r="O339" s="276">
        <f>SUM(L339:N339)</f>
        <v>38.876999999786385</v>
      </c>
      <c r="P339" s="276"/>
      <c r="Q339" s="276">
        <v>36.791000000524377</v>
      </c>
      <c r="R339" s="276">
        <v>4.0309999999951716</v>
      </c>
      <c r="S339" s="276">
        <v>1.824999999995</v>
      </c>
      <c r="T339" s="276">
        <f>SUM(Q339:S339)</f>
        <v>42.647000000514552</v>
      </c>
      <c r="U339" s="276"/>
      <c r="V339" s="276">
        <v>41.50300000077511</v>
      </c>
      <c r="W339" s="276">
        <v>4.191000000016559</v>
      </c>
      <c r="X339" s="276">
        <v>1.9009999999913605</v>
      </c>
      <c r="Y339" s="276">
        <f>SUM(V339:X339)</f>
        <v>47.595000000783031</v>
      </c>
    </row>
    <row r="340" spans="1:25" ht="12.6">
      <c r="A340" s="236" t="s">
        <v>144</v>
      </c>
      <c r="B340" s="276">
        <v>46.73499999938192</v>
      </c>
      <c r="C340" s="276">
        <v>2.8690000000222367</v>
      </c>
      <c r="D340" s="276">
        <v>5.8700000000553443</v>
      </c>
      <c r="E340" s="276">
        <f t="shared" ref="E340:E341" si="894">SUM(B340:D340)</f>
        <v>55.473999999459501</v>
      </c>
      <c r="F340" s="276"/>
      <c r="G340" s="276">
        <v>43.814999999510775</v>
      </c>
      <c r="H340" s="276">
        <v>3.2700000000210858</v>
      </c>
      <c r="I340" s="276">
        <v>3.4419999999885884</v>
      </c>
      <c r="J340" s="276">
        <f t="shared" ref="J340:J341" si="895">SUM(G340:I340)</f>
        <v>50.526999999520449</v>
      </c>
      <c r="K340" s="276"/>
      <c r="L340" s="276">
        <v>40.916999999959472</v>
      </c>
      <c r="M340" s="276">
        <v>4.8620000000109345</v>
      </c>
      <c r="N340" s="276">
        <v>4.2820000000939151</v>
      </c>
      <c r="O340" s="276">
        <f t="shared" ref="O340:O341" si="896">SUM(L340:N340)</f>
        <v>50.061000000064325</v>
      </c>
      <c r="P340" s="276"/>
      <c r="Q340" s="276">
        <v>43.702000000112506</v>
      </c>
      <c r="R340" s="276">
        <v>5.2470000000110355</v>
      </c>
      <c r="S340" s="276">
        <v>4.7040000002307982</v>
      </c>
      <c r="T340" s="276">
        <f t="shared" ref="T340:T341" si="897">SUM(Q340:S340)</f>
        <v>53.653000000354339</v>
      </c>
      <c r="U340" s="276"/>
      <c r="V340" s="276">
        <v>46.713000000039521</v>
      </c>
      <c r="W340" s="276">
        <v>5.6780000000118811</v>
      </c>
      <c r="X340" s="276">
        <v>5.1820000001954742</v>
      </c>
      <c r="Y340" s="276">
        <f t="shared" ref="Y340:Y341" si="898">SUM(V340:X340)</f>
        <v>57.573000000246878</v>
      </c>
    </row>
    <row r="341" spans="1:25" ht="12.6">
      <c r="A341" s="236" t="s">
        <v>146</v>
      </c>
      <c r="B341" s="276">
        <f>SUM(B339:B340)</f>
        <v>78.44999999916547</v>
      </c>
      <c r="C341" s="276">
        <f t="shared" ref="C341" si="899">SUM(C339:C340)</f>
        <v>6.9470000000373719</v>
      </c>
      <c r="D341" s="276">
        <f t="shared" ref="D341" si="900">SUM(D339:D340)</f>
        <v>7.7740000000911929</v>
      </c>
      <c r="E341" s="276">
        <f t="shared" si="894"/>
        <v>93.17099999929404</v>
      </c>
      <c r="F341" s="276"/>
      <c r="G341" s="276">
        <f>SUM(G339:G340)</f>
        <v>72.439999999271279</v>
      </c>
      <c r="H341" s="276">
        <f t="shared" ref="H341" si="901">SUM(H339:H340)</f>
        <v>8.8830000000413705</v>
      </c>
      <c r="I341" s="276">
        <f t="shared" ref="I341" si="902">SUM(I339:I340)</f>
        <v>4.1890000000046861</v>
      </c>
      <c r="J341" s="276">
        <f t="shared" si="895"/>
        <v>85.511999999317339</v>
      </c>
      <c r="K341" s="276"/>
      <c r="L341" s="276">
        <f>SUM(L339:L340)</f>
        <v>74.323999999781691</v>
      </c>
      <c r="M341" s="276">
        <f t="shared" ref="M341" si="903">SUM(M339:M340)</f>
        <v>8.6720000000104172</v>
      </c>
      <c r="N341" s="276">
        <f t="shared" ref="N341" si="904">SUM(N339:N340)</f>
        <v>5.942000000058596</v>
      </c>
      <c r="O341" s="276">
        <f t="shared" si="896"/>
        <v>88.937999999850703</v>
      </c>
      <c r="P341" s="276"/>
      <c r="Q341" s="276">
        <f>SUM(Q339:Q340)</f>
        <v>80.493000000636883</v>
      </c>
      <c r="R341" s="276">
        <f t="shared" ref="R341" si="905">SUM(R339:R340)</f>
        <v>9.2780000000062071</v>
      </c>
      <c r="S341" s="276">
        <f t="shared" ref="S341" si="906">SUM(S339:S340)</f>
        <v>6.529000000225798</v>
      </c>
      <c r="T341" s="276">
        <f t="shared" si="897"/>
        <v>96.300000000868877</v>
      </c>
      <c r="U341" s="276"/>
      <c r="V341" s="276">
        <f>SUM(V339:V340)</f>
        <v>88.216000000814631</v>
      </c>
      <c r="W341" s="276">
        <f t="shared" ref="W341" si="907">SUM(W339:W340)</f>
        <v>9.8690000000284392</v>
      </c>
      <c r="X341" s="276">
        <f t="shared" ref="X341" si="908">SUM(X339:X340)</f>
        <v>7.0830000001868347</v>
      </c>
      <c r="Y341" s="276">
        <f t="shared" si="898"/>
        <v>105.1680000010299</v>
      </c>
    </row>
    <row r="342" spans="1:25" ht="12.6">
      <c r="C342" s="239"/>
    </row>
    <row r="343" spans="1:25">
      <c r="A343" s="237" t="s">
        <v>156</v>
      </c>
      <c r="C343" s="239"/>
    </row>
    <row r="344" spans="1:25" ht="12.6">
      <c r="A344" s="236" t="s">
        <v>145</v>
      </c>
      <c r="B344" s="276">
        <f>SUM(B329,B334,B339)</f>
        <v>184.36499999792355</v>
      </c>
      <c r="C344" s="276">
        <f t="shared" ref="C344:D344" si="909">SUM(C329,C334,C339)</f>
        <v>56.098999999615373</v>
      </c>
      <c r="D344" s="276">
        <f t="shared" si="909"/>
        <v>19.219000000149748</v>
      </c>
      <c r="E344" s="276">
        <f>SUM(B344:D344)</f>
        <v>259.68299999768863</v>
      </c>
      <c r="F344" s="276"/>
      <c r="G344" s="276">
        <f>SUM(G329,G334,G339)</f>
        <v>192.79399999749046</v>
      </c>
      <c r="H344" s="276">
        <f t="shared" ref="H344:I344" si="910">SUM(H329,H334,H339)</f>
        <v>66.884999999508821</v>
      </c>
      <c r="I344" s="276">
        <f t="shared" si="910"/>
        <v>6.1600000000379813</v>
      </c>
      <c r="J344" s="276">
        <f>SUM(G344:I344)</f>
        <v>265.83899999703726</v>
      </c>
      <c r="K344" s="276"/>
      <c r="L344" s="276">
        <f>SUM(L329,L334,L339)</f>
        <v>224.40699999822283</v>
      </c>
      <c r="M344" s="276">
        <f t="shared" ref="M344:N344" si="911">SUM(M329,M334,M339)</f>
        <v>47.947999999745001</v>
      </c>
      <c r="N344" s="276">
        <f t="shared" si="911"/>
        <v>18.261999999679624</v>
      </c>
      <c r="O344" s="276">
        <f>SUM(L344:N344)</f>
        <v>290.61699999764744</v>
      </c>
      <c r="P344" s="276"/>
      <c r="Q344" s="276">
        <f>SUM(Q329,Q334,Q339)</f>
        <v>246.31200000463323</v>
      </c>
      <c r="R344" s="276">
        <f t="shared" ref="R344:S344" si="912">SUM(R329,R334,R339)</f>
        <v>50.651999999748057</v>
      </c>
      <c r="S344" s="276">
        <f t="shared" si="912"/>
        <v>19.895999999893426</v>
      </c>
      <c r="T344" s="276">
        <f>SUM(Q344:S344)</f>
        <v>316.86000000427475</v>
      </c>
      <c r="U344" s="276"/>
      <c r="V344" s="276">
        <f>SUM(V329,V334,V339)</f>
        <v>276.6570000074658</v>
      </c>
      <c r="W344" s="276">
        <f t="shared" ref="W344:X344" si="913">SUM(W329,W334,W339)</f>
        <v>52.581000000208391</v>
      </c>
      <c r="X344" s="276">
        <f t="shared" si="913"/>
        <v>21.507000000000954</v>
      </c>
      <c r="Y344" s="276">
        <f>SUM(V344:X344)</f>
        <v>350.74500000767517</v>
      </c>
    </row>
    <row r="345" spans="1:25" ht="12.6">
      <c r="A345" s="236" t="s">
        <v>144</v>
      </c>
      <c r="B345" s="276">
        <f>SUM(B330,B335,B340)</f>
        <v>573.45399999065421</v>
      </c>
      <c r="C345" s="276">
        <f t="shared" ref="C345:D345" si="914">SUM(C330,C335,C340)</f>
        <v>28.587999999717912</v>
      </c>
      <c r="D345" s="276">
        <f t="shared" si="914"/>
        <v>74.1620000005245</v>
      </c>
      <c r="E345" s="276">
        <f t="shared" ref="E345:E346" si="915">SUM(B345:D345)</f>
        <v>676.20399999089659</v>
      </c>
      <c r="F345" s="276"/>
      <c r="G345" s="276">
        <f>SUM(G330,G335,G340)</f>
        <v>645.29199999196317</v>
      </c>
      <c r="H345" s="276">
        <f t="shared" ref="H345:I345" si="916">SUM(H330,H335,H340)</f>
        <v>32.168999999683002</v>
      </c>
      <c r="I345" s="276">
        <f t="shared" si="916"/>
        <v>51.765999999852426</v>
      </c>
      <c r="J345" s="276">
        <f t="shared" ref="J345:J346" si="917">SUM(G345:I345)</f>
        <v>729.22699999149859</v>
      </c>
      <c r="K345" s="276"/>
      <c r="L345" s="276">
        <f>SUM(L330,L335,L340)</f>
        <v>601.09199999660564</v>
      </c>
      <c r="M345" s="276">
        <f t="shared" ref="M345:N345" si="918">SUM(M330,M335,M340)</f>
        <v>43.161999999966554</v>
      </c>
      <c r="N345" s="276">
        <f t="shared" si="918"/>
        <v>66.229000001156962</v>
      </c>
      <c r="O345" s="276">
        <f t="shared" ref="O345:O346" si="919">SUM(L345:N345)</f>
        <v>710.48299999772917</v>
      </c>
      <c r="P345" s="276"/>
      <c r="Q345" s="276">
        <f>SUM(Q330,Q335,Q340)</f>
        <v>639.79099999991024</v>
      </c>
      <c r="R345" s="276">
        <f t="shared" ref="R345:S345" si="920">SUM(R330,R335,R340)</f>
        <v>46.563999999698297</v>
      </c>
      <c r="S345" s="276">
        <f t="shared" si="920"/>
        <v>72.534000003085637</v>
      </c>
      <c r="T345" s="276">
        <f t="shared" ref="T345:T346" si="921">SUM(Q345:S345)</f>
        <v>758.88900000269416</v>
      </c>
      <c r="U345" s="276"/>
      <c r="V345" s="276">
        <f>SUM(V330,V335,V340)</f>
        <v>681.11199999778069</v>
      </c>
      <c r="W345" s="276">
        <f t="shared" ref="W345:X345" si="922">SUM(W330,W335,W340)</f>
        <v>50.442999999654319</v>
      </c>
      <c r="X345" s="276">
        <f t="shared" si="922"/>
        <v>79.613000002275953</v>
      </c>
      <c r="Y345" s="276">
        <f t="shared" ref="Y345:Y346" si="923">SUM(V345:X345)</f>
        <v>811.16799999971101</v>
      </c>
    </row>
    <row r="346" spans="1:25" ht="12.6">
      <c r="A346" s="240" t="s">
        <v>146</v>
      </c>
      <c r="B346" s="277">
        <f>SUM(B344:B345)</f>
        <v>757.81899998857773</v>
      </c>
      <c r="C346" s="277">
        <f t="shared" ref="C346" si="924">SUM(C344:C345)</f>
        <v>84.686999999333281</v>
      </c>
      <c r="D346" s="277">
        <f t="shared" ref="D346" si="925">SUM(D344:D345)</f>
        <v>93.381000000674248</v>
      </c>
      <c r="E346" s="277">
        <f t="shared" si="915"/>
        <v>935.88699998858522</v>
      </c>
      <c r="F346" s="277"/>
      <c r="G346" s="277">
        <f>SUM(G344:G345)</f>
        <v>838.08599998945363</v>
      </c>
      <c r="H346" s="277">
        <f t="shared" ref="H346" si="926">SUM(H344:H345)</f>
        <v>99.053999999191831</v>
      </c>
      <c r="I346" s="277">
        <f t="shared" ref="I346" si="927">SUM(I344:I345)</f>
        <v>57.925999999890408</v>
      </c>
      <c r="J346" s="277">
        <f t="shared" si="917"/>
        <v>995.06599998853596</v>
      </c>
      <c r="K346" s="277"/>
      <c r="L346" s="277">
        <f>SUM(L344:L345)</f>
        <v>825.49899999482841</v>
      </c>
      <c r="M346" s="277">
        <f t="shared" ref="M346" si="928">SUM(M344:M345)</f>
        <v>91.109999999711562</v>
      </c>
      <c r="N346" s="277">
        <f t="shared" ref="N346" si="929">SUM(N344:N345)</f>
        <v>84.491000000836578</v>
      </c>
      <c r="O346" s="277">
        <f t="shared" si="919"/>
        <v>1001.0999999953766</v>
      </c>
      <c r="P346" s="277"/>
      <c r="Q346" s="277">
        <f>SUM(Q344:Q345)</f>
        <v>886.10300000454345</v>
      </c>
      <c r="R346" s="277">
        <f t="shared" ref="R346" si="930">SUM(R344:R345)</f>
        <v>97.215999999446353</v>
      </c>
      <c r="S346" s="277">
        <f t="shared" ref="S346" si="931">SUM(S344:S345)</f>
        <v>92.430000002979057</v>
      </c>
      <c r="T346" s="277">
        <f t="shared" si="921"/>
        <v>1075.7490000069688</v>
      </c>
      <c r="U346" s="277"/>
      <c r="V346" s="277">
        <f>SUM(V344:V345)</f>
        <v>957.76900000524643</v>
      </c>
      <c r="W346" s="277">
        <f t="shared" ref="W346" si="932">SUM(W344:W345)</f>
        <v>103.02399999986271</v>
      </c>
      <c r="X346" s="277">
        <f t="shared" ref="X346" si="933">SUM(X344:X345)</f>
        <v>101.12000000227691</v>
      </c>
      <c r="Y346" s="277">
        <f t="shared" si="923"/>
        <v>1161.913000007386</v>
      </c>
    </row>
    <row r="347" spans="1:25">
      <c r="A347" s="238"/>
    </row>
    <row r="348" spans="1:25">
      <c r="A348" s="237"/>
    </row>
    <row r="349" spans="1:25" ht="12.6">
      <c r="C349" s="239"/>
    </row>
    <row r="350" spans="1:25" ht="14.1">
      <c r="A350" s="241" t="str">
        <f>"Industry 14 : "&amp; name!B17</f>
        <v>Industry 14 : Finance and insurance</v>
      </c>
      <c r="B350" s="366">
        <f>$B$5</f>
        <v>2015</v>
      </c>
      <c r="C350" s="366"/>
      <c r="D350" s="366"/>
      <c r="E350" s="366"/>
      <c r="F350" s="291"/>
      <c r="G350" s="366">
        <f>$G$5</f>
        <v>2019</v>
      </c>
      <c r="H350" s="366"/>
      <c r="I350" s="366"/>
      <c r="J350" s="366"/>
      <c r="K350" s="291"/>
      <c r="L350" s="366">
        <f>$L$5</f>
        <v>2020</v>
      </c>
      <c r="M350" s="366"/>
      <c r="N350" s="366"/>
      <c r="O350" s="366"/>
      <c r="P350" s="289"/>
      <c r="Q350" s="366">
        <f>$Q$5</f>
        <v>2025</v>
      </c>
      <c r="R350" s="366"/>
      <c r="S350" s="366"/>
      <c r="T350" s="366"/>
      <c r="U350" s="291"/>
      <c r="V350" s="366">
        <f>$V$5</f>
        <v>2035</v>
      </c>
      <c r="W350" s="366"/>
      <c r="X350" s="366"/>
      <c r="Y350" s="366"/>
    </row>
    <row r="351" spans="1:25">
      <c r="A351" s="240"/>
      <c r="B351" s="244" t="str">
        <f>$B$6</f>
        <v>FT</v>
      </c>
      <c r="C351" s="244" t="str">
        <f>$C$6</f>
        <v>PT</v>
      </c>
      <c r="D351" s="244" t="str">
        <f>$D$6</f>
        <v>SE</v>
      </c>
      <c r="E351" s="244" t="str">
        <f>$E$6</f>
        <v>Total</v>
      </c>
      <c r="F351" s="244"/>
      <c r="G351" s="244" t="str">
        <f>$B$6</f>
        <v>FT</v>
      </c>
      <c r="H351" s="244" t="str">
        <f>$C$6</f>
        <v>PT</v>
      </c>
      <c r="I351" s="244" t="str">
        <f>$D$6</f>
        <v>SE</v>
      </c>
      <c r="J351" s="244" t="str">
        <f>$E$6</f>
        <v>Total</v>
      </c>
      <c r="K351" s="244"/>
      <c r="L351" s="244" t="str">
        <f>$L$6</f>
        <v>FT</v>
      </c>
      <c r="M351" s="244" t="str">
        <f>$M$6</f>
        <v>PT</v>
      </c>
      <c r="N351" s="244" t="str">
        <f>$N$6</f>
        <v>SE</v>
      </c>
      <c r="O351" s="244" t="str">
        <f>$O$6</f>
        <v>Total</v>
      </c>
      <c r="P351" s="244"/>
      <c r="Q351" s="244" t="str">
        <f>$L$6</f>
        <v>FT</v>
      </c>
      <c r="R351" s="244" t="str">
        <f>$M$6</f>
        <v>PT</v>
      </c>
      <c r="S351" s="244" t="str">
        <f>$N$6</f>
        <v>SE</v>
      </c>
      <c r="T351" s="244" t="str">
        <f>$O$6</f>
        <v>Total</v>
      </c>
      <c r="U351" s="244"/>
      <c r="V351" s="244" t="str">
        <f>$V$6</f>
        <v>FT</v>
      </c>
      <c r="W351" s="244" t="str">
        <f>$W$6</f>
        <v>PT</v>
      </c>
      <c r="X351" s="244" t="str">
        <f>$X$6</f>
        <v>SE</v>
      </c>
      <c r="Y351" s="244" t="str">
        <f>$Y$6</f>
        <v>Total</v>
      </c>
    </row>
    <row r="352" spans="1:25">
      <c r="C352" s="290"/>
      <c r="D352" s="290"/>
      <c r="E352" s="290"/>
      <c r="F352" s="290"/>
      <c r="G352" s="290"/>
      <c r="H352" s="290"/>
      <c r="I352" s="290"/>
      <c r="J352" s="290"/>
      <c r="K352" s="290"/>
      <c r="L352" s="290"/>
      <c r="M352" s="290"/>
      <c r="N352" s="290"/>
      <c r="O352" s="290"/>
      <c r="P352" s="290"/>
      <c r="Q352" s="290"/>
      <c r="R352" s="290"/>
      <c r="S352" s="290"/>
      <c r="T352" s="290"/>
      <c r="U352" s="290"/>
      <c r="V352" s="290"/>
      <c r="W352" s="290"/>
      <c r="X352" s="290"/>
      <c r="Y352" s="290"/>
    </row>
    <row r="353" spans="1:25">
      <c r="A353" s="237" t="str">
        <f>name!A50</f>
        <v>Financial services</v>
      </c>
      <c r="C353" s="239"/>
    </row>
    <row r="354" spans="1:25" ht="12.6">
      <c r="A354" s="236" t="s">
        <v>145</v>
      </c>
      <c r="B354" s="276">
        <v>135.57999999854721</v>
      </c>
      <c r="C354" s="276">
        <v>64.886000000347963</v>
      </c>
      <c r="D354" s="276">
        <v>4.3990000001055902</v>
      </c>
      <c r="E354" s="276">
        <f>SUM(B354:D354)</f>
        <v>204.86499999900076</v>
      </c>
      <c r="F354" s="276"/>
      <c r="G354" s="276">
        <v>135.50399999796585</v>
      </c>
      <c r="H354" s="276">
        <v>54.879000000373686</v>
      </c>
      <c r="I354" s="276">
        <v>1.713000000035342</v>
      </c>
      <c r="J354" s="276">
        <f>SUM(G354:I354)</f>
        <v>192.09599999837488</v>
      </c>
      <c r="K354" s="276"/>
      <c r="L354" s="276">
        <v>138.04699999860318</v>
      </c>
      <c r="M354" s="276">
        <v>57.408000000243504</v>
      </c>
      <c r="N354" s="276">
        <v>2.4259999999500392</v>
      </c>
      <c r="O354" s="276">
        <f>SUM(L354:N354)</f>
        <v>197.88099999879674</v>
      </c>
      <c r="P354" s="276"/>
      <c r="Q354" s="276">
        <v>137.83200000335827</v>
      </c>
      <c r="R354" s="276">
        <v>56.638000000391791</v>
      </c>
      <c r="S354" s="276">
        <v>2.2279999999938149</v>
      </c>
      <c r="T354" s="276">
        <f>SUM(Q354:S354)</f>
        <v>196.69800000374389</v>
      </c>
      <c r="U354" s="276"/>
      <c r="V354" s="276">
        <v>134.12900000464663</v>
      </c>
      <c r="W354" s="276">
        <v>54.337000000747842</v>
      </c>
      <c r="X354" s="276">
        <v>2.1469999999957055</v>
      </c>
      <c r="Y354" s="276">
        <f>SUM(V354:X354)</f>
        <v>190.61300000539018</v>
      </c>
    </row>
    <row r="355" spans="1:25" ht="12.6">
      <c r="A355" s="236" t="s">
        <v>144</v>
      </c>
      <c r="B355" s="276">
        <v>215.81399999662489</v>
      </c>
      <c r="C355" s="276">
        <v>8.7910000000053277</v>
      </c>
      <c r="D355" s="276">
        <v>24.080000000296391</v>
      </c>
      <c r="E355" s="276">
        <f t="shared" ref="E355:E356" si="934">SUM(B355:D355)</f>
        <v>248.68499999692662</v>
      </c>
      <c r="F355" s="276"/>
      <c r="G355" s="276">
        <v>222.31599999745242</v>
      </c>
      <c r="H355" s="276">
        <v>8.2630000000263966</v>
      </c>
      <c r="I355" s="276">
        <v>20.089999999985249</v>
      </c>
      <c r="J355" s="276">
        <f t="shared" ref="J355:J356" si="935">SUM(G355:I355)</f>
        <v>250.66899999746408</v>
      </c>
      <c r="K355" s="276"/>
      <c r="L355" s="276">
        <v>220.3229999997003</v>
      </c>
      <c r="M355" s="276">
        <v>9.7149999999812024</v>
      </c>
      <c r="N355" s="276">
        <v>9.2460000002011409</v>
      </c>
      <c r="O355" s="276">
        <f t="shared" ref="O355:O356" si="936">SUM(L355:N355)</f>
        <v>239.28399999988267</v>
      </c>
      <c r="P355" s="276"/>
      <c r="Q355" s="276">
        <v>221.55000000127839</v>
      </c>
      <c r="R355" s="276">
        <v>10.1499999999937</v>
      </c>
      <c r="S355" s="276">
        <v>8.7390000004959987</v>
      </c>
      <c r="T355" s="276">
        <f t="shared" ref="T355:T356" si="937">SUM(Q355:S355)</f>
        <v>240.43900000176808</v>
      </c>
      <c r="U355" s="276"/>
      <c r="V355" s="276">
        <v>217.85800000142905</v>
      </c>
      <c r="W355" s="276">
        <v>10.602999999979248</v>
      </c>
      <c r="X355" s="276">
        <v>8.5710000004111873</v>
      </c>
      <c r="Y355" s="276">
        <f t="shared" ref="Y355:Y356" si="938">SUM(V355:X355)</f>
        <v>237.03200000181948</v>
      </c>
    </row>
    <row r="356" spans="1:25" ht="12.6">
      <c r="A356" s="236" t="s">
        <v>146</v>
      </c>
      <c r="B356" s="276">
        <f>SUM(B354:B355)</f>
        <v>351.39399999517207</v>
      </c>
      <c r="C356" s="276">
        <f t="shared" ref="C356" si="939">SUM(C354:C355)</f>
        <v>73.677000000353289</v>
      </c>
      <c r="D356" s="276">
        <f t="shared" ref="D356" si="940">SUM(D354:D355)</f>
        <v>28.479000000401982</v>
      </c>
      <c r="E356" s="276">
        <f t="shared" si="934"/>
        <v>453.54999999592735</v>
      </c>
      <c r="F356" s="276"/>
      <c r="G356" s="276">
        <f>SUM(G354:G355)</f>
        <v>357.81999999541824</v>
      </c>
      <c r="H356" s="276">
        <f t="shared" ref="H356" si="941">SUM(H354:H355)</f>
        <v>63.142000000400081</v>
      </c>
      <c r="I356" s="276">
        <f t="shared" ref="I356" si="942">SUM(I354:I355)</f>
        <v>21.803000000020592</v>
      </c>
      <c r="J356" s="276">
        <f t="shared" si="935"/>
        <v>442.76499999583888</v>
      </c>
      <c r="K356" s="276"/>
      <c r="L356" s="276">
        <f>SUM(L354:L355)</f>
        <v>358.36999999830346</v>
      </c>
      <c r="M356" s="276">
        <f t="shared" ref="M356" si="943">SUM(M354:M355)</f>
        <v>67.123000000224707</v>
      </c>
      <c r="N356" s="276">
        <f t="shared" ref="N356" si="944">SUM(N354:N355)</f>
        <v>11.672000000151179</v>
      </c>
      <c r="O356" s="276">
        <f t="shared" si="936"/>
        <v>437.16499999867932</v>
      </c>
      <c r="P356" s="276"/>
      <c r="Q356" s="276">
        <f>SUM(Q354:Q355)</f>
        <v>359.38200000463667</v>
      </c>
      <c r="R356" s="276">
        <f t="shared" ref="R356" si="945">SUM(R354:R355)</f>
        <v>66.788000000385495</v>
      </c>
      <c r="S356" s="276">
        <f t="shared" ref="S356" si="946">SUM(S354:S355)</f>
        <v>10.967000000489813</v>
      </c>
      <c r="T356" s="276">
        <f t="shared" si="937"/>
        <v>437.13700000551199</v>
      </c>
      <c r="U356" s="276"/>
      <c r="V356" s="276">
        <f>SUM(V354:V355)</f>
        <v>351.98700000607568</v>
      </c>
      <c r="W356" s="276">
        <f t="shared" ref="W356" si="947">SUM(W354:W355)</f>
        <v>64.940000000727096</v>
      </c>
      <c r="X356" s="276">
        <f t="shared" ref="X356" si="948">SUM(X354:X355)</f>
        <v>10.718000000406892</v>
      </c>
      <c r="Y356" s="276">
        <f t="shared" si="938"/>
        <v>427.64500000720966</v>
      </c>
    </row>
    <row r="357" spans="1:25">
      <c r="C357" s="290"/>
      <c r="D357" s="290"/>
      <c r="E357" s="290"/>
      <c r="F357" s="290"/>
      <c r="G357" s="290"/>
      <c r="H357" s="290"/>
      <c r="I357" s="290"/>
      <c r="J357" s="290"/>
      <c r="K357" s="290"/>
      <c r="L357" s="290"/>
      <c r="M357" s="290"/>
      <c r="N357" s="290"/>
      <c r="O357" s="290"/>
      <c r="P357" s="290"/>
      <c r="Q357" s="290"/>
      <c r="R357" s="290"/>
      <c r="S357" s="290"/>
      <c r="T357" s="290"/>
      <c r="U357" s="290"/>
      <c r="V357" s="290"/>
      <c r="W357" s="290"/>
      <c r="X357" s="290"/>
      <c r="Y357" s="290"/>
    </row>
    <row r="358" spans="1:25">
      <c r="A358" s="237" t="str">
        <f>name!A51</f>
        <v>Insurance and pensions</v>
      </c>
      <c r="C358" s="239"/>
    </row>
    <row r="359" spans="1:25" ht="12.6">
      <c r="A359" s="236" t="s">
        <v>145</v>
      </c>
      <c r="B359" s="276">
        <v>48.454999999543929</v>
      </c>
      <c r="C359" s="276">
        <v>9.3270000000418882</v>
      </c>
      <c r="D359" s="276">
        <v>0.21600000000125047</v>
      </c>
      <c r="E359" s="276">
        <f>SUM(B359:D359)</f>
        <v>57.997999999587073</v>
      </c>
      <c r="F359" s="276"/>
      <c r="G359" s="276">
        <v>58.070999999191557</v>
      </c>
      <c r="H359" s="276">
        <v>8.6450000000440674</v>
      </c>
      <c r="I359" s="276">
        <v>0.26600000000063634</v>
      </c>
      <c r="J359" s="276">
        <f>SUM(G359:I359)</f>
        <v>66.981999999236251</v>
      </c>
      <c r="K359" s="276"/>
      <c r="L359" s="276">
        <v>58.512999999520993</v>
      </c>
      <c r="M359" s="276">
        <v>8.7640000000346134</v>
      </c>
      <c r="N359" s="276">
        <v>0.56799999999401896</v>
      </c>
      <c r="O359" s="276">
        <f>SUM(L359:N359)</f>
        <v>67.844999999549628</v>
      </c>
      <c r="P359" s="276"/>
      <c r="Q359" s="276">
        <v>58.093000001231417</v>
      </c>
      <c r="R359" s="276">
        <v>8.5930000000628546</v>
      </c>
      <c r="S359" s="276">
        <v>0.47300000000149428</v>
      </c>
      <c r="T359" s="276">
        <f>SUM(Q359:S359)</f>
        <v>67.159000001295766</v>
      </c>
      <c r="U359" s="276"/>
      <c r="V359" s="276">
        <v>56.019000001604077</v>
      </c>
      <c r="W359" s="276">
        <v>8.1500000000961652</v>
      </c>
      <c r="X359" s="276">
        <v>0.35200000000070025</v>
      </c>
      <c r="Y359" s="276">
        <f>SUM(V359:X359)</f>
        <v>64.521000001700941</v>
      </c>
    </row>
    <row r="360" spans="1:25" ht="12.6">
      <c r="A360" s="236" t="s">
        <v>144</v>
      </c>
      <c r="B360" s="276">
        <v>40.410999999496745</v>
      </c>
      <c r="C360" s="276">
        <v>1.5760000000097913</v>
      </c>
      <c r="D360" s="276">
        <v>5.8750000000621947</v>
      </c>
      <c r="E360" s="276">
        <f t="shared" ref="E360:E361" si="949">SUM(B360:D360)</f>
        <v>47.861999999568731</v>
      </c>
      <c r="F360" s="276"/>
      <c r="G360" s="276">
        <v>46.030999999633103</v>
      </c>
      <c r="H360" s="276">
        <v>1.4160000000077408</v>
      </c>
      <c r="I360" s="276">
        <v>4.8300000000109549</v>
      </c>
      <c r="J360" s="276">
        <f t="shared" ref="J360:J361" si="950">SUM(G360:I360)</f>
        <v>52.2769999996518</v>
      </c>
      <c r="K360" s="276"/>
      <c r="L360" s="276">
        <v>46.218999999787968</v>
      </c>
      <c r="M360" s="276">
        <v>1.7299999999986027</v>
      </c>
      <c r="N360" s="276">
        <v>2.57000000002758</v>
      </c>
      <c r="O360" s="276">
        <f t="shared" ref="O360:O361" si="951">SUM(L360:N360)</f>
        <v>50.518999999814156</v>
      </c>
      <c r="P360" s="276"/>
      <c r="Q360" s="276">
        <v>45.983000000052243</v>
      </c>
      <c r="R360" s="276">
        <v>1.7920000000048291</v>
      </c>
      <c r="S360" s="276">
        <v>2.2570000000763959</v>
      </c>
      <c r="T360" s="276">
        <f t="shared" ref="T360:T361" si="952">SUM(Q360:S360)</f>
        <v>50.032000000133465</v>
      </c>
      <c r="U360" s="276"/>
      <c r="V360" s="276">
        <v>44.203999999940976</v>
      </c>
      <c r="W360" s="276">
        <v>1.8390000000058151</v>
      </c>
      <c r="X360" s="276">
        <v>1.7790000000409527</v>
      </c>
      <c r="Y360" s="276">
        <f t="shared" ref="Y360:Y361" si="953">SUM(V360:X360)</f>
        <v>47.821999999987746</v>
      </c>
    </row>
    <row r="361" spans="1:25" ht="12.6">
      <c r="A361" s="236" t="s">
        <v>146</v>
      </c>
      <c r="B361" s="276">
        <f>SUM(B359:B360)</f>
        <v>88.865999999040667</v>
      </c>
      <c r="C361" s="276">
        <f t="shared" ref="C361" si="954">SUM(C359:C360)</f>
        <v>10.90300000005168</v>
      </c>
      <c r="D361" s="276">
        <f t="shared" ref="D361" si="955">SUM(D359:D360)</f>
        <v>6.0910000000634454</v>
      </c>
      <c r="E361" s="276">
        <f t="shared" si="949"/>
        <v>105.85999999915579</v>
      </c>
      <c r="F361" s="276"/>
      <c r="G361" s="276">
        <f>SUM(G359:G360)</f>
        <v>104.10199999882465</v>
      </c>
      <c r="H361" s="276">
        <f t="shared" ref="H361" si="956">SUM(H359:H360)</f>
        <v>10.061000000051809</v>
      </c>
      <c r="I361" s="276">
        <f t="shared" ref="I361" si="957">SUM(I359:I360)</f>
        <v>5.0960000000115908</v>
      </c>
      <c r="J361" s="276">
        <f t="shared" si="950"/>
        <v>119.25899999888804</v>
      </c>
      <c r="K361" s="276"/>
      <c r="L361" s="276">
        <f>SUM(L359:L360)</f>
        <v>104.73199999930895</v>
      </c>
      <c r="M361" s="276">
        <f t="shared" ref="M361" si="958">SUM(M359:M360)</f>
        <v>10.494000000033216</v>
      </c>
      <c r="N361" s="276">
        <f t="shared" ref="N361" si="959">SUM(N359:N360)</f>
        <v>3.1380000000215991</v>
      </c>
      <c r="O361" s="276">
        <f t="shared" si="951"/>
        <v>118.36399999936377</v>
      </c>
      <c r="P361" s="276"/>
      <c r="Q361" s="276">
        <f>SUM(Q359:Q360)</f>
        <v>104.07600000128366</v>
      </c>
      <c r="R361" s="276">
        <f t="shared" ref="R361" si="960">SUM(R359:R360)</f>
        <v>10.385000000067684</v>
      </c>
      <c r="S361" s="276">
        <f t="shared" ref="S361" si="961">SUM(S359:S360)</f>
        <v>2.7300000000778901</v>
      </c>
      <c r="T361" s="276">
        <f t="shared" si="952"/>
        <v>117.19100000142925</v>
      </c>
      <c r="U361" s="276"/>
      <c r="V361" s="276">
        <f>SUM(V359:V360)</f>
        <v>100.22300000154505</v>
      </c>
      <c r="W361" s="276">
        <f t="shared" ref="W361" si="962">SUM(W359:W360)</f>
        <v>9.9890000001019796</v>
      </c>
      <c r="X361" s="276">
        <f t="shared" ref="X361" si="963">SUM(X359:X360)</f>
        <v>2.1310000000416531</v>
      </c>
      <c r="Y361" s="276">
        <f t="shared" si="953"/>
        <v>112.34300000168868</v>
      </c>
    </row>
    <row r="362" spans="1:25">
      <c r="C362" s="290"/>
      <c r="D362" s="290"/>
      <c r="E362" s="290"/>
      <c r="F362" s="290"/>
      <c r="G362" s="290"/>
      <c r="H362" s="290"/>
      <c r="I362" s="290"/>
      <c r="J362" s="290"/>
      <c r="K362" s="290"/>
      <c r="L362" s="290"/>
      <c r="M362" s="290"/>
      <c r="N362" s="290"/>
      <c r="O362" s="290"/>
      <c r="P362" s="290"/>
      <c r="Q362" s="290"/>
      <c r="R362" s="290"/>
      <c r="S362" s="290"/>
      <c r="T362" s="290"/>
      <c r="U362" s="290"/>
      <c r="V362" s="290"/>
      <c r="W362" s="290"/>
      <c r="X362" s="290"/>
      <c r="Y362" s="290"/>
    </row>
    <row r="363" spans="1:25">
      <c r="A363" s="237" t="str">
        <f>name!A52</f>
        <v>Auxiliary financial services</v>
      </c>
      <c r="C363" s="239"/>
    </row>
    <row r="364" spans="1:25" ht="12.6">
      <c r="A364" s="236" t="s">
        <v>145</v>
      </c>
      <c r="B364" s="276">
        <v>137.70499999842352</v>
      </c>
      <c r="C364" s="276">
        <v>37.815000000136557</v>
      </c>
      <c r="D364" s="276">
        <v>12.922000000143104</v>
      </c>
      <c r="E364" s="276">
        <f>SUM(B364:D364)</f>
        <v>188.44199999870318</v>
      </c>
      <c r="F364" s="276"/>
      <c r="G364" s="276">
        <v>145.5319999975907</v>
      </c>
      <c r="H364" s="276">
        <v>36.845000000160013</v>
      </c>
      <c r="I364" s="276">
        <v>18.081000000189359</v>
      </c>
      <c r="J364" s="276">
        <f>SUM(G364:I364)</f>
        <v>200.45799999794008</v>
      </c>
      <c r="K364" s="276"/>
      <c r="L364" s="276">
        <v>148.13299999867971</v>
      </c>
      <c r="M364" s="276">
        <v>38.00200000011219</v>
      </c>
      <c r="N364" s="276">
        <v>14.141999999825655</v>
      </c>
      <c r="O364" s="276">
        <f>SUM(L364:N364)</f>
        <v>200.27699999861755</v>
      </c>
      <c r="P364" s="276"/>
      <c r="Q364" s="276">
        <v>147.44500000368865</v>
      </c>
      <c r="R364" s="276">
        <v>37.328000000206465</v>
      </c>
      <c r="S364" s="276">
        <v>14.94500000000928</v>
      </c>
      <c r="T364" s="276">
        <f>SUM(Q364:S364)</f>
        <v>199.71800000390439</v>
      </c>
      <c r="U364" s="276"/>
      <c r="V364" s="276">
        <v>142.76200000493961</v>
      </c>
      <c r="W364" s="276">
        <v>35.606000000408791</v>
      </c>
      <c r="X364" s="276">
        <v>14.53800000000224</v>
      </c>
      <c r="Y364" s="276">
        <f>SUM(V364:X364)</f>
        <v>192.90600000535062</v>
      </c>
    </row>
    <row r="365" spans="1:25" ht="12.6">
      <c r="A365" s="236" t="s">
        <v>144</v>
      </c>
      <c r="B365" s="276">
        <v>194.17799999679926</v>
      </c>
      <c r="C365" s="276">
        <v>6.4809999999995851</v>
      </c>
      <c r="D365" s="276">
        <v>25.759000000311637</v>
      </c>
      <c r="E365" s="276">
        <f t="shared" ref="E365:E366" si="964">SUM(B365:D365)</f>
        <v>226.41799999711048</v>
      </c>
      <c r="F365" s="276"/>
      <c r="G365" s="276">
        <v>207.87499999735934</v>
      </c>
      <c r="H365" s="276">
        <v>6.7380000000171814</v>
      </c>
      <c r="I365" s="276">
        <v>21.218999999905986</v>
      </c>
      <c r="J365" s="276">
        <f t="shared" ref="J365:J366" si="965">SUM(G365:I365)</f>
        <v>235.83199999728251</v>
      </c>
      <c r="K365" s="276"/>
      <c r="L365" s="276">
        <v>207.21899999970211</v>
      </c>
      <c r="M365" s="276">
        <v>8.156999999984528</v>
      </c>
      <c r="N365" s="276">
        <v>33.984000000718396</v>
      </c>
      <c r="O365" s="276">
        <f t="shared" ref="O365:O366" si="966">SUM(L365:N365)</f>
        <v>249.36000000040502</v>
      </c>
      <c r="P365" s="276"/>
      <c r="Q365" s="276">
        <v>207.44900000095376</v>
      </c>
      <c r="R365" s="276">
        <v>8.4689999999830015</v>
      </c>
      <c r="S365" s="276">
        <v>36.865000002202514</v>
      </c>
      <c r="T365" s="276">
        <f t="shared" ref="T365:T366" si="967">SUM(Q365:S365)</f>
        <v>252.78300000313928</v>
      </c>
      <c r="U365" s="276"/>
      <c r="V365" s="276">
        <v>202.47800000081727</v>
      </c>
      <c r="W365" s="276">
        <v>8.7499999999607851</v>
      </c>
      <c r="X365" s="276">
        <v>37.659000001971094</v>
      </c>
      <c r="Y365" s="276">
        <f t="shared" ref="Y365:Y366" si="968">SUM(V365:X365)</f>
        <v>248.88700000274915</v>
      </c>
    </row>
    <row r="366" spans="1:25" ht="12.6">
      <c r="A366" s="236" t="s">
        <v>146</v>
      </c>
      <c r="B366" s="276">
        <f>SUM(B364:B365)</f>
        <v>331.8829999952228</v>
      </c>
      <c r="C366" s="276">
        <f t="shared" ref="C366" si="969">SUM(C364:C365)</f>
        <v>44.296000000136139</v>
      </c>
      <c r="D366" s="276">
        <f t="shared" ref="D366" si="970">SUM(D364:D365)</f>
        <v>38.681000000454745</v>
      </c>
      <c r="E366" s="276">
        <f t="shared" si="964"/>
        <v>414.85999999581367</v>
      </c>
      <c r="F366" s="276"/>
      <c r="G366" s="276">
        <f>SUM(G364:G365)</f>
        <v>353.40699999495007</v>
      </c>
      <c r="H366" s="276">
        <f t="shared" ref="H366" si="971">SUM(H364:H365)</f>
        <v>43.583000000177194</v>
      </c>
      <c r="I366" s="276">
        <f t="shared" ref="I366" si="972">SUM(I364:I365)</f>
        <v>39.300000000095345</v>
      </c>
      <c r="J366" s="276">
        <f t="shared" si="965"/>
        <v>436.28999999522262</v>
      </c>
      <c r="K366" s="276"/>
      <c r="L366" s="276">
        <f>SUM(L364:L365)</f>
        <v>355.35199999838181</v>
      </c>
      <c r="M366" s="276">
        <f t="shared" ref="M366" si="973">SUM(M364:M365)</f>
        <v>46.159000000096718</v>
      </c>
      <c r="N366" s="276">
        <f t="shared" ref="N366" si="974">SUM(N364:N365)</f>
        <v>48.126000000544053</v>
      </c>
      <c r="O366" s="276">
        <f t="shared" si="966"/>
        <v>449.63699999902258</v>
      </c>
      <c r="P366" s="276"/>
      <c r="Q366" s="276">
        <f>SUM(Q364:Q365)</f>
        <v>354.89400000464241</v>
      </c>
      <c r="R366" s="276">
        <f t="shared" ref="R366" si="975">SUM(R364:R365)</f>
        <v>45.79700000018947</v>
      </c>
      <c r="S366" s="276">
        <f t="shared" ref="S366" si="976">SUM(S364:S365)</f>
        <v>51.810000002211794</v>
      </c>
      <c r="T366" s="276">
        <f t="shared" si="967"/>
        <v>452.50100000704367</v>
      </c>
      <c r="U366" s="276"/>
      <c r="V366" s="276">
        <f>SUM(V364:V365)</f>
        <v>345.24000000575688</v>
      </c>
      <c r="W366" s="276">
        <f t="shared" ref="W366" si="977">SUM(W364:W365)</f>
        <v>44.356000000369576</v>
      </c>
      <c r="X366" s="276">
        <f t="shared" ref="X366" si="978">SUM(X364:X365)</f>
        <v>52.197000001973336</v>
      </c>
      <c r="Y366" s="276">
        <f t="shared" si="968"/>
        <v>441.7930000080998</v>
      </c>
    </row>
    <row r="367" spans="1:25" ht="12.6">
      <c r="C367" s="239"/>
    </row>
    <row r="368" spans="1:25">
      <c r="A368" s="237" t="s">
        <v>157</v>
      </c>
      <c r="C368" s="239"/>
    </row>
    <row r="369" spans="1:25" ht="12.6">
      <c r="A369" s="236" t="s">
        <v>145</v>
      </c>
      <c r="B369" s="276">
        <f>SUM(B354,B359,B364)</f>
        <v>321.73999999651465</v>
      </c>
      <c r="C369" s="276">
        <f t="shared" ref="C369:D369" si="979">SUM(C354,C359,C364)</f>
        <v>112.02800000052642</v>
      </c>
      <c r="D369" s="276">
        <f t="shared" si="979"/>
        <v>17.537000000249947</v>
      </c>
      <c r="E369" s="276">
        <f>SUM(B369:D369)</f>
        <v>451.30499999729102</v>
      </c>
      <c r="F369" s="276"/>
      <c r="G369" s="276">
        <f>SUM(G354,G359,G364)</f>
        <v>339.10699999474809</v>
      </c>
      <c r="H369" s="276">
        <f t="shared" ref="H369:I369" si="980">SUM(H354,H359,H364)</f>
        <v>100.36900000057777</v>
      </c>
      <c r="I369" s="276">
        <f t="shared" si="980"/>
        <v>20.060000000225337</v>
      </c>
      <c r="J369" s="276">
        <f>SUM(G369:I369)</f>
        <v>459.53599999555121</v>
      </c>
      <c r="K369" s="276"/>
      <c r="L369" s="276">
        <f>SUM(L354,L359,L364)</f>
        <v>344.69299999680391</v>
      </c>
      <c r="M369" s="276">
        <f t="shared" ref="M369:N369" si="981">SUM(M354,M359,M364)</f>
        <v>104.17400000039031</v>
      </c>
      <c r="N369" s="276">
        <f t="shared" si="981"/>
        <v>17.135999999769712</v>
      </c>
      <c r="O369" s="276">
        <f>SUM(L369:N369)</f>
        <v>466.00299999696392</v>
      </c>
      <c r="P369" s="276"/>
      <c r="Q369" s="276">
        <f>SUM(Q354,Q359,Q364)</f>
        <v>343.37000000827834</v>
      </c>
      <c r="R369" s="276">
        <f t="shared" ref="R369:S369" si="982">SUM(R354,R359,R364)</f>
        <v>102.55900000066111</v>
      </c>
      <c r="S369" s="276">
        <f t="shared" si="982"/>
        <v>17.646000000004591</v>
      </c>
      <c r="T369" s="276">
        <f>SUM(Q369:S369)</f>
        <v>463.57500000894402</v>
      </c>
      <c r="U369" s="276"/>
      <c r="V369" s="276">
        <f>SUM(V354,V359,V364)</f>
        <v>332.91000001119028</v>
      </c>
      <c r="W369" s="276">
        <f t="shared" ref="W369:X369" si="983">SUM(W354,W359,W364)</f>
        <v>98.09300000125279</v>
      </c>
      <c r="X369" s="276">
        <f t="shared" si="983"/>
        <v>17.036999999998645</v>
      </c>
      <c r="Y369" s="276">
        <f>SUM(V369:X369)</f>
        <v>448.04000001244174</v>
      </c>
    </row>
    <row r="370" spans="1:25" ht="12.6">
      <c r="A370" s="236" t="s">
        <v>144</v>
      </c>
      <c r="B370" s="276">
        <f>SUM(B355,B360,B365)</f>
        <v>450.40299999292091</v>
      </c>
      <c r="C370" s="276">
        <f t="shared" ref="C370:D370" si="984">SUM(C355,C360,C365)</f>
        <v>16.848000000014704</v>
      </c>
      <c r="D370" s="276">
        <f t="shared" si="984"/>
        <v>55.714000000670225</v>
      </c>
      <c r="E370" s="276">
        <f t="shared" ref="E370:E371" si="985">SUM(B370:D370)</f>
        <v>522.96499999360583</v>
      </c>
      <c r="F370" s="276"/>
      <c r="G370" s="276">
        <f>SUM(G355,G360,G365)</f>
        <v>476.22199999444484</v>
      </c>
      <c r="H370" s="276">
        <f t="shared" ref="H370:I370" si="986">SUM(H355,H360,H365)</f>
        <v>16.417000000051317</v>
      </c>
      <c r="I370" s="276">
        <f t="shared" si="986"/>
        <v>46.13899999990219</v>
      </c>
      <c r="J370" s="276">
        <f t="shared" ref="J370:J371" si="987">SUM(G370:I370)</f>
        <v>538.77799999439833</v>
      </c>
      <c r="K370" s="276"/>
      <c r="L370" s="276">
        <f>SUM(L355,L360,L365)</f>
        <v>473.7609999991904</v>
      </c>
      <c r="M370" s="276">
        <f t="shared" ref="M370:N370" si="988">SUM(M355,M360,M365)</f>
        <v>19.601999999964335</v>
      </c>
      <c r="N370" s="276">
        <f t="shared" si="988"/>
        <v>45.800000000947115</v>
      </c>
      <c r="O370" s="276">
        <f t="shared" ref="O370:O371" si="989">SUM(L370:N370)</f>
        <v>539.16300000010187</v>
      </c>
      <c r="P370" s="276"/>
      <c r="Q370" s="276">
        <f>SUM(Q355,Q360,Q365)</f>
        <v>474.98200000228439</v>
      </c>
      <c r="R370" s="276">
        <f t="shared" ref="R370:S370" si="990">SUM(R355,R360,R365)</f>
        <v>20.410999999981531</v>
      </c>
      <c r="S370" s="276">
        <f t="shared" si="990"/>
        <v>47.861000002774908</v>
      </c>
      <c r="T370" s="276">
        <f t="shared" ref="T370:T371" si="991">SUM(Q370:S370)</f>
        <v>543.25400000504078</v>
      </c>
      <c r="U370" s="276"/>
      <c r="V370" s="276">
        <f>SUM(V355,V360,V365)</f>
        <v>464.5400000021873</v>
      </c>
      <c r="W370" s="276">
        <f t="shared" ref="W370:X370" si="992">SUM(W355,W360,W365)</f>
        <v>21.19199999994585</v>
      </c>
      <c r="X370" s="276">
        <f t="shared" si="992"/>
        <v>48.009000002423235</v>
      </c>
      <c r="Y370" s="276">
        <f t="shared" ref="Y370:Y371" si="993">SUM(V370:X370)</f>
        <v>533.74100000455633</v>
      </c>
    </row>
    <row r="371" spans="1:25" ht="12.6">
      <c r="A371" s="240" t="s">
        <v>146</v>
      </c>
      <c r="B371" s="277">
        <f>SUM(B369:B370)</f>
        <v>772.14299998943557</v>
      </c>
      <c r="C371" s="277">
        <f t="shared" ref="C371" si="994">SUM(C369:C370)</f>
        <v>128.87600000054113</v>
      </c>
      <c r="D371" s="277">
        <f t="shared" ref="D371" si="995">SUM(D369:D370)</f>
        <v>73.251000000920172</v>
      </c>
      <c r="E371" s="277">
        <f t="shared" si="985"/>
        <v>974.26999999089685</v>
      </c>
      <c r="F371" s="277"/>
      <c r="G371" s="277">
        <f>SUM(G369:G370)</f>
        <v>815.32899998919288</v>
      </c>
      <c r="H371" s="277">
        <f t="shared" ref="H371" si="996">SUM(H369:H370)</f>
        <v>116.78600000062909</v>
      </c>
      <c r="I371" s="277">
        <f t="shared" ref="I371" si="997">SUM(I369:I370)</f>
        <v>66.199000000127526</v>
      </c>
      <c r="J371" s="277">
        <f t="shared" si="987"/>
        <v>998.31399998994948</v>
      </c>
      <c r="K371" s="277"/>
      <c r="L371" s="277">
        <f>SUM(L369:L370)</f>
        <v>818.45399999599431</v>
      </c>
      <c r="M371" s="277">
        <f t="shared" ref="M371" si="998">SUM(M369:M370)</f>
        <v>123.77600000035464</v>
      </c>
      <c r="N371" s="277">
        <f t="shared" ref="N371" si="999">SUM(N369:N370)</f>
        <v>62.936000000716831</v>
      </c>
      <c r="O371" s="277">
        <f t="shared" si="989"/>
        <v>1005.1659999970658</v>
      </c>
      <c r="P371" s="277"/>
      <c r="Q371" s="277">
        <f>SUM(Q369:Q370)</f>
        <v>818.35200001056273</v>
      </c>
      <c r="R371" s="277">
        <f t="shared" ref="R371" si="1000">SUM(R369:R370)</f>
        <v>122.97000000064264</v>
      </c>
      <c r="S371" s="277">
        <f t="shared" ref="S371" si="1001">SUM(S369:S370)</f>
        <v>65.507000002779506</v>
      </c>
      <c r="T371" s="277">
        <f t="shared" si="991"/>
        <v>1006.8290000139848</v>
      </c>
      <c r="U371" s="277"/>
      <c r="V371" s="277">
        <f>SUM(V369:V370)</f>
        <v>797.45000001337758</v>
      </c>
      <c r="W371" s="277">
        <f t="shared" ref="W371" si="1002">SUM(W369:W370)</f>
        <v>119.28500000119864</v>
      </c>
      <c r="X371" s="277">
        <f t="shared" ref="X371" si="1003">SUM(X369:X370)</f>
        <v>65.046000002421877</v>
      </c>
      <c r="Y371" s="277">
        <f t="shared" si="993"/>
        <v>981.78100001699818</v>
      </c>
    </row>
    <row r="375" spans="1:25" ht="14.1">
      <c r="A375" s="241" t="str">
        <f>"Industry 15 : "&amp; name!B18</f>
        <v>Industry 15 : Real estate</v>
      </c>
      <c r="B375" s="366">
        <f>$B$5</f>
        <v>2015</v>
      </c>
      <c r="C375" s="366"/>
      <c r="D375" s="366"/>
      <c r="E375" s="366"/>
      <c r="F375" s="291"/>
      <c r="G375" s="366">
        <f>$G$5</f>
        <v>2019</v>
      </c>
      <c r="H375" s="366"/>
      <c r="I375" s="366"/>
      <c r="J375" s="366"/>
      <c r="K375" s="291"/>
      <c r="L375" s="366">
        <f>$L$5</f>
        <v>2020</v>
      </c>
      <c r="M375" s="366"/>
      <c r="N375" s="366"/>
      <c r="O375" s="366"/>
      <c r="P375" s="289"/>
      <c r="Q375" s="366">
        <f>$Q$5</f>
        <v>2025</v>
      </c>
      <c r="R375" s="366"/>
      <c r="S375" s="366"/>
      <c r="T375" s="366"/>
      <c r="U375" s="291"/>
      <c r="V375" s="366">
        <f>$V$5</f>
        <v>2035</v>
      </c>
      <c r="W375" s="366"/>
      <c r="X375" s="366"/>
      <c r="Y375" s="366"/>
    </row>
    <row r="376" spans="1:25">
      <c r="A376" s="240"/>
      <c r="B376" s="244" t="str">
        <f>$B$6</f>
        <v>FT</v>
      </c>
      <c r="C376" s="244" t="str">
        <f>$C$6</f>
        <v>PT</v>
      </c>
      <c r="D376" s="244" t="str">
        <f>$D$6</f>
        <v>SE</v>
      </c>
      <c r="E376" s="244" t="str">
        <f>$E$6</f>
        <v>Total</v>
      </c>
      <c r="F376" s="244"/>
      <c r="G376" s="244" t="str">
        <f>$B$6</f>
        <v>FT</v>
      </c>
      <c r="H376" s="244" t="str">
        <f>$C$6</f>
        <v>PT</v>
      </c>
      <c r="I376" s="244" t="str">
        <f>$D$6</f>
        <v>SE</v>
      </c>
      <c r="J376" s="244" t="str">
        <f>$E$6</f>
        <v>Total</v>
      </c>
      <c r="K376" s="244"/>
      <c r="L376" s="244" t="str">
        <f>$L$6</f>
        <v>FT</v>
      </c>
      <c r="M376" s="244" t="str">
        <f>$M$6</f>
        <v>PT</v>
      </c>
      <c r="N376" s="244" t="str">
        <f>$N$6</f>
        <v>SE</v>
      </c>
      <c r="O376" s="244" t="str">
        <f>$O$6</f>
        <v>Total</v>
      </c>
      <c r="P376" s="244"/>
      <c r="Q376" s="244" t="str">
        <f>$L$6</f>
        <v>FT</v>
      </c>
      <c r="R376" s="244" t="str">
        <f>$M$6</f>
        <v>PT</v>
      </c>
      <c r="S376" s="244" t="str">
        <f>$N$6</f>
        <v>SE</v>
      </c>
      <c r="T376" s="244" t="str">
        <f>$O$6</f>
        <v>Total</v>
      </c>
      <c r="U376" s="244"/>
      <c r="V376" s="244" t="str">
        <f>$V$6</f>
        <v>FT</v>
      </c>
      <c r="W376" s="244" t="str">
        <f>$W$6</f>
        <v>PT</v>
      </c>
      <c r="X376" s="244" t="str">
        <f>$X$6</f>
        <v>SE</v>
      </c>
      <c r="Y376" s="244" t="str">
        <f>$Y$6</f>
        <v>Total</v>
      </c>
    </row>
    <row r="377" spans="1:25">
      <c r="C377" s="290"/>
      <c r="D377" s="290"/>
      <c r="E377" s="290"/>
      <c r="F377" s="290"/>
      <c r="G377" s="290"/>
      <c r="H377" s="290"/>
      <c r="I377" s="290"/>
      <c r="J377" s="290"/>
      <c r="K377" s="290"/>
      <c r="L377" s="290"/>
      <c r="M377" s="290"/>
      <c r="N377" s="290"/>
      <c r="O377" s="290"/>
      <c r="P377" s="290"/>
      <c r="Q377" s="290"/>
      <c r="R377" s="290"/>
      <c r="S377" s="290"/>
      <c r="T377" s="290"/>
      <c r="U377" s="290"/>
      <c r="V377" s="290"/>
      <c r="W377" s="290"/>
      <c r="X377" s="290"/>
      <c r="Y377" s="290"/>
    </row>
    <row r="378" spans="1:25">
      <c r="A378" s="237" t="str">
        <f>name!A53</f>
        <v>Real estate</v>
      </c>
      <c r="C378" s="239"/>
    </row>
    <row r="379" spans="1:25" ht="12.6">
      <c r="A379" s="236" t="s">
        <v>145</v>
      </c>
      <c r="B379" s="276">
        <v>151.38199999903557</v>
      </c>
      <c r="C379" s="276">
        <v>91.162000000787316</v>
      </c>
      <c r="D379" s="276">
        <v>27.338000000391407</v>
      </c>
      <c r="E379" s="276">
        <f>SUM(B379:D379)</f>
        <v>269.8820000002143</v>
      </c>
      <c r="F379" s="276"/>
      <c r="G379" s="276">
        <v>157.48199999865656</v>
      </c>
      <c r="H379" s="276">
        <v>81.991000000788503</v>
      </c>
      <c r="I379" s="276">
        <v>35.784000000389327</v>
      </c>
      <c r="J379" s="276">
        <f>SUM(G379:I379)</f>
        <v>275.25699999983436</v>
      </c>
      <c r="K379" s="276"/>
      <c r="L379" s="276">
        <v>176.03199999876384</v>
      </c>
      <c r="M379" s="276">
        <v>88.702000000450454</v>
      </c>
      <c r="N379" s="276">
        <v>28.25599999945798</v>
      </c>
      <c r="O379" s="276">
        <f>SUM(L379:N379)</f>
        <v>292.98999999867226</v>
      </c>
      <c r="P379" s="276"/>
      <c r="Q379" s="276">
        <v>174.85000000294707</v>
      </c>
      <c r="R379" s="276">
        <v>82.085000000721976</v>
      </c>
      <c r="S379" s="276">
        <v>27.230999999974742</v>
      </c>
      <c r="T379" s="276">
        <f>SUM(Q379:S379)</f>
        <v>284.16600000364383</v>
      </c>
      <c r="U379" s="276"/>
      <c r="V379" s="276">
        <v>200.41400000389169</v>
      </c>
      <c r="W379" s="276">
        <v>81.103000001281643</v>
      </c>
      <c r="X379" s="276">
        <v>29.565000000022607</v>
      </c>
      <c r="Y379" s="276">
        <f>SUM(V379:X379)</f>
        <v>311.08200000519594</v>
      </c>
    </row>
    <row r="380" spans="1:25" ht="12.6">
      <c r="A380" s="236" t="s">
        <v>144</v>
      </c>
      <c r="B380" s="276">
        <v>162.51599999822506</v>
      </c>
      <c r="C380" s="276">
        <v>22.851999999853426</v>
      </c>
      <c r="D380" s="276">
        <v>44.45900000012572</v>
      </c>
      <c r="E380" s="276">
        <f t="shared" ref="E380:E381" si="1004">SUM(B380:D380)</f>
        <v>229.8269999982042</v>
      </c>
      <c r="F380" s="276"/>
      <c r="G380" s="276">
        <v>167.8849999987861</v>
      </c>
      <c r="H380" s="276">
        <v>31.816999999906113</v>
      </c>
      <c r="I380" s="276">
        <v>37.281000000365694</v>
      </c>
      <c r="J380" s="276">
        <f t="shared" ref="J380:J381" si="1005">SUM(G380:I380)</f>
        <v>236.98299999905788</v>
      </c>
      <c r="K380" s="276"/>
      <c r="L380" s="276">
        <v>202.93399999950284</v>
      </c>
      <c r="M380" s="276">
        <v>34.660999999962719</v>
      </c>
      <c r="N380" s="276">
        <v>35.500000000081442</v>
      </c>
      <c r="O380" s="276">
        <f t="shared" ref="O380:O381" si="1006">SUM(L380:N380)</f>
        <v>273.09499999954699</v>
      </c>
      <c r="P380" s="276"/>
      <c r="Q380" s="276">
        <v>194.59200000048506</v>
      </c>
      <c r="R380" s="276">
        <v>33.659000000028136</v>
      </c>
      <c r="S380" s="276">
        <v>35.632000000061588</v>
      </c>
      <c r="T380" s="276">
        <f t="shared" ref="T380:T381" si="1007">SUM(Q380:S380)</f>
        <v>263.88300000057478</v>
      </c>
      <c r="U380" s="276"/>
      <c r="V380" s="276">
        <v>208.28700000049545</v>
      </c>
      <c r="W380" s="276">
        <v>37.038999999991653</v>
      </c>
      <c r="X380" s="276">
        <v>41.456000000040753</v>
      </c>
      <c r="Y380" s="276">
        <f t="shared" ref="Y380:Y381" si="1008">SUM(V380:X380)</f>
        <v>286.78200000052789</v>
      </c>
    </row>
    <row r="381" spans="1:25" ht="12.6">
      <c r="A381" s="240" t="s">
        <v>146</v>
      </c>
      <c r="B381" s="277">
        <f>SUM(B379:B380)</f>
        <v>313.89799999726063</v>
      </c>
      <c r="C381" s="277">
        <f t="shared" ref="C381" si="1009">SUM(C379:C380)</f>
        <v>114.01400000064075</v>
      </c>
      <c r="D381" s="277">
        <f t="shared" ref="D381" si="1010">SUM(D379:D380)</f>
        <v>71.79700000051713</v>
      </c>
      <c r="E381" s="277">
        <f t="shared" si="1004"/>
        <v>499.70899999841851</v>
      </c>
      <c r="F381" s="277"/>
      <c r="G381" s="277">
        <f>SUM(G379:G380)</f>
        <v>325.36699999744269</v>
      </c>
      <c r="H381" s="277">
        <f t="shared" ref="H381" si="1011">SUM(H379:H380)</f>
        <v>113.80800000069462</v>
      </c>
      <c r="I381" s="277">
        <f t="shared" ref="I381" si="1012">SUM(I379:I380)</f>
        <v>73.06500000075502</v>
      </c>
      <c r="J381" s="277">
        <f t="shared" si="1005"/>
        <v>512.23999999889236</v>
      </c>
      <c r="K381" s="277"/>
      <c r="L381" s="277">
        <f>SUM(L379:L380)</f>
        <v>378.96599999826668</v>
      </c>
      <c r="M381" s="277">
        <f t="shared" ref="M381" si="1013">SUM(M379:M380)</f>
        <v>123.36300000041317</v>
      </c>
      <c r="N381" s="277">
        <f t="shared" ref="N381" si="1014">SUM(N379:N380)</f>
        <v>63.755999999539426</v>
      </c>
      <c r="O381" s="277">
        <f t="shared" si="1006"/>
        <v>566.08499999821925</v>
      </c>
      <c r="P381" s="277"/>
      <c r="Q381" s="277">
        <f>SUM(Q379:Q380)</f>
        <v>369.4420000034321</v>
      </c>
      <c r="R381" s="277">
        <f t="shared" ref="R381" si="1015">SUM(R379:R380)</f>
        <v>115.74400000075011</v>
      </c>
      <c r="S381" s="277">
        <f t="shared" ref="S381" si="1016">SUM(S379:S380)</f>
        <v>62.86300000003633</v>
      </c>
      <c r="T381" s="277">
        <f t="shared" si="1007"/>
        <v>548.04900000421856</v>
      </c>
      <c r="U381" s="277"/>
      <c r="V381" s="277">
        <f>SUM(V379:V380)</f>
        <v>408.70100000438714</v>
      </c>
      <c r="W381" s="277">
        <f t="shared" ref="W381" si="1017">SUM(W379:W380)</f>
        <v>118.14200000127329</v>
      </c>
      <c r="X381" s="277">
        <f t="shared" ref="X381" si="1018">SUM(X379:X380)</f>
        <v>71.021000000063367</v>
      </c>
      <c r="Y381" s="277">
        <f t="shared" si="1008"/>
        <v>597.86400000572382</v>
      </c>
    </row>
    <row r="382" spans="1:25" ht="12.6">
      <c r="C382" s="239"/>
    </row>
    <row r="383" spans="1:25">
      <c r="A383" s="237"/>
    </row>
    <row r="384" spans="1:25" ht="12.6">
      <c r="C384" s="239"/>
    </row>
    <row r="385" spans="1:25" ht="14.1">
      <c r="A385" s="241" t="str">
        <f>"Industry 16 : "&amp; name!B19</f>
        <v>Industry 16 : Professional services</v>
      </c>
      <c r="B385" s="366">
        <f>$B$5</f>
        <v>2015</v>
      </c>
      <c r="C385" s="366"/>
      <c r="D385" s="366"/>
      <c r="E385" s="366"/>
      <c r="F385" s="291"/>
      <c r="G385" s="366">
        <f>$G$5</f>
        <v>2019</v>
      </c>
      <c r="H385" s="366"/>
      <c r="I385" s="366"/>
      <c r="J385" s="366"/>
      <c r="K385" s="291"/>
      <c r="L385" s="366">
        <f>$L$5</f>
        <v>2020</v>
      </c>
      <c r="M385" s="366"/>
      <c r="N385" s="366"/>
      <c r="O385" s="366"/>
      <c r="P385" s="289"/>
      <c r="Q385" s="366">
        <f>$Q$5</f>
        <v>2025</v>
      </c>
      <c r="R385" s="366"/>
      <c r="S385" s="366"/>
      <c r="T385" s="366"/>
      <c r="U385" s="291"/>
      <c r="V385" s="366">
        <f>$V$5</f>
        <v>2035</v>
      </c>
      <c r="W385" s="366"/>
      <c r="X385" s="366"/>
      <c r="Y385" s="366"/>
    </row>
    <row r="386" spans="1:25">
      <c r="A386" s="240"/>
      <c r="B386" s="244" t="str">
        <f>$B$6</f>
        <v>FT</v>
      </c>
      <c r="C386" s="244" t="str">
        <f>$C$6</f>
        <v>PT</v>
      </c>
      <c r="D386" s="244" t="str">
        <f>$D$6</f>
        <v>SE</v>
      </c>
      <c r="E386" s="244" t="str">
        <f>$E$6</f>
        <v>Total</v>
      </c>
      <c r="F386" s="244"/>
      <c r="G386" s="244" t="str">
        <f>$B$6</f>
        <v>FT</v>
      </c>
      <c r="H386" s="244" t="str">
        <f>$C$6</f>
        <v>PT</v>
      </c>
      <c r="I386" s="244" t="str">
        <f>$D$6</f>
        <v>SE</v>
      </c>
      <c r="J386" s="244" t="str">
        <f>$E$6</f>
        <v>Total</v>
      </c>
      <c r="K386" s="244"/>
      <c r="L386" s="244" t="str">
        <f>$L$6</f>
        <v>FT</v>
      </c>
      <c r="M386" s="244" t="str">
        <f>$M$6</f>
        <v>PT</v>
      </c>
      <c r="N386" s="244" t="str">
        <f>$N$6</f>
        <v>SE</v>
      </c>
      <c r="O386" s="244" t="str">
        <f>$O$6</f>
        <v>Total</v>
      </c>
      <c r="P386" s="244"/>
      <c r="Q386" s="244" t="str">
        <f>$L$6</f>
        <v>FT</v>
      </c>
      <c r="R386" s="244" t="str">
        <f>$M$6</f>
        <v>PT</v>
      </c>
      <c r="S386" s="244" t="str">
        <f>$N$6</f>
        <v>SE</v>
      </c>
      <c r="T386" s="244" t="str">
        <f>$O$6</f>
        <v>Total</v>
      </c>
      <c r="U386" s="244"/>
      <c r="V386" s="244" t="str">
        <f>$V$6</f>
        <v>FT</v>
      </c>
      <c r="W386" s="244" t="str">
        <f>$W$6</f>
        <v>PT</v>
      </c>
      <c r="X386" s="244" t="str">
        <f>$X$6</f>
        <v>SE</v>
      </c>
      <c r="Y386" s="244" t="str">
        <f>$Y$6</f>
        <v>Total</v>
      </c>
    </row>
    <row r="387" spans="1:25">
      <c r="C387" s="290"/>
      <c r="D387" s="290"/>
      <c r="E387" s="290"/>
      <c r="F387" s="290"/>
      <c r="G387" s="290"/>
      <c r="H387" s="290"/>
      <c r="I387" s="290"/>
      <c r="J387" s="290"/>
      <c r="K387" s="290"/>
      <c r="L387" s="290"/>
      <c r="M387" s="290"/>
      <c r="N387" s="290"/>
      <c r="O387" s="290"/>
      <c r="P387" s="290"/>
      <c r="Q387" s="290"/>
      <c r="R387" s="290"/>
      <c r="S387" s="290"/>
      <c r="T387" s="290"/>
      <c r="U387" s="290"/>
      <c r="V387" s="290"/>
      <c r="W387" s="290"/>
      <c r="X387" s="290"/>
      <c r="Y387" s="290"/>
    </row>
    <row r="388" spans="1:25">
      <c r="A388" s="237" t="str">
        <f>name!A54</f>
        <v>Legal and accounting</v>
      </c>
      <c r="C388" s="239"/>
    </row>
    <row r="389" spans="1:25" ht="12.6">
      <c r="A389" s="236" t="s">
        <v>145</v>
      </c>
      <c r="B389" s="276">
        <v>225.61599999578371</v>
      </c>
      <c r="C389" s="276">
        <v>87.140999999640016</v>
      </c>
      <c r="D389" s="276">
        <v>45.505000000080393</v>
      </c>
      <c r="E389" s="276">
        <f>SUM(B389:D389)</f>
        <v>358.26199999550408</v>
      </c>
      <c r="F389" s="276"/>
      <c r="G389" s="276">
        <v>254.66399999445605</v>
      </c>
      <c r="H389" s="276">
        <v>103.28199999970047</v>
      </c>
      <c r="I389" s="276">
        <v>45.781999999972882</v>
      </c>
      <c r="J389" s="276">
        <f>SUM(G389:I389)</f>
        <v>403.72799999412939</v>
      </c>
      <c r="K389" s="276"/>
      <c r="L389" s="276">
        <v>252.2099999970012</v>
      </c>
      <c r="M389" s="276">
        <v>115.1839999999027</v>
      </c>
      <c r="N389" s="276">
        <v>44.199999999134967</v>
      </c>
      <c r="O389" s="276">
        <f>SUM(L389:N389)</f>
        <v>411.59399999603886</v>
      </c>
      <c r="P389" s="276"/>
      <c r="Q389" s="276">
        <v>262.28400000600436</v>
      </c>
      <c r="R389" s="276">
        <v>121.81600000041149</v>
      </c>
      <c r="S389" s="276">
        <v>46.139999999884701</v>
      </c>
      <c r="T389" s="276">
        <f>SUM(Q389:S389)</f>
        <v>430.24000000630053</v>
      </c>
      <c r="U389" s="276"/>
      <c r="V389" s="276">
        <v>269.92300000955021</v>
      </c>
      <c r="W389" s="276">
        <v>129.72900000187636</v>
      </c>
      <c r="X389" s="276">
        <v>47.892000000362117</v>
      </c>
      <c r="Y389" s="276">
        <f>SUM(V389:X389)</f>
        <v>447.54400001178874</v>
      </c>
    </row>
    <row r="390" spans="1:25" ht="12.6">
      <c r="A390" s="236" t="s">
        <v>144</v>
      </c>
      <c r="B390" s="276">
        <v>216.37299999494002</v>
      </c>
      <c r="C390" s="276">
        <v>26.839999999684096</v>
      </c>
      <c r="D390" s="276">
        <v>68.812000000723941</v>
      </c>
      <c r="E390" s="276">
        <f t="shared" ref="E390:E391" si="1019">SUM(B390:D390)</f>
        <v>312.02499999534803</v>
      </c>
      <c r="F390" s="276"/>
      <c r="G390" s="276">
        <v>244.25399999612637</v>
      </c>
      <c r="H390" s="276">
        <v>27.427999999743857</v>
      </c>
      <c r="I390" s="276">
        <v>91.304999999539248</v>
      </c>
      <c r="J390" s="276">
        <f t="shared" ref="J390:J391" si="1020">SUM(G390:I390)</f>
        <v>362.98699999540946</v>
      </c>
      <c r="K390" s="276"/>
      <c r="L390" s="276">
        <v>212.91999999867505</v>
      </c>
      <c r="M390" s="276">
        <v>40.270000000026435</v>
      </c>
      <c r="N390" s="276">
        <v>65.555000001727137</v>
      </c>
      <c r="O390" s="276">
        <f t="shared" ref="O390:O391" si="1021">SUM(L390:N390)</f>
        <v>318.7450000004286</v>
      </c>
      <c r="P390" s="276"/>
      <c r="Q390" s="276">
        <v>226.34000000011687</v>
      </c>
      <c r="R390" s="276">
        <v>43.563999999817774</v>
      </c>
      <c r="S390" s="276">
        <v>68.286000004868455</v>
      </c>
      <c r="T390" s="276">
        <f t="shared" ref="T390:T391" si="1022">SUM(Q390:S390)</f>
        <v>338.1900000048031</v>
      </c>
      <c r="U390" s="276"/>
      <c r="V390" s="276">
        <v>243.58599999974416</v>
      </c>
      <c r="W390" s="276">
        <v>48.492999999876716</v>
      </c>
      <c r="X390" s="276">
        <v>70.6020000039927</v>
      </c>
      <c r="Y390" s="276">
        <f t="shared" ref="Y390:Y391" si="1023">SUM(V390:X390)</f>
        <v>362.68100000361358</v>
      </c>
    </row>
    <row r="391" spans="1:25" ht="12.6">
      <c r="A391" s="236" t="s">
        <v>146</v>
      </c>
      <c r="B391" s="276">
        <f>SUM(B389:B390)</f>
        <v>441.98899999072376</v>
      </c>
      <c r="C391" s="276">
        <f t="shared" ref="C391" si="1024">SUM(C389:C390)</f>
        <v>113.98099999932411</v>
      </c>
      <c r="D391" s="276">
        <f t="shared" ref="D391" si="1025">SUM(D389:D390)</f>
        <v>114.31700000080434</v>
      </c>
      <c r="E391" s="276">
        <f t="shared" si="1019"/>
        <v>670.28699999085222</v>
      </c>
      <c r="F391" s="276"/>
      <c r="G391" s="276">
        <f>SUM(G389:G390)</f>
        <v>498.91799999058242</v>
      </c>
      <c r="H391" s="276">
        <f t="shared" ref="H391" si="1026">SUM(H389:H390)</f>
        <v>130.70999999944434</v>
      </c>
      <c r="I391" s="276">
        <f t="shared" ref="I391" si="1027">SUM(I389:I390)</f>
        <v>137.08699999951213</v>
      </c>
      <c r="J391" s="276">
        <f t="shared" si="1020"/>
        <v>766.71499998953891</v>
      </c>
      <c r="K391" s="276"/>
      <c r="L391" s="276">
        <f>SUM(L389:L390)</f>
        <v>465.12999999567626</v>
      </c>
      <c r="M391" s="276">
        <f t="shared" ref="M391" si="1028">SUM(M389:M390)</f>
        <v>155.45399999992912</v>
      </c>
      <c r="N391" s="276">
        <f t="shared" ref="N391" si="1029">SUM(N389:N390)</f>
        <v>109.75500000086211</v>
      </c>
      <c r="O391" s="276">
        <f t="shared" si="1021"/>
        <v>730.33899999646746</v>
      </c>
      <c r="P391" s="276"/>
      <c r="Q391" s="276">
        <f>SUM(Q389:Q390)</f>
        <v>488.62400000612126</v>
      </c>
      <c r="R391" s="276">
        <f t="shared" ref="R391" si="1030">SUM(R389:R390)</f>
        <v>165.38000000022927</v>
      </c>
      <c r="S391" s="276">
        <f t="shared" ref="S391" si="1031">SUM(S389:S390)</f>
        <v>114.42600000475315</v>
      </c>
      <c r="T391" s="276">
        <f t="shared" si="1022"/>
        <v>768.43000001110374</v>
      </c>
      <c r="U391" s="276"/>
      <c r="V391" s="276">
        <f>SUM(V389:V390)</f>
        <v>513.50900000929437</v>
      </c>
      <c r="W391" s="276">
        <f t="shared" ref="W391" si="1032">SUM(W389:W390)</f>
        <v>178.22200000175309</v>
      </c>
      <c r="X391" s="276">
        <f t="shared" ref="X391" si="1033">SUM(X389:X390)</f>
        <v>118.49400000435482</v>
      </c>
      <c r="Y391" s="276">
        <f t="shared" si="1023"/>
        <v>810.2250000154022</v>
      </c>
    </row>
    <row r="392" spans="1:25">
      <c r="C392" s="290"/>
      <c r="D392" s="290"/>
      <c r="E392" s="290"/>
      <c r="F392" s="290"/>
      <c r="G392" s="290"/>
      <c r="H392" s="290"/>
      <c r="I392" s="290"/>
      <c r="J392" s="290"/>
      <c r="K392" s="290"/>
      <c r="L392" s="290"/>
      <c r="M392" s="290"/>
      <c r="N392" s="290"/>
      <c r="O392" s="290"/>
      <c r="P392" s="290"/>
      <c r="Q392" s="290"/>
      <c r="R392" s="290"/>
      <c r="S392" s="290"/>
      <c r="T392" s="290"/>
      <c r="U392" s="290"/>
      <c r="V392" s="290"/>
      <c r="W392" s="290"/>
      <c r="X392" s="290"/>
      <c r="Y392" s="290"/>
    </row>
    <row r="393" spans="1:25">
      <c r="A393" s="237" t="str">
        <f>name!A55</f>
        <v>Head offices, etc</v>
      </c>
      <c r="C393" s="239"/>
    </row>
    <row r="394" spans="1:25" ht="12.6">
      <c r="A394" s="236" t="s">
        <v>145</v>
      </c>
      <c r="B394" s="276">
        <v>191.87699999626315</v>
      </c>
      <c r="C394" s="276">
        <v>127.34899999938202</v>
      </c>
      <c r="D394" s="276">
        <v>41.864999999999718</v>
      </c>
      <c r="E394" s="276">
        <f>SUM(B394:D394)</f>
        <v>361.09099999564489</v>
      </c>
      <c r="F394" s="276"/>
      <c r="G394" s="276">
        <v>217.04499999524057</v>
      </c>
      <c r="H394" s="276">
        <v>134.38699999964487</v>
      </c>
      <c r="I394" s="276">
        <v>32.763999999943771</v>
      </c>
      <c r="J394" s="276">
        <f>SUM(G394:I394)</f>
        <v>384.19599999482926</v>
      </c>
      <c r="K394" s="276"/>
      <c r="L394" s="276">
        <v>206.92199999760513</v>
      </c>
      <c r="M394" s="276">
        <v>129.32999999977841</v>
      </c>
      <c r="N394" s="276">
        <v>33.016999999361246</v>
      </c>
      <c r="O394" s="276">
        <f>SUM(L394:N394)</f>
        <v>369.26899999674481</v>
      </c>
      <c r="P394" s="276"/>
      <c r="Q394" s="276">
        <v>216.89100000550761</v>
      </c>
      <c r="R394" s="276">
        <v>136.52100000044973</v>
      </c>
      <c r="S394" s="276">
        <v>32.999000000010717</v>
      </c>
      <c r="T394" s="276">
        <f>SUM(Q394:S394)</f>
        <v>386.41100000596805</v>
      </c>
      <c r="U394" s="276"/>
      <c r="V394" s="276">
        <v>230.26800000821109</v>
      </c>
      <c r="W394" s="276">
        <v>146.94300000203876</v>
      </c>
      <c r="X394" s="276">
        <v>31.755000000224751</v>
      </c>
      <c r="Y394" s="276">
        <f>SUM(V394:X394)</f>
        <v>408.9660000104746</v>
      </c>
    </row>
    <row r="395" spans="1:25" ht="12.6">
      <c r="A395" s="236" t="s">
        <v>144</v>
      </c>
      <c r="B395" s="276">
        <v>315.0459999928637</v>
      </c>
      <c r="C395" s="276">
        <v>46.589999999390038</v>
      </c>
      <c r="D395" s="276">
        <v>47.337000000558604</v>
      </c>
      <c r="E395" s="276">
        <f t="shared" ref="E395:E396" si="1034">SUM(B395:D395)</f>
        <v>408.97299999281233</v>
      </c>
      <c r="F395" s="276"/>
      <c r="G395" s="276">
        <v>315.53499999501707</v>
      </c>
      <c r="H395" s="276">
        <v>47.892999999529408</v>
      </c>
      <c r="I395" s="276">
        <v>51.666999999707699</v>
      </c>
      <c r="J395" s="276">
        <f t="shared" ref="J395:J396" si="1035">SUM(G395:I395)</f>
        <v>415.09499999425418</v>
      </c>
      <c r="K395" s="276"/>
      <c r="L395" s="276">
        <v>325.15399999759546</v>
      </c>
      <c r="M395" s="276">
        <v>65.775000000075536</v>
      </c>
      <c r="N395" s="276">
        <v>44.895000001159033</v>
      </c>
      <c r="O395" s="276">
        <f t="shared" ref="O395:O396" si="1036">SUM(L395:N395)</f>
        <v>435.82399999883</v>
      </c>
      <c r="P395" s="276"/>
      <c r="Q395" s="276">
        <v>331.36899999982563</v>
      </c>
      <c r="R395" s="276">
        <v>69.221999999702135</v>
      </c>
      <c r="S395" s="276">
        <v>46.65300000328682</v>
      </c>
      <c r="T395" s="276">
        <f t="shared" ref="T395:T396" si="1037">SUM(Q395:S395)</f>
        <v>447.24400000281457</v>
      </c>
      <c r="U395" s="276"/>
      <c r="V395" s="276">
        <v>332.38099999885446</v>
      </c>
      <c r="W395" s="276">
        <v>74.067999999809871</v>
      </c>
      <c r="X395" s="276">
        <v>48.68200000264725</v>
      </c>
      <c r="Y395" s="276">
        <f t="shared" ref="Y395:Y396" si="1038">SUM(V395:X395)</f>
        <v>455.13100000131163</v>
      </c>
    </row>
    <row r="396" spans="1:25" ht="12.6">
      <c r="A396" s="236" t="s">
        <v>146</v>
      </c>
      <c r="B396" s="276">
        <f>SUM(B394:B395)</f>
        <v>506.92299998912688</v>
      </c>
      <c r="C396" s="276">
        <f t="shared" ref="C396" si="1039">SUM(C394:C395)</f>
        <v>173.93899999877206</v>
      </c>
      <c r="D396" s="276">
        <f t="shared" ref="D396" si="1040">SUM(D394:D395)</f>
        <v>89.202000000558314</v>
      </c>
      <c r="E396" s="276">
        <f t="shared" si="1034"/>
        <v>770.06399998845723</v>
      </c>
      <c r="F396" s="276"/>
      <c r="G396" s="276">
        <f>SUM(G394:G395)</f>
        <v>532.57999999025765</v>
      </c>
      <c r="H396" s="276">
        <f t="shared" ref="H396" si="1041">SUM(H394:H395)</f>
        <v>182.27999999917427</v>
      </c>
      <c r="I396" s="276">
        <f t="shared" ref="I396" si="1042">SUM(I394:I395)</f>
        <v>84.430999999651476</v>
      </c>
      <c r="J396" s="276">
        <f t="shared" si="1035"/>
        <v>799.29099998908339</v>
      </c>
      <c r="K396" s="276"/>
      <c r="L396" s="276">
        <f>SUM(L394:L395)</f>
        <v>532.07599999520062</v>
      </c>
      <c r="M396" s="276">
        <f t="shared" ref="M396" si="1043">SUM(M394:M395)</f>
        <v>195.10499999985393</v>
      </c>
      <c r="N396" s="276">
        <f t="shared" ref="N396" si="1044">SUM(N394:N395)</f>
        <v>77.91200000052028</v>
      </c>
      <c r="O396" s="276">
        <f t="shared" si="1036"/>
        <v>805.09299999557481</v>
      </c>
      <c r="P396" s="276"/>
      <c r="Q396" s="276">
        <f>SUM(Q394:Q395)</f>
        <v>548.26000000533327</v>
      </c>
      <c r="R396" s="276">
        <f t="shared" ref="R396" si="1045">SUM(R394:R395)</f>
        <v>205.74300000015188</v>
      </c>
      <c r="S396" s="276">
        <f t="shared" ref="S396" si="1046">SUM(S394:S395)</f>
        <v>79.65200000329753</v>
      </c>
      <c r="T396" s="276">
        <f t="shared" si="1037"/>
        <v>833.65500000878262</v>
      </c>
      <c r="U396" s="276"/>
      <c r="V396" s="276">
        <f>SUM(V394:V395)</f>
        <v>562.64900000706552</v>
      </c>
      <c r="W396" s="276">
        <f t="shared" ref="W396" si="1047">SUM(W394:W395)</f>
        <v>221.01100000184863</v>
      </c>
      <c r="X396" s="276">
        <f t="shared" ref="X396" si="1048">SUM(X394:X395)</f>
        <v>80.437000002871997</v>
      </c>
      <c r="Y396" s="276">
        <f t="shared" si="1038"/>
        <v>864.09700001178612</v>
      </c>
    </row>
    <row r="397" spans="1:25">
      <c r="C397" s="290"/>
      <c r="D397" s="290"/>
      <c r="E397" s="290"/>
      <c r="F397" s="290"/>
      <c r="G397" s="290"/>
      <c r="H397" s="290"/>
      <c r="I397" s="290"/>
      <c r="J397" s="290"/>
      <c r="K397" s="290"/>
      <c r="L397" s="290"/>
      <c r="M397" s="290"/>
      <c r="N397" s="290"/>
      <c r="O397" s="290"/>
      <c r="P397" s="290"/>
      <c r="Q397" s="290"/>
      <c r="R397" s="290"/>
      <c r="S397" s="290"/>
      <c r="T397" s="290"/>
      <c r="U397" s="290"/>
      <c r="V397" s="290"/>
      <c r="W397" s="290"/>
      <c r="X397" s="290"/>
      <c r="Y397" s="290"/>
    </row>
    <row r="398" spans="1:25">
      <c r="A398" s="237" t="str">
        <f>name!A56</f>
        <v>Architectural and related</v>
      </c>
      <c r="C398" s="239"/>
    </row>
    <row r="399" spans="1:25" ht="12.6">
      <c r="A399" s="236" t="s">
        <v>145</v>
      </c>
      <c r="B399" s="276">
        <v>93.739999998308804</v>
      </c>
      <c r="C399" s="276">
        <v>36.334999999861289</v>
      </c>
      <c r="D399" s="276">
        <v>14.311000000042233</v>
      </c>
      <c r="E399" s="276">
        <f>SUM(B399:D399)</f>
        <v>144.38599999821233</v>
      </c>
      <c r="F399" s="276"/>
      <c r="G399" s="276">
        <v>102.414999997862</v>
      </c>
      <c r="H399" s="276">
        <v>41.052999999873144</v>
      </c>
      <c r="I399" s="276">
        <v>9.49699999998289</v>
      </c>
      <c r="J399" s="276">
        <f>SUM(G399:I399)</f>
        <v>152.96499999771805</v>
      </c>
      <c r="K399" s="276"/>
      <c r="L399" s="276">
        <v>105.43899999869562</v>
      </c>
      <c r="M399" s="276">
        <v>35.948999999946317</v>
      </c>
      <c r="N399" s="276">
        <v>12.977999999737296</v>
      </c>
      <c r="O399" s="276">
        <f>SUM(L399:N399)</f>
        <v>154.36599999837924</v>
      </c>
      <c r="P399" s="276"/>
      <c r="Q399" s="276">
        <v>107.16300000256525</v>
      </c>
      <c r="R399" s="276">
        <v>35.795000000068349</v>
      </c>
      <c r="S399" s="276">
        <v>12.524999999968644</v>
      </c>
      <c r="T399" s="276">
        <f>SUM(Q399:S399)</f>
        <v>155.48300000260227</v>
      </c>
      <c r="U399" s="276"/>
      <c r="V399" s="276">
        <v>118.19700000429977</v>
      </c>
      <c r="W399" s="276">
        <v>38.036000000552875</v>
      </c>
      <c r="X399" s="276">
        <v>12.478000000096289</v>
      </c>
      <c r="Y399" s="276">
        <f>SUM(V399:X399)</f>
        <v>168.71100000494894</v>
      </c>
    </row>
    <row r="400" spans="1:25" ht="12.6">
      <c r="A400" s="236" t="s">
        <v>144</v>
      </c>
      <c r="B400" s="276">
        <v>277.22099999448494</v>
      </c>
      <c r="C400" s="276">
        <v>16.137999999850337</v>
      </c>
      <c r="D400" s="276">
        <v>52.931000000697971</v>
      </c>
      <c r="E400" s="276">
        <f t="shared" ref="E400:E401" si="1049">SUM(B400:D400)</f>
        <v>346.28999999503321</v>
      </c>
      <c r="F400" s="276"/>
      <c r="G400" s="276">
        <v>306.97899999578794</v>
      </c>
      <c r="H400" s="276">
        <v>28.58199999975108</v>
      </c>
      <c r="I400" s="276">
        <v>70.434999999767697</v>
      </c>
      <c r="J400" s="276">
        <f t="shared" ref="J400:J401" si="1050">SUM(G400:I400)</f>
        <v>405.9959999953067</v>
      </c>
      <c r="K400" s="276"/>
      <c r="L400" s="276">
        <v>320.38999999640362</v>
      </c>
      <c r="M400" s="276">
        <v>31.349999999983872</v>
      </c>
      <c r="N400" s="276">
        <v>61.974000001374904</v>
      </c>
      <c r="O400" s="276">
        <f t="shared" ref="O400:O401" si="1051">SUM(L400:N400)</f>
        <v>413.71399999776241</v>
      </c>
      <c r="P400" s="276"/>
      <c r="Q400" s="276">
        <v>311.57599999928038</v>
      </c>
      <c r="R400" s="276">
        <v>31.761999999850605</v>
      </c>
      <c r="S400" s="276">
        <v>60.456000004100957</v>
      </c>
      <c r="T400" s="276">
        <f t="shared" ref="T400:T401" si="1052">SUM(Q400:S400)</f>
        <v>403.79400000323199</v>
      </c>
      <c r="U400" s="276"/>
      <c r="V400" s="276">
        <v>315.4859999980344</v>
      </c>
      <c r="W400" s="276">
        <v>34.732999999886651</v>
      </c>
      <c r="X400" s="276">
        <v>61.625000003185839</v>
      </c>
      <c r="Y400" s="276">
        <f t="shared" ref="Y400:Y401" si="1053">SUM(V400:X400)</f>
        <v>411.84400000110691</v>
      </c>
    </row>
    <row r="401" spans="1:25" ht="12.6">
      <c r="A401" s="236" t="s">
        <v>146</v>
      </c>
      <c r="B401" s="276">
        <f>SUM(B399:B400)</f>
        <v>370.96099999279375</v>
      </c>
      <c r="C401" s="276">
        <f t="shared" ref="C401" si="1054">SUM(C399:C400)</f>
        <v>52.472999999711625</v>
      </c>
      <c r="D401" s="276">
        <f t="shared" ref="D401" si="1055">SUM(D399:D400)</f>
        <v>67.242000000740205</v>
      </c>
      <c r="E401" s="276">
        <f t="shared" si="1049"/>
        <v>490.67599999324557</v>
      </c>
      <c r="F401" s="276"/>
      <c r="G401" s="276">
        <f>SUM(G399:G400)</f>
        <v>409.39399999364991</v>
      </c>
      <c r="H401" s="276">
        <f t="shared" ref="H401" si="1056">SUM(H399:H400)</f>
        <v>69.634999999624227</v>
      </c>
      <c r="I401" s="276">
        <f t="shared" ref="I401" si="1057">SUM(I399:I400)</f>
        <v>79.931999999750587</v>
      </c>
      <c r="J401" s="276">
        <f t="shared" si="1050"/>
        <v>558.96099999302476</v>
      </c>
      <c r="K401" s="276"/>
      <c r="L401" s="276">
        <f>SUM(L399:L400)</f>
        <v>425.82899999509925</v>
      </c>
      <c r="M401" s="276">
        <f t="shared" ref="M401" si="1058">SUM(M399:M400)</f>
        <v>67.298999999930189</v>
      </c>
      <c r="N401" s="276">
        <f t="shared" ref="N401" si="1059">SUM(N399:N400)</f>
        <v>74.952000001112197</v>
      </c>
      <c r="O401" s="276">
        <f t="shared" si="1051"/>
        <v>568.07999999614162</v>
      </c>
      <c r="P401" s="276"/>
      <c r="Q401" s="276">
        <f>SUM(Q399:Q400)</f>
        <v>418.73900000184562</v>
      </c>
      <c r="R401" s="276">
        <f t="shared" ref="R401" si="1060">SUM(R399:R400)</f>
        <v>67.556999999918958</v>
      </c>
      <c r="S401" s="276">
        <f t="shared" ref="S401" si="1061">SUM(S399:S400)</f>
        <v>72.9810000040696</v>
      </c>
      <c r="T401" s="276">
        <f t="shared" si="1052"/>
        <v>559.27700000583422</v>
      </c>
      <c r="U401" s="276"/>
      <c r="V401" s="276">
        <f>SUM(V399:V400)</f>
        <v>433.68300000233415</v>
      </c>
      <c r="W401" s="276">
        <f t="shared" ref="W401" si="1062">SUM(W399:W400)</f>
        <v>72.769000000439519</v>
      </c>
      <c r="X401" s="276">
        <f t="shared" ref="X401" si="1063">SUM(X399:X400)</f>
        <v>74.103000003282133</v>
      </c>
      <c r="Y401" s="276">
        <f t="shared" si="1053"/>
        <v>580.55500000605582</v>
      </c>
    </row>
    <row r="402" spans="1:25">
      <c r="C402" s="290"/>
      <c r="D402" s="290"/>
      <c r="E402" s="290"/>
      <c r="F402" s="290"/>
      <c r="G402" s="290"/>
      <c r="H402" s="290"/>
      <c r="I402" s="290"/>
      <c r="J402" s="290"/>
      <c r="K402" s="290"/>
      <c r="L402" s="290"/>
      <c r="M402" s="290"/>
      <c r="N402" s="290"/>
      <c r="O402" s="290"/>
      <c r="P402" s="290"/>
      <c r="Q402" s="290"/>
      <c r="R402" s="290"/>
      <c r="S402" s="290"/>
      <c r="T402" s="290"/>
      <c r="U402" s="290"/>
      <c r="V402" s="290"/>
      <c r="W402" s="290"/>
      <c r="X402" s="290"/>
      <c r="Y402" s="290"/>
    </row>
    <row r="403" spans="1:25">
      <c r="A403" s="237" t="str">
        <f>name!A57</f>
        <v>Scientific research and development</v>
      </c>
      <c r="C403" s="239"/>
    </row>
    <row r="404" spans="1:25" ht="12.6">
      <c r="A404" s="236" t="s">
        <v>145</v>
      </c>
      <c r="B404" s="276">
        <v>23.04899999979602</v>
      </c>
      <c r="C404" s="276">
        <v>5.8429999999055786</v>
      </c>
      <c r="D404" s="276">
        <v>17.836999999946745</v>
      </c>
      <c r="E404" s="276">
        <f>SUM(B404:D404)</f>
        <v>46.728999999648344</v>
      </c>
      <c r="F404" s="276"/>
      <c r="G404" s="276">
        <v>27.185999999706567</v>
      </c>
      <c r="H404" s="276">
        <v>6.4769999999124979</v>
      </c>
      <c r="I404" s="276">
        <v>20.096999999881277</v>
      </c>
      <c r="J404" s="276">
        <f>SUM(G404:I404)</f>
        <v>53.759999999500344</v>
      </c>
      <c r="K404" s="276"/>
      <c r="L404" s="276">
        <v>27.477000000313794</v>
      </c>
      <c r="M404" s="276">
        <v>6.1489999999416431</v>
      </c>
      <c r="N404" s="276">
        <v>16.170999999788744</v>
      </c>
      <c r="O404" s="276">
        <f>SUM(L404:N404)</f>
        <v>49.797000000044179</v>
      </c>
      <c r="P404" s="276"/>
      <c r="Q404" s="276">
        <v>30.641999999644025</v>
      </c>
      <c r="R404" s="276">
        <v>6.7339999999117603</v>
      </c>
      <c r="S404" s="276">
        <v>18.68900000006921</v>
      </c>
      <c r="T404" s="276">
        <f>SUM(Q404:S404)</f>
        <v>56.064999999625002</v>
      </c>
      <c r="U404" s="276"/>
      <c r="V404" s="276">
        <v>34.37499999989295</v>
      </c>
      <c r="W404" s="276">
        <v>7.4669999999274621</v>
      </c>
      <c r="X404" s="276">
        <v>23.109000000150456</v>
      </c>
      <c r="Y404" s="276">
        <f>SUM(V404:X404)</f>
        <v>64.950999999970861</v>
      </c>
    </row>
    <row r="405" spans="1:25" ht="12.6">
      <c r="A405" s="236" t="s">
        <v>144</v>
      </c>
      <c r="B405" s="276">
        <v>61.237999999431572</v>
      </c>
      <c r="C405" s="276">
        <v>5.5129999998747232</v>
      </c>
      <c r="D405" s="276">
        <v>31.176000000213079</v>
      </c>
      <c r="E405" s="276">
        <f t="shared" ref="E405:E406" si="1064">SUM(B405:D405)</f>
        <v>97.926999999519381</v>
      </c>
      <c r="F405" s="276"/>
      <c r="G405" s="276">
        <v>70.652999999429085</v>
      </c>
      <c r="H405" s="276">
        <v>5.650999999878044</v>
      </c>
      <c r="I405" s="276">
        <v>35.701999999665311</v>
      </c>
      <c r="J405" s="276">
        <f t="shared" ref="J405:J406" si="1065">SUM(G405:I405)</f>
        <v>112.00599999897244</v>
      </c>
      <c r="K405" s="276"/>
      <c r="L405" s="276">
        <v>68.126999999748378</v>
      </c>
      <c r="M405" s="276">
        <v>5.0180000000457232</v>
      </c>
      <c r="N405" s="276">
        <v>27.003000000391239</v>
      </c>
      <c r="O405" s="276">
        <f t="shared" ref="O405:O406" si="1066">SUM(L405:N405)</f>
        <v>100.14800000018533</v>
      </c>
      <c r="P405" s="276"/>
      <c r="Q405" s="276">
        <v>74.785999999222483</v>
      </c>
      <c r="R405" s="276">
        <v>5.7299999998017279</v>
      </c>
      <c r="S405" s="276">
        <v>30.227000001605965</v>
      </c>
      <c r="T405" s="276">
        <f t="shared" ref="T405:T406" si="1067">SUM(Q405:S405)</f>
        <v>110.74300000063019</v>
      </c>
      <c r="U405" s="276"/>
      <c r="V405" s="276">
        <v>81.819999998749026</v>
      </c>
      <c r="W405" s="276">
        <v>6.9109999997625327</v>
      </c>
      <c r="X405" s="276">
        <v>34.862000001298036</v>
      </c>
      <c r="Y405" s="276">
        <f t="shared" ref="Y405:Y406" si="1068">SUM(V405:X405)</f>
        <v>123.59299999980959</v>
      </c>
    </row>
    <row r="406" spans="1:25" ht="12.6">
      <c r="A406" s="236" t="s">
        <v>146</v>
      </c>
      <c r="B406" s="276">
        <f>SUM(B404:B405)</f>
        <v>84.286999999227589</v>
      </c>
      <c r="C406" s="276">
        <f t="shared" ref="C406" si="1069">SUM(C404:C405)</f>
        <v>11.355999999780302</v>
      </c>
      <c r="D406" s="276">
        <f t="shared" ref="D406" si="1070">SUM(D404:D405)</f>
        <v>49.013000000159821</v>
      </c>
      <c r="E406" s="276">
        <f t="shared" si="1064"/>
        <v>144.6559999991677</v>
      </c>
      <c r="F406" s="276"/>
      <c r="G406" s="276">
        <f>SUM(G404:G405)</f>
        <v>97.838999999135652</v>
      </c>
      <c r="H406" s="276">
        <f t="shared" ref="H406" si="1071">SUM(H404:H405)</f>
        <v>12.127999999790543</v>
      </c>
      <c r="I406" s="276">
        <f t="shared" ref="I406" si="1072">SUM(I404:I405)</f>
        <v>55.798999999546588</v>
      </c>
      <c r="J406" s="276">
        <f t="shared" si="1065"/>
        <v>165.76599999847278</v>
      </c>
      <c r="K406" s="276"/>
      <c r="L406" s="276">
        <f>SUM(L404:L405)</f>
        <v>95.604000000062172</v>
      </c>
      <c r="M406" s="276">
        <f t="shared" ref="M406" si="1073">SUM(M404:M405)</f>
        <v>11.166999999987366</v>
      </c>
      <c r="N406" s="276">
        <f t="shared" ref="N406" si="1074">SUM(N404:N405)</f>
        <v>43.174000000179987</v>
      </c>
      <c r="O406" s="276">
        <f t="shared" si="1066"/>
        <v>149.94500000022953</v>
      </c>
      <c r="P406" s="276"/>
      <c r="Q406" s="276">
        <f>SUM(Q404:Q405)</f>
        <v>105.42799999886651</v>
      </c>
      <c r="R406" s="276">
        <f t="shared" ref="R406" si="1075">SUM(R404:R405)</f>
        <v>12.463999999713488</v>
      </c>
      <c r="S406" s="276">
        <f t="shared" ref="S406" si="1076">SUM(S404:S405)</f>
        <v>48.916000001675172</v>
      </c>
      <c r="T406" s="276">
        <f t="shared" si="1067"/>
        <v>166.80800000025516</v>
      </c>
      <c r="U406" s="276"/>
      <c r="V406" s="276">
        <f>SUM(V404:V405)</f>
        <v>116.19499999864198</v>
      </c>
      <c r="W406" s="276">
        <f t="shared" ref="W406" si="1077">SUM(W404:W405)</f>
        <v>14.377999999689994</v>
      </c>
      <c r="X406" s="276">
        <f t="shared" ref="X406" si="1078">SUM(X404:X405)</f>
        <v>57.971000001448488</v>
      </c>
      <c r="Y406" s="276">
        <f t="shared" si="1068"/>
        <v>188.54399999978045</v>
      </c>
    </row>
    <row r="407" spans="1:25">
      <c r="C407" s="290"/>
      <c r="D407" s="290"/>
      <c r="E407" s="290"/>
      <c r="F407" s="290"/>
      <c r="G407" s="290"/>
      <c r="H407" s="290"/>
      <c r="I407" s="290"/>
      <c r="J407" s="290"/>
      <c r="K407" s="290"/>
      <c r="L407" s="290"/>
      <c r="M407" s="290"/>
      <c r="N407" s="290"/>
      <c r="O407" s="290"/>
      <c r="P407" s="290"/>
      <c r="Q407" s="290"/>
      <c r="R407" s="290"/>
      <c r="S407" s="290"/>
      <c r="T407" s="290"/>
      <c r="U407" s="290"/>
      <c r="V407" s="290"/>
      <c r="W407" s="290"/>
      <c r="X407" s="290"/>
      <c r="Y407" s="290"/>
    </row>
    <row r="408" spans="1:25">
      <c r="A408" s="237" t="str">
        <f>name!A58</f>
        <v>Advertising, etc</v>
      </c>
      <c r="C408" s="239"/>
    </row>
    <row r="409" spans="1:25" ht="12.6">
      <c r="A409" s="236" t="s">
        <v>145</v>
      </c>
      <c r="B409" s="276">
        <v>83.997999998378319</v>
      </c>
      <c r="C409" s="276">
        <v>34.912999999845688</v>
      </c>
      <c r="D409" s="276">
        <v>30.213999999987479</v>
      </c>
      <c r="E409" s="276">
        <f>SUM(B409:D409)</f>
        <v>149.12499999821148</v>
      </c>
      <c r="F409" s="276"/>
      <c r="G409" s="276">
        <v>83.971999997978287</v>
      </c>
      <c r="H409" s="276">
        <v>27.36299999986845</v>
      </c>
      <c r="I409" s="276">
        <v>27.059999999945688</v>
      </c>
      <c r="J409" s="276">
        <f>SUM(G409:I409)</f>
        <v>138.39499999779241</v>
      </c>
      <c r="K409" s="276"/>
      <c r="L409" s="276">
        <v>83.987999999389032</v>
      </c>
      <c r="M409" s="276">
        <v>27.299999999958786</v>
      </c>
      <c r="N409" s="276">
        <v>23.5209999996822</v>
      </c>
      <c r="O409" s="276">
        <f>SUM(L409:N409)</f>
        <v>134.80899999903002</v>
      </c>
      <c r="P409" s="276"/>
      <c r="Q409" s="276">
        <v>94.144000002431369</v>
      </c>
      <c r="R409" s="276">
        <v>30.381999999973605</v>
      </c>
      <c r="S409" s="276">
        <v>27.435000000043509</v>
      </c>
      <c r="T409" s="276">
        <f>SUM(Q409:S409)</f>
        <v>151.96100000244849</v>
      </c>
      <c r="U409" s="276"/>
      <c r="V409" s="276">
        <v>103.79200000345344</v>
      </c>
      <c r="W409" s="276">
        <v>33.725000000414084</v>
      </c>
      <c r="X409" s="276">
        <v>33.465000000168359</v>
      </c>
      <c r="Y409" s="276">
        <f>SUM(V409:X409)</f>
        <v>170.98200000403585</v>
      </c>
    </row>
    <row r="410" spans="1:25" ht="12.6">
      <c r="A410" s="236" t="s">
        <v>144</v>
      </c>
      <c r="B410" s="276">
        <v>65.543999998340368</v>
      </c>
      <c r="C410" s="276">
        <v>10.031999999865842</v>
      </c>
      <c r="D410" s="276">
        <v>31.381000000311825</v>
      </c>
      <c r="E410" s="276">
        <f t="shared" ref="E410:E411" si="1079">SUM(B410:D410)</f>
        <v>106.95699999851804</v>
      </c>
      <c r="F410" s="276"/>
      <c r="G410" s="276">
        <v>60.580999998857905</v>
      </c>
      <c r="H410" s="276">
        <v>7.3319999999166292</v>
      </c>
      <c r="I410" s="276">
        <v>30.339999999749214</v>
      </c>
      <c r="J410" s="276">
        <f t="shared" ref="J410:J411" si="1080">SUM(G410:I410)</f>
        <v>98.252999998523748</v>
      </c>
      <c r="K410" s="276"/>
      <c r="L410" s="276">
        <v>56.772000000041281</v>
      </c>
      <c r="M410" s="276">
        <v>6.5850000000130571</v>
      </c>
      <c r="N410" s="276">
        <v>22.869000000719176</v>
      </c>
      <c r="O410" s="276">
        <f t="shared" ref="O410:O411" si="1081">SUM(L410:N410)</f>
        <v>86.226000000773524</v>
      </c>
      <c r="P410" s="276"/>
      <c r="Q410" s="276">
        <v>62.775000000353749</v>
      </c>
      <c r="R410" s="276">
        <v>7.6509999999571825</v>
      </c>
      <c r="S410" s="276">
        <v>25.81100000195735</v>
      </c>
      <c r="T410" s="276">
        <f t="shared" ref="T410:T411" si="1082">SUM(Q410:S410)</f>
        <v>96.237000002268289</v>
      </c>
      <c r="U410" s="276"/>
      <c r="V410" s="276">
        <v>67.022000000296615</v>
      </c>
      <c r="W410" s="276">
        <v>9.2149999999630445</v>
      </c>
      <c r="X410" s="276">
        <v>29.179000001765647</v>
      </c>
      <c r="Y410" s="276">
        <f t="shared" ref="Y410:Y411" si="1083">SUM(V410:X410)</f>
        <v>105.4160000020253</v>
      </c>
    </row>
    <row r="411" spans="1:25" ht="12.6">
      <c r="A411" s="236" t="s">
        <v>146</v>
      </c>
      <c r="B411" s="276">
        <f>SUM(B409:B410)</f>
        <v>149.54199999671869</v>
      </c>
      <c r="C411" s="276">
        <f t="shared" ref="C411" si="1084">SUM(C409:C410)</f>
        <v>44.944999999711527</v>
      </c>
      <c r="D411" s="276">
        <f t="shared" ref="D411" si="1085">SUM(D409:D410)</f>
        <v>61.595000000299308</v>
      </c>
      <c r="E411" s="276">
        <f t="shared" si="1079"/>
        <v>256.08199999672951</v>
      </c>
      <c r="F411" s="276"/>
      <c r="G411" s="276">
        <f>SUM(G409:G410)</f>
        <v>144.55299999683621</v>
      </c>
      <c r="H411" s="276">
        <f t="shared" ref="H411" si="1086">SUM(H409:H410)</f>
        <v>34.694999999785082</v>
      </c>
      <c r="I411" s="276">
        <f t="shared" ref="I411" si="1087">SUM(I409:I410)</f>
        <v>57.399999999694899</v>
      </c>
      <c r="J411" s="276">
        <f t="shared" si="1080"/>
        <v>236.64799999631617</v>
      </c>
      <c r="K411" s="276"/>
      <c r="L411" s="276">
        <f>SUM(L409:L410)</f>
        <v>140.75999999943031</v>
      </c>
      <c r="M411" s="276">
        <f t="shared" ref="M411" si="1088">SUM(M409:M410)</f>
        <v>33.884999999971839</v>
      </c>
      <c r="N411" s="276">
        <f t="shared" ref="N411" si="1089">SUM(N409:N410)</f>
        <v>46.390000000401372</v>
      </c>
      <c r="O411" s="276">
        <f t="shared" si="1081"/>
        <v>221.03499999980352</v>
      </c>
      <c r="P411" s="276"/>
      <c r="Q411" s="276">
        <f>SUM(Q409:Q410)</f>
        <v>156.91900000278511</v>
      </c>
      <c r="R411" s="276">
        <f t="shared" ref="R411" si="1090">SUM(R409:R410)</f>
        <v>38.032999999930787</v>
      </c>
      <c r="S411" s="276">
        <f t="shared" ref="S411" si="1091">SUM(S409:S410)</f>
        <v>53.246000002000855</v>
      </c>
      <c r="T411" s="276">
        <f t="shared" si="1082"/>
        <v>248.19800000471673</v>
      </c>
      <c r="U411" s="276"/>
      <c r="V411" s="276">
        <f>SUM(V409:V410)</f>
        <v>170.81400000375004</v>
      </c>
      <c r="W411" s="276">
        <f t="shared" ref="W411" si="1092">SUM(W409:W410)</f>
        <v>42.940000000377125</v>
      </c>
      <c r="X411" s="276">
        <f t="shared" ref="X411" si="1093">SUM(X409:X410)</f>
        <v>62.644000001934003</v>
      </c>
      <c r="Y411" s="276">
        <f t="shared" si="1083"/>
        <v>276.39800000606118</v>
      </c>
    </row>
    <row r="412" spans="1:25">
      <c r="C412" s="290"/>
      <c r="D412" s="290"/>
      <c r="E412" s="290"/>
      <c r="F412" s="290"/>
      <c r="G412" s="290"/>
      <c r="H412" s="290"/>
      <c r="I412" s="290"/>
      <c r="J412" s="290"/>
      <c r="K412" s="290"/>
      <c r="L412" s="290"/>
      <c r="M412" s="290"/>
      <c r="N412" s="290"/>
      <c r="O412" s="290"/>
      <c r="P412" s="290"/>
      <c r="Q412" s="290"/>
      <c r="R412" s="290"/>
      <c r="S412" s="290"/>
      <c r="T412" s="290"/>
      <c r="U412" s="290"/>
      <c r="V412" s="290"/>
      <c r="W412" s="290"/>
      <c r="X412" s="290"/>
      <c r="Y412" s="290"/>
    </row>
    <row r="413" spans="1:25">
      <c r="A413" s="237" t="str">
        <f>name!A59</f>
        <v>Other professional</v>
      </c>
      <c r="C413" s="239"/>
    </row>
    <row r="414" spans="1:25" ht="12.6">
      <c r="A414" s="236" t="s">
        <v>145</v>
      </c>
      <c r="B414" s="276">
        <v>42.733999999378078</v>
      </c>
      <c r="C414" s="276">
        <v>21.069000000123843</v>
      </c>
      <c r="D414" s="276">
        <v>23.552000000182844</v>
      </c>
      <c r="E414" s="276">
        <f>SUM(B414:D414)</f>
        <v>87.354999999684765</v>
      </c>
      <c r="F414" s="276"/>
      <c r="G414" s="276">
        <v>52.549999999131103</v>
      </c>
      <c r="H414" s="276">
        <v>29.916000000147449</v>
      </c>
      <c r="I414" s="276">
        <v>27.867000000174926</v>
      </c>
      <c r="J414" s="276">
        <f>SUM(G414:I414)</f>
        <v>110.33299999945348</v>
      </c>
      <c r="K414" s="276"/>
      <c r="L414" s="276">
        <v>54.594999999544086</v>
      </c>
      <c r="M414" s="276">
        <v>29.26600000005681</v>
      </c>
      <c r="N414" s="276">
        <v>25.591999999446227</v>
      </c>
      <c r="O414" s="276">
        <f>SUM(L414:N414)</f>
        <v>109.45299999904712</v>
      </c>
      <c r="P414" s="276"/>
      <c r="Q414" s="276">
        <v>60.907000001356444</v>
      </c>
      <c r="R414" s="276">
        <v>32.159000000163061</v>
      </c>
      <c r="S414" s="276">
        <v>29.582000000091792</v>
      </c>
      <c r="T414" s="276">
        <f>SUM(Q414:S414)</f>
        <v>122.64800000161131</v>
      </c>
      <c r="U414" s="276"/>
      <c r="V414" s="276">
        <v>68.102000002084779</v>
      </c>
      <c r="W414" s="276">
        <v>35.503000000453788</v>
      </c>
      <c r="X414" s="276">
        <v>36.119000000143195</v>
      </c>
      <c r="Y414" s="276">
        <f>SUM(V414:X414)</f>
        <v>139.72400000268175</v>
      </c>
    </row>
    <row r="415" spans="1:25" ht="12.6">
      <c r="A415" s="236" t="s">
        <v>144</v>
      </c>
      <c r="B415" s="276">
        <v>71.16799999889345</v>
      </c>
      <c r="C415" s="276">
        <v>8.4050000000387328</v>
      </c>
      <c r="D415" s="276">
        <v>40.620000000547151</v>
      </c>
      <c r="E415" s="276">
        <f t="shared" ref="E415:E416" si="1094">SUM(B415:D415)</f>
        <v>120.19299999947933</v>
      </c>
      <c r="F415" s="276"/>
      <c r="G415" s="276">
        <v>80.608999999092703</v>
      </c>
      <c r="H415" s="276">
        <v>10.260000000051448</v>
      </c>
      <c r="I415" s="276">
        <v>47.541999999869567</v>
      </c>
      <c r="J415" s="276">
        <f t="shared" ref="J415:J416" si="1095">SUM(G415:I415)</f>
        <v>138.41099999901371</v>
      </c>
      <c r="K415" s="276"/>
      <c r="L415" s="276">
        <v>76.61099999966082</v>
      </c>
      <c r="M415" s="276">
        <v>9.0920000000308701</v>
      </c>
      <c r="N415" s="276">
        <v>38.382000000767825</v>
      </c>
      <c r="O415" s="276">
        <f t="shared" ref="O415:O416" si="1096">SUM(L415:N415)</f>
        <v>124.0850000004595</v>
      </c>
      <c r="P415" s="276"/>
      <c r="Q415" s="276">
        <v>84.346000000031324</v>
      </c>
      <c r="R415" s="276">
        <v>10.425000000048042</v>
      </c>
      <c r="S415" s="276">
        <v>43.0570000024167</v>
      </c>
      <c r="T415" s="276">
        <f t="shared" ref="T415:T416" si="1097">SUM(Q415:S415)</f>
        <v>137.82800000249608</v>
      </c>
      <c r="U415" s="276"/>
      <c r="V415" s="276">
        <v>90.782999999737342</v>
      </c>
      <c r="W415" s="276">
        <v>12.468000000065246</v>
      </c>
      <c r="X415" s="276">
        <v>49.030000002136056</v>
      </c>
      <c r="Y415" s="276">
        <f t="shared" ref="Y415:Y416" si="1098">SUM(V415:X415)</f>
        <v>152.28100000193865</v>
      </c>
    </row>
    <row r="416" spans="1:25" ht="12.6">
      <c r="A416" s="236" t="s">
        <v>146</v>
      </c>
      <c r="B416" s="276">
        <f>SUM(B414:B415)</f>
        <v>113.90199999827152</v>
      </c>
      <c r="C416" s="276">
        <f t="shared" ref="C416" si="1099">SUM(C414:C415)</f>
        <v>29.474000000162576</v>
      </c>
      <c r="D416" s="276">
        <f t="shared" ref="D416" si="1100">SUM(D414:D415)</f>
        <v>64.172000000729994</v>
      </c>
      <c r="E416" s="276">
        <f t="shared" si="1094"/>
        <v>207.54799999916412</v>
      </c>
      <c r="F416" s="276"/>
      <c r="G416" s="276">
        <f>SUM(G414:G415)</f>
        <v>133.15899999822381</v>
      </c>
      <c r="H416" s="276">
        <f t="shared" ref="H416" si="1101">SUM(H414:H415)</f>
        <v>40.176000000198897</v>
      </c>
      <c r="I416" s="276">
        <f t="shared" ref="I416" si="1102">SUM(I414:I415)</f>
        <v>75.4090000000445</v>
      </c>
      <c r="J416" s="276">
        <f t="shared" si="1095"/>
        <v>248.74399999846719</v>
      </c>
      <c r="K416" s="276"/>
      <c r="L416" s="276">
        <f>SUM(L414:L415)</f>
        <v>131.20599999920489</v>
      </c>
      <c r="M416" s="276">
        <f t="shared" ref="M416" si="1103">SUM(M414:M415)</f>
        <v>38.358000000087678</v>
      </c>
      <c r="N416" s="276">
        <f t="shared" ref="N416" si="1104">SUM(N414:N415)</f>
        <v>63.974000000214048</v>
      </c>
      <c r="O416" s="276">
        <f t="shared" si="1096"/>
        <v>233.53799999950661</v>
      </c>
      <c r="P416" s="276"/>
      <c r="Q416" s="276">
        <f>SUM(Q414:Q415)</f>
        <v>145.25300000138776</v>
      </c>
      <c r="R416" s="276">
        <f t="shared" ref="R416" si="1105">SUM(R414:R415)</f>
        <v>42.584000000211105</v>
      </c>
      <c r="S416" s="276">
        <f t="shared" ref="S416" si="1106">SUM(S414:S415)</f>
        <v>72.639000002508496</v>
      </c>
      <c r="T416" s="276">
        <f t="shared" si="1097"/>
        <v>260.47600000410739</v>
      </c>
      <c r="U416" s="276"/>
      <c r="V416" s="276">
        <f>SUM(V414:V415)</f>
        <v>158.88500000182211</v>
      </c>
      <c r="W416" s="276">
        <f t="shared" ref="W416" si="1107">SUM(W414:W415)</f>
        <v>47.971000000519034</v>
      </c>
      <c r="X416" s="276">
        <f t="shared" ref="X416" si="1108">SUM(X414:X415)</f>
        <v>85.149000002279251</v>
      </c>
      <c r="Y416" s="276">
        <f t="shared" si="1098"/>
        <v>292.0050000046204</v>
      </c>
    </row>
    <row r="417" spans="1:25">
      <c r="A417" s="237"/>
      <c r="C417" s="290"/>
      <c r="D417" s="290"/>
      <c r="E417" s="290"/>
      <c r="F417" s="290"/>
      <c r="G417" s="290"/>
      <c r="H417" s="290"/>
      <c r="I417" s="290"/>
      <c r="J417" s="290"/>
      <c r="K417" s="290"/>
      <c r="L417" s="290"/>
      <c r="M417" s="290"/>
      <c r="N417" s="290"/>
      <c r="O417" s="290"/>
      <c r="P417" s="290"/>
      <c r="Q417" s="290"/>
      <c r="R417" s="290"/>
      <c r="S417" s="290"/>
      <c r="T417" s="290"/>
      <c r="U417" s="290"/>
      <c r="V417" s="290"/>
      <c r="W417" s="290"/>
      <c r="X417" s="290"/>
      <c r="Y417" s="290"/>
    </row>
    <row r="418" spans="1:25">
      <c r="A418" s="237" t="str">
        <f>name!A60</f>
        <v>Veterinary</v>
      </c>
      <c r="C418" s="239"/>
    </row>
    <row r="419" spans="1:25" ht="12.6">
      <c r="A419" s="236" t="s">
        <v>145</v>
      </c>
      <c r="B419" s="276">
        <v>16.992999999828701</v>
      </c>
      <c r="C419" s="276">
        <v>11.852999999779056</v>
      </c>
      <c r="D419" s="276">
        <v>14.309999998900706</v>
      </c>
      <c r="E419" s="276">
        <f>SUM(B419:D419)</f>
        <v>43.155999998508463</v>
      </c>
      <c r="F419" s="276"/>
      <c r="G419" s="276">
        <v>25.964999999731603</v>
      </c>
      <c r="H419" s="276">
        <v>20.242999999743105</v>
      </c>
      <c r="I419" s="276">
        <v>23.282999998295789</v>
      </c>
      <c r="J419" s="276">
        <f>SUM(G419:I419)</f>
        <v>69.490999997770501</v>
      </c>
      <c r="K419" s="276"/>
      <c r="L419" s="276">
        <v>26.596999999857601</v>
      </c>
      <c r="M419" s="276">
        <v>19.50799999969832</v>
      </c>
      <c r="N419" s="276">
        <v>19.237000001283672</v>
      </c>
      <c r="O419" s="276">
        <f>SUM(L419:N419)</f>
        <v>65.34200000083959</v>
      </c>
      <c r="P419" s="276"/>
      <c r="Q419" s="276">
        <v>29.776999999826216</v>
      </c>
      <c r="R419" s="276">
        <v>21.717999999282615</v>
      </c>
      <c r="S419" s="276">
        <v>22.496999999757023</v>
      </c>
      <c r="T419" s="276">
        <f>SUM(Q419:S419)</f>
        <v>73.99199999886585</v>
      </c>
      <c r="U419" s="276"/>
      <c r="V419" s="276">
        <v>33.629999999827554</v>
      </c>
      <c r="W419" s="276">
        <v>24.414999999051854</v>
      </c>
      <c r="X419" s="276">
        <v>28.082999999950417</v>
      </c>
      <c r="Y419" s="276">
        <f>SUM(V419:X419)</f>
        <v>86.127999998829821</v>
      </c>
    </row>
    <row r="420" spans="1:25" ht="12.6">
      <c r="A420" s="236" t="s">
        <v>144</v>
      </c>
      <c r="B420" s="276">
        <v>17.647999999883933</v>
      </c>
      <c r="C420" s="276">
        <v>4.1239999999827743</v>
      </c>
      <c r="D420" s="276">
        <v>3.6900000001692783</v>
      </c>
      <c r="E420" s="276">
        <f t="shared" ref="E420:E421" si="1109">SUM(B420:D420)</f>
        <v>25.462000000035985</v>
      </c>
      <c r="F420" s="276"/>
      <c r="G420" s="276">
        <v>24.620999999896217</v>
      </c>
      <c r="H420" s="276">
        <v>6.1529999999748171</v>
      </c>
      <c r="I420" s="276">
        <v>5.362999999965715</v>
      </c>
      <c r="J420" s="276">
        <f t="shared" ref="J420:J421" si="1110">SUM(G420:I420)</f>
        <v>36.136999999836746</v>
      </c>
      <c r="K420" s="276"/>
      <c r="L420" s="276">
        <v>23.389999999854034</v>
      </c>
      <c r="M420" s="276">
        <v>5.9580000000092239</v>
      </c>
      <c r="N420" s="276">
        <v>4.4450000001236827</v>
      </c>
      <c r="O420" s="276">
        <f t="shared" ref="O420:O421" si="1111">SUM(L420:N420)</f>
        <v>33.792999999986939</v>
      </c>
      <c r="P420" s="276"/>
      <c r="Q420" s="276">
        <v>26.000999999857783</v>
      </c>
      <c r="R420" s="276">
        <v>6.9009999999487839</v>
      </c>
      <c r="S420" s="276">
        <v>5.0180000004904066</v>
      </c>
      <c r="T420" s="276">
        <f t="shared" ref="T420:T421" si="1112">SUM(Q420:S420)</f>
        <v>37.920000000296966</v>
      </c>
      <c r="U420" s="276"/>
      <c r="V420" s="276">
        <v>28.659999999808559</v>
      </c>
      <c r="W420" s="276">
        <v>8.3859999999337109</v>
      </c>
      <c r="X420" s="276">
        <v>5.8260000004783299</v>
      </c>
      <c r="Y420" s="276">
        <f t="shared" ref="Y420:Y421" si="1113">SUM(V420:X420)</f>
        <v>42.872000000220602</v>
      </c>
    </row>
    <row r="421" spans="1:25" ht="12.6">
      <c r="A421" s="236" t="s">
        <v>146</v>
      </c>
      <c r="B421" s="276">
        <f>SUM(B419:B420)</f>
        <v>34.640999999712633</v>
      </c>
      <c r="C421" s="276">
        <f t="shared" ref="C421" si="1114">SUM(C419:C420)</f>
        <v>15.97699999976183</v>
      </c>
      <c r="D421" s="276">
        <f t="shared" ref="D421" si="1115">SUM(D419:D420)</f>
        <v>17.999999999069985</v>
      </c>
      <c r="E421" s="276">
        <f t="shared" si="1109"/>
        <v>68.617999998544448</v>
      </c>
      <c r="F421" s="276"/>
      <c r="G421" s="276">
        <f>SUM(G419:G420)</f>
        <v>50.585999999627816</v>
      </c>
      <c r="H421" s="276">
        <f t="shared" ref="H421" si="1116">SUM(H419:H420)</f>
        <v>26.395999999717922</v>
      </c>
      <c r="I421" s="276">
        <f t="shared" ref="I421" si="1117">SUM(I419:I420)</f>
        <v>28.645999998261505</v>
      </c>
      <c r="J421" s="276">
        <f t="shared" si="1110"/>
        <v>105.62799999760723</v>
      </c>
      <c r="K421" s="276"/>
      <c r="L421" s="276">
        <f>SUM(L419:L420)</f>
        <v>49.986999999711635</v>
      </c>
      <c r="M421" s="276">
        <f t="shared" ref="M421" si="1118">SUM(M419:M420)</f>
        <v>25.465999999707545</v>
      </c>
      <c r="N421" s="276">
        <f t="shared" ref="N421" si="1119">SUM(N419:N420)</f>
        <v>23.682000001407353</v>
      </c>
      <c r="O421" s="276">
        <f t="shared" si="1111"/>
        <v>99.135000000826523</v>
      </c>
      <c r="P421" s="276"/>
      <c r="Q421" s="276">
        <f>SUM(Q419:Q420)</f>
        <v>55.777999999683999</v>
      </c>
      <c r="R421" s="276">
        <f t="shared" ref="R421" si="1120">SUM(R419:R420)</f>
        <v>28.618999999231399</v>
      </c>
      <c r="S421" s="276">
        <f t="shared" ref="S421" si="1121">SUM(S419:S420)</f>
        <v>27.515000000247429</v>
      </c>
      <c r="T421" s="276">
        <f t="shared" si="1112"/>
        <v>111.91199999916282</v>
      </c>
      <c r="U421" s="276"/>
      <c r="V421" s="276">
        <f>SUM(V419:V420)</f>
        <v>62.289999999636109</v>
      </c>
      <c r="W421" s="276">
        <f t="shared" ref="W421" si="1122">SUM(W419:W420)</f>
        <v>32.800999998985567</v>
      </c>
      <c r="X421" s="276">
        <f t="shared" ref="X421" si="1123">SUM(X419:X420)</f>
        <v>33.909000000428748</v>
      </c>
      <c r="Y421" s="276">
        <f t="shared" si="1113"/>
        <v>128.99999999905043</v>
      </c>
    </row>
    <row r="423" spans="1:25">
      <c r="A423" s="237" t="s">
        <v>158</v>
      </c>
    </row>
    <row r="424" spans="1:25" ht="12.6">
      <c r="A424" s="236" t="s">
        <v>145</v>
      </c>
      <c r="B424" s="276">
        <f>SUM(B389,B394,B399,B404,B409,B414,B419)</f>
        <v>678.00699998773678</v>
      </c>
      <c r="C424" s="276">
        <f t="shared" ref="C424:D425" si="1124">SUM(C389,C394,C399,C404,C409,C414,C419)</f>
        <v>324.50299999853746</v>
      </c>
      <c r="D424" s="276">
        <f t="shared" si="1124"/>
        <v>187.59399999914012</v>
      </c>
      <c r="E424" s="276">
        <f>SUM(B424:D424)</f>
        <v>1190.1039999854142</v>
      </c>
      <c r="F424" s="276"/>
      <c r="G424" s="276">
        <f>SUM(G389,G394,G399,G404,G409,G414,G419)</f>
        <v>763.79699998410615</v>
      </c>
      <c r="H424" s="276">
        <f t="shared" ref="H424:I424" si="1125">SUM(H389,H394,H399,H404,H409,H414,H419)</f>
        <v>362.72099999889002</v>
      </c>
      <c r="I424" s="276">
        <f t="shared" si="1125"/>
        <v>186.34999999819723</v>
      </c>
      <c r="J424" s="276">
        <f>SUM(G424:I424)</f>
        <v>1312.8679999811934</v>
      </c>
      <c r="K424" s="276"/>
      <c r="L424" s="276">
        <f>SUM(L389,L394,L399,L404,L409,L414,L419)</f>
        <v>757.22799999240647</v>
      </c>
      <c r="M424" s="276">
        <f t="shared" ref="M424:N424" si="1126">SUM(M389,M394,M399,M404,M409,M414,M419)</f>
        <v>362.68599999928296</v>
      </c>
      <c r="N424" s="276">
        <f t="shared" si="1126"/>
        <v>174.71599999843434</v>
      </c>
      <c r="O424" s="276">
        <f>SUM(L424:N424)</f>
        <v>1294.6299999901239</v>
      </c>
      <c r="P424" s="276"/>
      <c r="Q424" s="276">
        <f>SUM(Q389,Q394,Q399,Q404,Q409,Q414,Q419)</f>
        <v>801.8080000173353</v>
      </c>
      <c r="R424" s="276">
        <f t="shared" ref="R424:S424" si="1127">SUM(R389,R394,R399,R404,R409,R414,R419)</f>
        <v>385.12500000026063</v>
      </c>
      <c r="S424" s="276">
        <f t="shared" si="1127"/>
        <v>189.86699999982562</v>
      </c>
      <c r="T424" s="276">
        <f>SUM(Q424:S424)</f>
        <v>1376.8000000174216</v>
      </c>
      <c r="U424" s="276"/>
      <c r="V424" s="276">
        <f>SUM(V389,V394,V399,V404,V409,V414,V419)</f>
        <v>858.28700002731978</v>
      </c>
      <c r="W424" s="276">
        <f t="shared" ref="W424:X424" si="1128">SUM(W389,W394,W399,W404,W409,W414,W419)</f>
        <v>415.81800000431514</v>
      </c>
      <c r="X424" s="276">
        <f t="shared" si="1128"/>
        <v>212.90100000109561</v>
      </c>
      <c r="Y424" s="276">
        <f>SUM(V424:X424)</f>
        <v>1487.0060000327305</v>
      </c>
    </row>
    <row r="425" spans="1:25" ht="12.6">
      <c r="A425" s="236" t="s">
        <v>144</v>
      </c>
      <c r="B425" s="276">
        <f>SUM(B390,B395,B400,B405,B410,B415,B420)</f>
        <v>1024.2379999788382</v>
      </c>
      <c r="C425" s="276">
        <f t="shared" si="1124"/>
        <v>117.64199999868654</v>
      </c>
      <c r="D425" s="276">
        <f t="shared" si="1124"/>
        <v>275.94700000322183</v>
      </c>
      <c r="E425" s="276">
        <f t="shared" ref="E425:E426" si="1129">SUM(B425:D425)</f>
        <v>1417.8269999807465</v>
      </c>
      <c r="F425" s="276"/>
      <c r="G425" s="276">
        <f>SUM(G390,G395,G400,G405,G410,G415,G420)</f>
        <v>1103.2319999842073</v>
      </c>
      <c r="H425" s="276">
        <f t="shared" ref="H425:I425" si="1130">SUM(H390,H395,H400,H405,H410,H415,H420)</f>
        <v>133.29899999884529</v>
      </c>
      <c r="I425" s="276">
        <f t="shared" si="1130"/>
        <v>332.3539999982645</v>
      </c>
      <c r="J425" s="276">
        <f t="shared" ref="J425:J426" si="1131">SUM(G425:I425)</f>
        <v>1568.8849999813172</v>
      </c>
      <c r="K425" s="276"/>
      <c r="L425" s="276">
        <f>SUM(L390,L395,L400,L405,L410,L415,L420)</f>
        <v>1083.3639999919787</v>
      </c>
      <c r="M425" s="276">
        <f t="shared" ref="M425:N425" si="1132">SUM(M390,M395,M400,M405,M410,M415,M420)</f>
        <v>164.04800000018474</v>
      </c>
      <c r="N425" s="276">
        <f t="shared" si="1132"/>
        <v>265.123000006263</v>
      </c>
      <c r="O425" s="276">
        <f t="shared" ref="O425:O426" si="1133">SUM(L425:N425)</f>
        <v>1512.5349999984267</v>
      </c>
      <c r="P425" s="276"/>
      <c r="Q425" s="276">
        <f>SUM(Q390,Q395,Q400,Q405,Q410,Q415,Q420)</f>
        <v>1117.1929999986883</v>
      </c>
      <c r="R425" s="276">
        <f t="shared" ref="R425:S425" si="1134">SUM(R390,R395,R400,R405,R410,R415,R420)</f>
        <v>175.25499999912626</v>
      </c>
      <c r="S425" s="276">
        <f t="shared" si="1134"/>
        <v>279.50800001872665</v>
      </c>
      <c r="T425" s="276">
        <f t="shared" ref="T425:T426" si="1135">SUM(Q425:S425)</f>
        <v>1571.9560000165411</v>
      </c>
      <c r="U425" s="276"/>
      <c r="V425" s="276">
        <f>SUM(V390,V395,V400,V405,V410,V415,V420)</f>
        <v>1159.7379999952245</v>
      </c>
      <c r="W425" s="276">
        <f t="shared" ref="W425:X425" si="1136">SUM(W390,W395,W400,W405,W410,W415,W420)</f>
        <v>194.27399999929779</v>
      </c>
      <c r="X425" s="276">
        <f t="shared" si="1136"/>
        <v>299.80600001550386</v>
      </c>
      <c r="Y425" s="276">
        <f t="shared" ref="Y425:Y426" si="1137">SUM(V425:X425)</f>
        <v>1653.818000010026</v>
      </c>
    </row>
    <row r="426" spans="1:25" ht="12.6">
      <c r="A426" s="240" t="s">
        <v>146</v>
      </c>
      <c r="B426" s="277">
        <f>SUM(B424:B425)</f>
        <v>1702.2449999665751</v>
      </c>
      <c r="C426" s="277">
        <f t="shared" ref="C426" si="1138">SUM(C424:C425)</f>
        <v>442.14499999722398</v>
      </c>
      <c r="D426" s="277">
        <f t="shared" ref="D426" si="1139">SUM(D424:D425)</f>
        <v>463.54100000236195</v>
      </c>
      <c r="E426" s="277">
        <f t="shared" si="1129"/>
        <v>2607.9309999661609</v>
      </c>
      <c r="F426" s="277"/>
      <c r="G426" s="277">
        <f>SUM(G424:G425)</f>
        <v>1867.0289999683134</v>
      </c>
      <c r="H426" s="277">
        <f t="shared" ref="H426" si="1140">SUM(H424:H425)</f>
        <v>496.01999999773534</v>
      </c>
      <c r="I426" s="277">
        <f t="shared" ref="I426" si="1141">SUM(I424:I425)</f>
        <v>518.70399999646179</v>
      </c>
      <c r="J426" s="277">
        <f t="shared" si="1131"/>
        <v>2881.7529999625103</v>
      </c>
      <c r="K426" s="277"/>
      <c r="L426" s="277">
        <f>SUM(L424:L425)</f>
        <v>1840.5919999843852</v>
      </c>
      <c r="M426" s="277">
        <f t="shared" ref="M426" si="1142">SUM(M424:M425)</f>
        <v>526.73399999946764</v>
      </c>
      <c r="N426" s="277">
        <f t="shared" ref="N426" si="1143">SUM(N424:N425)</f>
        <v>439.83900000469737</v>
      </c>
      <c r="O426" s="277">
        <f t="shared" si="1133"/>
        <v>2807.1649999885503</v>
      </c>
      <c r="P426" s="277"/>
      <c r="Q426" s="277">
        <f>SUM(Q424:Q425)</f>
        <v>1919.0010000160237</v>
      </c>
      <c r="R426" s="277">
        <f t="shared" ref="R426" si="1144">SUM(R424:R425)</f>
        <v>560.37999999938688</v>
      </c>
      <c r="S426" s="277">
        <f t="shared" ref="S426" si="1145">SUM(S424:S425)</f>
        <v>469.37500001855227</v>
      </c>
      <c r="T426" s="277">
        <f t="shared" si="1135"/>
        <v>2948.7560000339631</v>
      </c>
      <c r="U426" s="277"/>
      <c r="V426" s="277">
        <f>SUM(V424:V425)</f>
        <v>2018.0250000225442</v>
      </c>
      <c r="W426" s="277">
        <f t="shared" ref="W426" si="1146">SUM(W424:W425)</f>
        <v>610.09200000361295</v>
      </c>
      <c r="X426" s="277">
        <f t="shared" ref="X426" si="1147">SUM(X424:X425)</f>
        <v>512.70700001659952</v>
      </c>
      <c r="Y426" s="277">
        <f t="shared" si="1137"/>
        <v>3140.8240000427568</v>
      </c>
    </row>
    <row r="427" spans="1:25" ht="12.6">
      <c r="C427" s="239"/>
    </row>
    <row r="428" spans="1:25">
      <c r="A428" s="237"/>
    </row>
    <row r="429" spans="1:25" ht="12.6">
      <c r="C429" s="239"/>
    </row>
    <row r="430" spans="1:25" ht="14.1">
      <c r="A430" s="241" t="str">
        <f>"Industry 17 : "&amp; name!B20</f>
        <v>Industry 17 : Support services</v>
      </c>
      <c r="B430" s="366">
        <f>$B$5</f>
        <v>2015</v>
      </c>
      <c r="C430" s="366"/>
      <c r="D430" s="366"/>
      <c r="E430" s="366"/>
      <c r="F430" s="291"/>
      <c r="G430" s="366">
        <f>$G$5</f>
        <v>2019</v>
      </c>
      <c r="H430" s="366"/>
      <c r="I430" s="366"/>
      <c r="J430" s="366"/>
      <c r="K430" s="291"/>
      <c r="L430" s="366">
        <f>$L$5</f>
        <v>2020</v>
      </c>
      <c r="M430" s="366"/>
      <c r="N430" s="366"/>
      <c r="O430" s="366"/>
      <c r="P430" s="289"/>
      <c r="Q430" s="366">
        <f>$Q$5</f>
        <v>2025</v>
      </c>
      <c r="R430" s="366"/>
      <c r="S430" s="366"/>
      <c r="T430" s="366"/>
      <c r="U430" s="291"/>
      <c r="V430" s="366">
        <f>$V$5</f>
        <v>2035</v>
      </c>
      <c r="W430" s="366"/>
      <c r="X430" s="366"/>
      <c r="Y430" s="366"/>
    </row>
    <row r="431" spans="1:25">
      <c r="A431" s="240"/>
      <c r="B431" s="244" t="str">
        <f>$B$6</f>
        <v>FT</v>
      </c>
      <c r="C431" s="244" t="str">
        <f>$C$6</f>
        <v>PT</v>
      </c>
      <c r="D431" s="244" t="str">
        <f>$D$6</f>
        <v>SE</v>
      </c>
      <c r="E431" s="244" t="str">
        <f>$E$6</f>
        <v>Total</v>
      </c>
      <c r="F431" s="244"/>
      <c r="G431" s="244" t="str">
        <f>$B$6</f>
        <v>FT</v>
      </c>
      <c r="H431" s="244" t="str">
        <f>$C$6</f>
        <v>PT</v>
      </c>
      <c r="I431" s="244" t="str">
        <f>$D$6</f>
        <v>SE</v>
      </c>
      <c r="J431" s="244" t="str">
        <f>$E$6</f>
        <v>Total</v>
      </c>
      <c r="K431" s="244"/>
      <c r="L431" s="244" t="str">
        <f>$L$6</f>
        <v>FT</v>
      </c>
      <c r="M431" s="244" t="str">
        <f>$M$6</f>
        <v>PT</v>
      </c>
      <c r="N431" s="244" t="str">
        <f>$N$6</f>
        <v>SE</v>
      </c>
      <c r="O431" s="244" t="str">
        <f>$O$6</f>
        <v>Total</v>
      </c>
      <c r="P431" s="244"/>
      <c r="Q431" s="244" t="str">
        <f>$L$6</f>
        <v>FT</v>
      </c>
      <c r="R431" s="244" t="str">
        <f>$M$6</f>
        <v>PT</v>
      </c>
      <c r="S431" s="244" t="str">
        <f>$N$6</f>
        <v>SE</v>
      </c>
      <c r="T431" s="244" t="str">
        <f>$O$6</f>
        <v>Total</v>
      </c>
      <c r="U431" s="244"/>
      <c r="V431" s="244" t="str">
        <f>$V$6</f>
        <v>FT</v>
      </c>
      <c r="W431" s="244" t="str">
        <f>$W$6</f>
        <v>PT</v>
      </c>
      <c r="X431" s="244" t="str">
        <f>$X$6</f>
        <v>SE</v>
      </c>
      <c r="Y431" s="244" t="str">
        <f>$Y$6</f>
        <v>Total</v>
      </c>
    </row>
    <row r="432" spans="1:25">
      <c r="A432" s="238"/>
      <c r="C432" s="290"/>
      <c r="D432" s="290"/>
      <c r="E432" s="290"/>
      <c r="F432" s="290"/>
      <c r="G432" s="290"/>
      <c r="H432" s="290"/>
      <c r="I432" s="290"/>
      <c r="J432" s="290"/>
      <c r="K432" s="290"/>
      <c r="L432" s="290"/>
      <c r="M432" s="290"/>
      <c r="N432" s="290"/>
      <c r="O432" s="290"/>
      <c r="P432" s="290"/>
      <c r="Q432" s="290"/>
      <c r="R432" s="290"/>
      <c r="S432" s="290"/>
      <c r="T432" s="290"/>
      <c r="U432" s="290"/>
      <c r="V432" s="290"/>
      <c r="W432" s="290"/>
      <c r="X432" s="290"/>
      <c r="Y432" s="290"/>
    </row>
    <row r="433" spans="1:25">
      <c r="A433" s="237" t="str">
        <f>name!A61</f>
        <v>Rental and leasing</v>
      </c>
      <c r="C433" s="239"/>
    </row>
    <row r="434" spans="1:25" ht="12.6">
      <c r="A434" s="236" t="s">
        <v>145</v>
      </c>
      <c r="B434" s="276">
        <v>15.866999999902983</v>
      </c>
      <c r="C434" s="276">
        <v>7.9180000001425244</v>
      </c>
      <c r="D434" s="276">
        <v>4.987000000039342</v>
      </c>
      <c r="E434" s="276">
        <f>SUM(B434:D434)</f>
        <v>28.772000000084848</v>
      </c>
      <c r="F434" s="276"/>
      <c r="G434" s="276">
        <v>15.867999999875192</v>
      </c>
      <c r="H434" s="276">
        <v>8.9440000001428359</v>
      </c>
      <c r="I434" s="276">
        <v>5.6330000000188232</v>
      </c>
      <c r="J434" s="276">
        <f>SUM(G434:I434)</f>
        <v>30.445000000036849</v>
      </c>
      <c r="K434" s="276"/>
      <c r="L434" s="276">
        <v>15.380999999896583</v>
      </c>
      <c r="M434" s="276">
        <v>8.5870000001315478</v>
      </c>
      <c r="N434" s="276">
        <v>4.8569999999488331</v>
      </c>
      <c r="O434" s="276">
        <f>SUM(L434:N434)</f>
        <v>28.824999999976963</v>
      </c>
      <c r="P434" s="276"/>
      <c r="Q434" s="276">
        <v>16.681000000353713</v>
      </c>
      <c r="R434" s="276">
        <v>8.9320000002558313</v>
      </c>
      <c r="S434" s="276">
        <v>5.0919999999882259</v>
      </c>
      <c r="T434" s="276">
        <f>SUM(Q434:S434)</f>
        <v>30.705000000597771</v>
      </c>
      <c r="U434" s="276"/>
      <c r="V434" s="276">
        <v>18.30800000035698</v>
      </c>
      <c r="W434" s="276">
        <v>9.2510000003337751</v>
      </c>
      <c r="X434" s="276">
        <v>5.5320000000031095</v>
      </c>
      <c r="Y434" s="276">
        <f>SUM(V434:X434)</f>
        <v>33.091000000693867</v>
      </c>
    </row>
    <row r="435" spans="1:25" ht="12.6">
      <c r="A435" s="236" t="s">
        <v>144</v>
      </c>
      <c r="B435" s="276">
        <v>91.329999999896771</v>
      </c>
      <c r="C435" s="276">
        <v>12.421000000120403</v>
      </c>
      <c r="D435" s="276">
        <v>14.414000000185455</v>
      </c>
      <c r="E435" s="276">
        <f t="shared" ref="E435:E436" si="1148">SUM(B435:D435)</f>
        <v>118.16500000020262</v>
      </c>
      <c r="F435" s="276"/>
      <c r="G435" s="276">
        <v>86.53499999993241</v>
      </c>
      <c r="H435" s="276">
        <v>13.604000000117049</v>
      </c>
      <c r="I435" s="276">
        <v>13.489999999986361</v>
      </c>
      <c r="J435" s="276">
        <f t="shared" ref="J435:J436" si="1149">SUM(G435:I435)</f>
        <v>113.62900000003583</v>
      </c>
      <c r="K435" s="276"/>
      <c r="L435" s="276">
        <v>83.27099999996237</v>
      </c>
      <c r="M435" s="276">
        <v>12.715999999989624</v>
      </c>
      <c r="N435" s="276">
        <v>11.411000000112043</v>
      </c>
      <c r="O435" s="276">
        <f t="shared" ref="O435:O436" si="1150">SUM(L435:N435)</f>
        <v>107.39800000006403</v>
      </c>
      <c r="P435" s="276"/>
      <c r="Q435" s="276">
        <v>88.400000000101244</v>
      </c>
      <c r="R435" s="276">
        <v>13.441000000067644</v>
      </c>
      <c r="S435" s="276">
        <v>11.972000000341499</v>
      </c>
      <c r="T435" s="276">
        <f t="shared" ref="T435:T436" si="1151">SUM(Q435:S435)</f>
        <v>113.81300000051039</v>
      </c>
      <c r="U435" s="276"/>
      <c r="V435" s="276">
        <v>94.729000000076283</v>
      </c>
      <c r="W435" s="276">
        <v>14.298000000092079</v>
      </c>
      <c r="X435" s="276">
        <v>12.944000000272965</v>
      </c>
      <c r="Y435" s="276">
        <f t="shared" ref="Y435:Y436" si="1152">SUM(V435:X435)</f>
        <v>121.97100000044132</v>
      </c>
    </row>
    <row r="436" spans="1:25" ht="12.6">
      <c r="A436" s="236" t="s">
        <v>146</v>
      </c>
      <c r="B436" s="276">
        <f>SUM(B434:B435)</f>
        <v>107.19699999979976</v>
      </c>
      <c r="C436" s="276">
        <f t="shared" ref="C436" si="1153">SUM(C434:C435)</f>
        <v>20.339000000262928</v>
      </c>
      <c r="D436" s="276">
        <f t="shared" ref="D436" si="1154">SUM(D434:D435)</f>
        <v>19.401000000224798</v>
      </c>
      <c r="E436" s="276">
        <f t="shared" si="1148"/>
        <v>146.93700000028747</v>
      </c>
      <c r="F436" s="276"/>
      <c r="G436" s="276">
        <f>SUM(G434:G435)</f>
        <v>102.40299999980761</v>
      </c>
      <c r="H436" s="276">
        <f t="shared" ref="H436" si="1155">SUM(H434:H435)</f>
        <v>22.548000000259883</v>
      </c>
      <c r="I436" s="276">
        <f t="shared" ref="I436" si="1156">SUM(I434:I435)</f>
        <v>19.123000000005185</v>
      </c>
      <c r="J436" s="276">
        <f t="shared" si="1149"/>
        <v>144.07400000007269</v>
      </c>
      <c r="K436" s="276"/>
      <c r="L436" s="276">
        <f>SUM(L434:L435)</f>
        <v>98.651999999858958</v>
      </c>
      <c r="M436" s="276">
        <f t="shared" ref="M436" si="1157">SUM(M434:M435)</f>
        <v>21.303000000121173</v>
      </c>
      <c r="N436" s="276">
        <f t="shared" ref="N436" si="1158">SUM(N434:N435)</f>
        <v>16.268000000060876</v>
      </c>
      <c r="O436" s="276">
        <f t="shared" si="1150"/>
        <v>136.223000000041</v>
      </c>
      <c r="P436" s="276"/>
      <c r="Q436" s="276">
        <f>SUM(Q434:Q435)</f>
        <v>105.08100000045496</v>
      </c>
      <c r="R436" s="276">
        <f t="shared" ref="R436" si="1159">SUM(R434:R435)</f>
        <v>22.373000000323476</v>
      </c>
      <c r="S436" s="276">
        <f t="shared" ref="S436" si="1160">SUM(S434:S435)</f>
        <v>17.064000000329724</v>
      </c>
      <c r="T436" s="276">
        <f t="shared" si="1151"/>
        <v>144.51800000110816</v>
      </c>
      <c r="U436" s="276"/>
      <c r="V436" s="276">
        <f>SUM(V434:V435)</f>
        <v>113.03700000043327</v>
      </c>
      <c r="W436" s="276">
        <f t="shared" ref="W436" si="1161">SUM(W434:W435)</f>
        <v>23.549000000425856</v>
      </c>
      <c r="X436" s="276">
        <f t="shared" ref="X436" si="1162">SUM(X434:X435)</f>
        <v>18.476000000276073</v>
      </c>
      <c r="Y436" s="276">
        <f t="shared" si="1152"/>
        <v>155.06200000113517</v>
      </c>
    </row>
    <row r="437" spans="1:25">
      <c r="C437" s="290"/>
      <c r="D437" s="290"/>
      <c r="E437" s="290"/>
      <c r="F437" s="290"/>
      <c r="G437" s="290"/>
      <c r="H437" s="290"/>
      <c r="I437" s="290"/>
      <c r="J437" s="290"/>
      <c r="K437" s="290"/>
      <c r="L437" s="290"/>
      <c r="M437" s="290"/>
      <c r="N437" s="290"/>
      <c r="O437" s="290"/>
      <c r="P437" s="290"/>
      <c r="Q437" s="290"/>
      <c r="R437" s="290"/>
      <c r="S437" s="290"/>
      <c r="T437" s="290"/>
      <c r="U437" s="290"/>
      <c r="V437" s="290"/>
      <c r="W437" s="290"/>
      <c r="X437" s="290"/>
      <c r="Y437" s="290"/>
    </row>
    <row r="438" spans="1:25">
      <c r="A438" s="237" t="str">
        <f>name!A62</f>
        <v>Employment activities</v>
      </c>
      <c r="C438" s="239"/>
    </row>
    <row r="439" spans="1:25" ht="12.6">
      <c r="A439" s="236" t="s">
        <v>145</v>
      </c>
      <c r="B439" s="276">
        <v>187.60599999986405</v>
      </c>
      <c r="C439" s="276">
        <v>102.2880000014616</v>
      </c>
      <c r="D439" s="276">
        <v>50.261000000937194</v>
      </c>
      <c r="E439" s="276">
        <f>SUM(B439:D439)</f>
        <v>340.15500000226285</v>
      </c>
      <c r="F439" s="276"/>
      <c r="G439" s="276">
        <v>183.85399999938141</v>
      </c>
      <c r="H439" s="276">
        <v>116.34800000141425</v>
      </c>
      <c r="I439" s="276">
        <v>58.31300000086982</v>
      </c>
      <c r="J439" s="276">
        <f>SUM(G439:I439)</f>
        <v>358.5150000016655</v>
      </c>
      <c r="K439" s="276"/>
      <c r="L439" s="276">
        <v>176.62999999956051</v>
      </c>
      <c r="M439" s="276">
        <v>109.70100000045426</v>
      </c>
      <c r="N439" s="276">
        <v>48.913999998873386</v>
      </c>
      <c r="O439" s="276">
        <f>SUM(L439:N439)</f>
        <v>335.2449999988882</v>
      </c>
      <c r="P439" s="276"/>
      <c r="Q439" s="276">
        <v>190.90900000218707</v>
      </c>
      <c r="R439" s="276">
        <v>114.2850000005087</v>
      </c>
      <c r="S439" s="276">
        <v>51.29099999989829</v>
      </c>
      <c r="T439" s="276">
        <f>SUM(Q439:S439)</f>
        <v>356.48500000259406</v>
      </c>
      <c r="U439" s="276"/>
      <c r="V439" s="276">
        <v>208.98600000179025</v>
      </c>
      <c r="W439" s="276">
        <v>118.21900000108948</v>
      </c>
      <c r="X439" s="276">
        <v>55.661999999955746</v>
      </c>
      <c r="Y439" s="276">
        <f>SUM(V439:X439)</f>
        <v>382.86700000283548</v>
      </c>
    </row>
    <row r="440" spans="1:25" ht="12.6">
      <c r="A440" s="236" t="s">
        <v>144</v>
      </c>
      <c r="B440" s="276">
        <v>357.92000000073261</v>
      </c>
      <c r="C440" s="276">
        <v>160.1710000022058</v>
      </c>
      <c r="D440" s="276">
        <v>58.62300000097644</v>
      </c>
      <c r="E440" s="276">
        <f t="shared" ref="E440:E441" si="1163">SUM(B440:D440)</f>
        <v>576.71400000391486</v>
      </c>
      <c r="F440" s="276"/>
      <c r="G440" s="276">
        <v>328.64900000049892</v>
      </c>
      <c r="H440" s="276">
        <v>183.9180000022601</v>
      </c>
      <c r="I440" s="276">
        <v>59.32300000028885</v>
      </c>
      <c r="J440" s="276">
        <f t="shared" ref="J440:J441" si="1164">SUM(G440:I440)</f>
        <v>571.89000000304782</v>
      </c>
      <c r="K440" s="276"/>
      <c r="L440" s="276">
        <v>320.10000000027475</v>
      </c>
      <c r="M440" s="276">
        <v>170.93000000021684</v>
      </c>
      <c r="N440" s="276">
        <v>48.272000000770291</v>
      </c>
      <c r="O440" s="276">
        <f t="shared" ref="O440:O441" si="1165">SUM(L440:N440)</f>
        <v>539.30200000126183</v>
      </c>
      <c r="P440" s="276"/>
      <c r="Q440" s="276">
        <v>339.92400000022155</v>
      </c>
      <c r="R440" s="276">
        <v>180.93200000109866</v>
      </c>
      <c r="S440" s="276">
        <v>50.620000001864</v>
      </c>
      <c r="T440" s="276">
        <f t="shared" ref="T440:T441" si="1166">SUM(Q440:S440)</f>
        <v>571.47600000318425</v>
      </c>
      <c r="U440" s="276"/>
      <c r="V440" s="276">
        <v>364.11200000006187</v>
      </c>
      <c r="W440" s="276">
        <v>191.97400000136253</v>
      </c>
      <c r="X440" s="276">
        <v>54.659000001749597</v>
      </c>
      <c r="Y440" s="276">
        <f t="shared" ref="Y440:Y441" si="1167">SUM(V440:X440)</f>
        <v>610.74500000317403</v>
      </c>
    </row>
    <row r="441" spans="1:25" ht="12.6">
      <c r="A441" s="236" t="s">
        <v>146</v>
      </c>
      <c r="B441" s="276">
        <f>SUM(B439:B440)</f>
        <v>545.5260000005967</v>
      </c>
      <c r="C441" s="276">
        <f t="shared" ref="C441" si="1168">SUM(C439:C440)</f>
        <v>262.45900000366737</v>
      </c>
      <c r="D441" s="276">
        <f t="shared" ref="D441" si="1169">SUM(D439:D440)</f>
        <v>108.88400000191363</v>
      </c>
      <c r="E441" s="276">
        <f t="shared" si="1163"/>
        <v>916.86900000617766</v>
      </c>
      <c r="F441" s="276"/>
      <c r="G441" s="276">
        <f>SUM(G439:G440)</f>
        <v>512.50299999988033</v>
      </c>
      <c r="H441" s="276">
        <f t="shared" ref="H441" si="1170">SUM(H439:H440)</f>
        <v>300.26600000367432</v>
      </c>
      <c r="I441" s="276">
        <f t="shared" ref="I441" si="1171">SUM(I439:I440)</f>
        <v>117.63600000115866</v>
      </c>
      <c r="J441" s="276">
        <f t="shared" si="1164"/>
        <v>930.40500000471332</v>
      </c>
      <c r="K441" s="276"/>
      <c r="L441" s="276">
        <f>SUM(L439:L440)</f>
        <v>496.72999999983529</v>
      </c>
      <c r="M441" s="276">
        <f t="shared" ref="M441" si="1172">SUM(M439:M440)</f>
        <v>280.63100000067107</v>
      </c>
      <c r="N441" s="276">
        <f t="shared" ref="N441" si="1173">SUM(N439:N440)</f>
        <v>97.185999999643684</v>
      </c>
      <c r="O441" s="276">
        <f t="shared" si="1165"/>
        <v>874.54700000015009</v>
      </c>
      <c r="P441" s="276"/>
      <c r="Q441" s="276">
        <f>SUM(Q439:Q440)</f>
        <v>530.83300000240865</v>
      </c>
      <c r="R441" s="276">
        <f t="shared" ref="R441" si="1174">SUM(R439:R440)</f>
        <v>295.21700000160735</v>
      </c>
      <c r="S441" s="276">
        <f t="shared" ref="S441" si="1175">SUM(S439:S440)</f>
        <v>101.91100000176229</v>
      </c>
      <c r="T441" s="276">
        <f t="shared" si="1166"/>
        <v>927.96100000577837</v>
      </c>
      <c r="U441" s="276"/>
      <c r="V441" s="276">
        <f>SUM(V439:V440)</f>
        <v>573.09800000185214</v>
      </c>
      <c r="W441" s="276">
        <f t="shared" ref="W441" si="1176">SUM(W439:W440)</f>
        <v>310.19300000245198</v>
      </c>
      <c r="X441" s="276">
        <f t="shared" ref="X441" si="1177">SUM(X439:X440)</f>
        <v>110.32100000170534</v>
      </c>
      <c r="Y441" s="276">
        <f t="shared" si="1167"/>
        <v>993.61200000600945</v>
      </c>
    </row>
    <row r="442" spans="1:25">
      <c r="C442" s="290"/>
      <c r="D442" s="290"/>
      <c r="E442" s="290"/>
      <c r="F442" s="290"/>
      <c r="G442" s="290"/>
      <c r="H442" s="290"/>
      <c r="I442" s="290"/>
      <c r="J442" s="290"/>
      <c r="K442" s="290"/>
      <c r="L442" s="290"/>
      <c r="M442" s="290"/>
      <c r="N442" s="290"/>
      <c r="O442" s="290"/>
      <c r="P442" s="290"/>
      <c r="Q442" s="290"/>
      <c r="R442" s="290"/>
      <c r="S442" s="290"/>
      <c r="T442" s="290"/>
      <c r="U442" s="290"/>
      <c r="V442" s="290"/>
      <c r="W442" s="290"/>
      <c r="X442" s="290"/>
      <c r="Y442" s="290"/>
    </row>
    <row r="443" spans="1:25">
      <c r="A443" s="237" t="str">
        <f>name!A63</f>
        <v>Travel, etc</v>
      </c>
      <c r="C443" s="239"/>
    </row>
    <row r="444" spans="1:25" ht="12.6">
      <c r="A444" s="236" t="s">
        <v>145</v>
      </c>
      <c r="B444" s="276">
        <v>12.538999999960502</v>
      </c>
      <c r="C444" s="276">
        <v>6.7980000001086367</v>
      </c>
      <c r="D444" s="276">
        <v>7.2990000001511985</v>
      </c>
      <c r="E444" s="276">
        <f>SUM(B444:D444)</f>
        <v>26.636000000220339</v>
      </c>
      <c r="F444" s="276"/>
      <c r="G444" s="276">
        <v>12.818999999908741</v>
      </c>
      <c r="H444" s="276">
        <v>7.331000000122164</v>
      </c>
      <c r="I444" s="276">
        <v>9.1260000002076147</v>
      </c>
      <c r="J444" s="276">
        <f>SUM(G444:I444)</f>
        <v>29.276000000238518</v>
      </c>
      <c r="K444" s="276"/>
      <c r="L444" s="276">
        <v>12.213999999877293</v>
      </c>
      <c r="M444" s="276">
        <v>7.0130000000921546</v>
      </c>
      <c r="N444" s="276">
        <v>7.4859999998284907</v>
      </c>
      <c r="O444" s="276">
        <f>SUM(L444:N444)</f>
        <v>26.712999999797937</v>
      </c>
      <c r="P444" s="276"/>
      <c r="Q444" s="276">
        <v>13.176000000332975</v>
      </c>
      <c r="R444" s="276">
        <v>7.3100000001908345</v>
      </c>
      <c r="S444" s="276">
        <v>7.8160000000213818</v>
      </c>
      <c r="T444" s="276">
        <f>SUM(Q444:S444)</f>
        <v>28.302000000545192</v>
      </c>
      <c r="U444" s="276"/>
      <c r="V444" s="276">
        <v>14.41300000036281</v>
      </c>
      <c r="W444" s="276">
        <v>7.5960000002825661</v>
      </c>
      <c r="X444" s="276">
        <v>8.48999999998615</v>
      </c>
      <c r="Y444" s="276">
        <f>SUM(V444:X444)</f>
        <v>30.499000000631526</v>
      </c>
    </row>
    <row r="445" spans="1:25" ht="12.6">
      <c r="A445" s="236" t="s">
        <v>144</v>
      </c>
      <c r="B445" s="276">
        <v>43.672000000382909</v>
      </c>
      <c r="C445" s="276">
        <v>11.8310000001887</v>
      </c>
      <c r="D445" s="276">
        <v>3.0060000000485338</v>
      </c>
      <c r="E445" s="276">
        <f t="shared" ref="E445:E446" si="1178">SUM(B445:D445)</f>
        <v>58.509000000620148</v>
      </c>
      <c r="F445" s="276"/>
      <c r="G445" s="276">
        <v>44.326000000300454</v>
      </c>
      <c r="H445" s="276">
        <v>14.191000000166039</v>
      </c>
      <c r="I445" s="276">
        <v>3.1969999999844494</v>
      </c>
      <c r="J445" s="276">
        <f t="shared" ref="J445:J446" si="1179">SUM(G445:I445)</f>
        <v>61.714000000450945</v>
      </c>
      <c r="K445" s="276"/>
      <c r="L445" s="276">
        <v>42.626999999786975</v>
      </c>
      <c r="M445" s="276">
        <v>13.14399999996078</v>
      </c>
      <c r="N445" s="276">
        <v>2.8370000000373246</v>
      </c>
      <c r="O445" s="276">
        <f t="shared" ref="O445:O446" si="1180">SUM(L445:N445)</f>
        <v>58.607999999785079</v>
      </c>
      <c r="P445" s="276"/>
      <c r="Q445" s="276">
        <v>45.031999999948226</v>
      </c>
      <c r="R445" s="276">
        <v>13.890000000123957</v>
      </c>
      <c r="S445" s="276">
        <v>2.960000000126827</v>
      </c>
      <c r="T445" s="276">
        <f t="shared" ref="T445:T446" si="1181">SUM(Q445:S445)</f>
        <v>61.882000000199007</v>
      </c>
      <c r="U445" s="276"/>
      <c r="V445" s="276">
        <v>48.142999999859562</v>
      </c>
      <c r="W445" s="276">
        <v>14.791000000163807</v>
      </c>
      <c r="X445" s="276">
        <v>3.1990000001047494</v>
      </c>
      <c r="Y445" s="276">
        <f t="shared" ref="Y445:Y446" si="1182">SUM(V445:X445)</f>
        <v>66.133000000128121</v>
      </c>
    </row>
    <row r="446" spans="1:25" ht="12.6">
      <c r="A446" s="236" t="s">
        <v>146</v>
      </c>
      <c r="B446" s="276">
        <f>SUM(B444:B445)</f>
        <v>56.211000000343411</v>
      </c>
      <c r="C446" s="276">
        <f t="shared" ref="C446" si="1183">SUM(C444:C445)</f>
        <v>18.629000000297339</v>
      </c>
      <c r="D446" s="276">
        <f t="shared" ref="D446" si="1184">SUM(D444:D445)</f>
        <v>10.305000000199733</v>
      </c>
      <c r="E446" s="276">
        <f t="shared" si="1178"/>
        <v>85.145000000840469</v>
      </c>
      <c r="F446" s="276"/>
      <c r="G446" s="276">
        <f>SUM(G444:G445)</f>
        <v>57.145000000209194</v>
      </c>
      <c r="H446" s="276">
        <f t="shared" ref="H446" si="1185">SUM(H444:H445)</f>
        <v>21.522000000288202</v>
      </c>
      <c r="I446" s="276">
        <f t="shared" ref="I446" si="1186">SUM(I444:I445)</f>
        <v>12.323000000192064</v>
      </c>
      <c r="J446" s="276">
        <f t="shared" si="1179"/>
        <v>90.990000000689463</v>
      </c>
      <c r="K446" s="276"/>
      <c r="L446" s="276">
        <f>SUM(L444:L445)</f>
        <v>54.84099999966427</v>
      </c>
      <c r="M446" s="276">
        <f t="shared" ref="M446" si="1187">SUM(M444:M445)</f>
        <v>20.157000000052935</v>
      </c>
      <c r="N446" s="276">
        <f t="shared" ref="N446" si="1188">SUM(N444:N445)</f>
        <v>10.322999999865814</v>
      </c>
      <c r="O446" s="276">
        <f t="shared" si="1180"/>
        <v>85.320999999583023</v>
      </c>
      <c r="P446" s="276"/>
      <c r="Q446" s="276">
        <f>SUM(Q444:Q445)</f>
        <v>58.208000000281203</v>
      </c>
      <c r="R446" s="276">
        <f t="shared" ref="R446" si="1189">SUM(R444:R445)</f>
        <v>21.200000000314791</v>
      </c>
      <c r="S446" s="276">
        <f t="shared" ref="S446" si="1190">SUM(S444:S445)</f>
        <v>10.776000000148208</v>
      </c>
      <c r="T446" s="276">
        <f t="shared" si="1181"/>
        <v>90.184000000744192</v>
      </c>
      <c r="U446" s="276"/>
      <c r="V446" s="276">
        <f>SUM(V444:V445)</f>
        <v>62.556000000222369</v>
      </c>
      <c r="W446" s="276">
        <f t="shared" ref="W446" si="1191">SUM(W444:W445)</f>
        <v>22.387000000446374</v>
      </c>
      <c r="X446" s="276">
        <f t="shared" ref="X446" si="1192">SUM(X444:X445)</f>
        <v>11.6890000000909</v>
      </c>
      <c r="Y446" s="276">
        <f t="shared" si="1182"/>
        <v>96.632000000759646</v>
      </c>
    </row>
    <row r="447" spans="1:25">
      <c r="C447" s="290"/>
      <c r="D447" s="290"/>
      <c r="E447" s="290"/>
      <c r="F447" s="290"/>
      <c r="G447" s="290"/>
      <c r="H447" s="290"/>
      <c r="I447" s="290"/>
      <c r="J447" s="290"/>
      <c r="K447" s="290"/>
      <c r="L447" s="290"/>
      <c r="M447" s="290"/>
      <c r="N447" s="290"/>
      <c r="O447" s="290"/>
      <c r="P447" s="290"/>
      <c r="Q447" s="290"/>
      <c r="R447" s="290"/>
      <c r="S447" s="290"/>
      <c r="T447" s="290"/>
      <c r="U447" s="290"/>
      <c r="V447" s="290"/>
      <c r="W447" s="290"/>
      <c r="X447" s="290"/>
      <c r="Y447" s="290"/>
    </row>
    <row r="448" spans="1:25">
      <c r="A448" s="237" t="str">
        <f>name!A64</f>
        <v>Security, etc</v>
      </c>
      <c r="C448" s="239"/>
    </row>
    <row r="449" spans="1:25" ht="12.6">
      <c r="A449" s="236" t="s">
        <v>145</v>
      </c>
      <c r="B449" s="276">
        <v>27.349999999998069</v>
      </c>
      <c r="C449" s="276">
        <v>14.1460000002212</v>
      </c>
      <c r="D449" s="276">
        <v>3.2390000000711194</v>
      </c>
      <c r="E449" s="276">
        <f>SUM(B449:D449)</f>
        <v>44.735000000290391</v>
      </c>
      <c r="F449" s="276"/>
      <c r="G449" s="276">
        <v>32.880999999931582</v>
      </c>
      <c r="H449" s="276">
        <v>15.800000000201692</v>
      </c>
      <c r="I449" s="276">
        <v>4.2570000000672472</v>
      </c>
      <c r="J449" s="276">
        <f>SUM(G449:I449)</f>
        <v>52.938000000200518</v>
      </c>
      <c r="K449" s="276"/>
      <c r="L449" s="276">
        <v>31.374999999916326</v>
      </c>
      <c r="M449" s="276">
        <v>15.07100000008486</v>
      </c>
      <c r="N449" s="276">
        <v>3.5839999999289258</v>
      </c>
      <c r="O449" s="276">
        <f>SUM(L449:N449)</f>
        <v>50.029999999930112</v>
      </c>
      <c r="P449" s="276"/>
      <c r="Q449" s="276">
        <v>33.83300000042648</v>
      </c>
      <c r="R449" s="276">
        <v>15.623000000141406</v>
      </c>
      <c r="S449" s="276">
        <v>3.7619999999896816</v>
      </c>
      <c r="T449" s="276">
        <f>SUM(Q449:S449)</f>
        <v>53.218000000557566</v>
      </c>
      <c r="U449" s="276"/>
      <c r="V449" s="276">
        <v>36.996000000318681</v>
      </c>
      <c r="W449" s="276">
        <v>16.132000000193315</v>
      </c>
      <c r="X449" s="276">
        <v>4.0859999999919978</v>
      </c>
      <c r="Y449" s="276">
        <f>SUM(V449:X449)</f>
        <v>57.214000000503994</v>
      </c>
    </row>
    <row r="450" spans="1:25" ht="12.6">
      <c r="A450" s="236" t="s">
        <v>144</v>
      </c>
      <c r="B450" s="276">
        <v>90.148000000414413</v>
      </c>
      <c r="C450" s="276">
        <v>24.810000000401452</v>
      </c>
      <c r="D450" s="276">
        <v>16.72400000027265</v>
      </c>
      <c r="E450" s="276">
        <f t="shared" ref="E450:E451" si="1193">SUM(B450:D450)</f>
        <v>131.68200000108851</v>
      </c>
      <c r="F450" s="276"/>
      <c r="G450" s="276">
        <v>97.506000000263583</v>
      </c>
      <c r="H450" s="276">
        <v>26.665000000352979</v>
      </c>
      <c r="I450" s="276">
        <v>19.140000000122239</v>
      </c>
      <c r="J450" s="276">
        <f t="shared" ref="J450:J451" si="1194">SUM(G450:I450)</f>
        <v>143.3110000007388</v>
      </c>
      <c r="K450" s="276"/>
      <c r="L450" s="276">
        <v>94.755000000061358</v>
      </c>
      <c r="M450" s="276">
        <v>24.582000000049554</v>
      </c>
      <c r="N450" s="276">
        <v>16.411000000235322</v>
      </c>
      <c r="O450" s="276">
        <f t="shared" ref="O450:O451" si="1195">SUM(L450:N450)</f>
        <v>135.74800000034625</v>
      </c>
      <c r="P450" s="276"/>
      <c r="Q450" s="276">
        <v>100.3410000000313</v>
      </c>
      <c r="R450" s="276">
        <v>26.006000000205283</v>
      </c>
      <c r="S450" s="276">
        <v>17.167000000531079</v>
      </c>
      <c r="T450" s="276">
        <f t="shared" ref="T450:T451" si="1196">SUM(Q450:S450)</f>
        <v>143.51400000076768</v>
      </c>
      <c r="U450" s="276"/>
      <c r="V450" s="276">
        <v>107.21899999992792</v>
      </c>
      <c r="W450" s="276">
        <v>27.607000000250174</v>
      </c>
      <c r="X450" s="276">
        <v>18.509000000491792</v>
      </c>
      <c r="Y450" s="276">
        <f t="shared" ref="Y450:Y451" si="1197">SUM(V450:X450)</f>
        <v>153.33500000066988</v>
      </c>
    </row>
    <row r="451" spans="1:25" ht="12.6">
      <c r="A451" s="236" t="s">
        <v>146</v>
      </c>
      <c r="B451" s="276">
        <f>SUM(B449:B450)</f>
        <v>117.49800000041247</v>
      </c>
      <c r="C451" s="276">
        <f t="shared" ref="C451" si="1198">SUM(C449:C450)</f>
        <v>38.956000000622652</v>
      </c>
      <c r="D451" s="276">
        <f t="shared" ref="D451" si="1199">SUM(D449:D450)</f>
        <v>19.963000000343769</v>
      </c>
      <c r="E451" s="276">
        <f t="shared" si="1193"/>
        <v>176.41700000137888</v>
      </c>
      <c r="F451" s="276"/>
      <c r="G451" s="276">
        <f>SUM(G449:G450)</f>
        <v>130.38700000019517</v>
      </c>
      <c r="H451" s="276">
        <f t="shared" ref="H451" si="1200">SUM(H449:H450)</f>
        <v>42.465000000554667</v>
      </c>
      <c r="I451" s="276">
        <f t="shared" ref="I451" si="1201">SUM(I449:I450)</f>
        <v>23.397000000189486</v>
      </c>
      <c r="J451" s="276">
        <f t="shared" si="1194"/>
        <v>196.24900000093933</v>
      </c>
      <c r="K451" s="276"/>
      <c r="L451" s="276">
        <f>SUM(L449:L450)</f>
        <v>126.12999999997768</v>
      </c>
      <c r="M451" s="276">
        <f t="shared" ref="M451" si="1202">SUM(M449:M450)</f>
        <v>39.653000000134412</v>
      </c>
      <c r="N451" s="276">
        <f t="shared" ref="N451" si="1203">SUM(N449:N450)</f>
        <v>19.995000000164247</v>
      </c>
      <c r="O451" s="276">
        <f t="shared" si="1195"/>
        <v>185.77800000027636</v>
      </c>
      <c r="P451" s="276"/>
      <c r="Q451" s="276">
        <f>SUM(Q449:Q450)</f>
        <v>134.1740000004578</v>
      </c>
      <c r="R451" s="276">
        <f t="shared" ref="R451" si="1204">SUM(R449:R450)</f>
        <v>41.629000000346693</v>
      </c>
      <c r="S451" s="276">
        <f t="shared" ref="S451" si="1205">SUM(S449:S450)</f>
        <v>20.929000000520759</v>
      </c>
      <c r="T451" s="276">
        <f t="shared" si="1196"/>
        <v>196.73200000132528</v>
      </c>
      <c r="U451" s="276"/>
      <c r="V451" s="276">
        <f>SUM(V449:V450)</f>
        <v>144.21500000024659</v>
      </c>
      <c r="W451" s="276">
        <f t="shared" ref="W451" si="1206">SUM(W449:W450)</f>
        <v>43.73900000044349</v>
      </c>
      <c r="X451" s="276">
        <f t="shared" ref="X451" si="1207">SUM(X449:X450)</f>
        <v>22.59500000048379</v>
      </c>
      <c r="Y451" s="276">
        <f t="shared" si="1197"/>
        <v>210.54900000117388</v>
      </c>
    </row>
    <row r="452" spans="1:25">
      <c r="C452" s="290"/>
      <c r="D452" s="290"/>
      <c r="E452" s="290"/>
      <c r="F452" s="290"/>
      <c r="G452" s="290"/>
      <c r="H452" s="290"/>
      <c r="I452" s="290"/>
      <c r="J452" s="290"/>
      <c r="K452" s="290"/>
      <c r="L452" s="290"/>
      <c r="M452" s="290"/>
      <c r="N452" s="290"/>
      <c r="O452" s="290"/>
      <c r="P452" s="290"/>
      <c r="Q452" s="290"/>
      <c r="R452" s="290"/>
      <c r="S452" s="290"/>
      <c r="T452" s="290"/>
      <c r="U452" s="290"/>
      <c r="V452" s="290"/>
      <c r="W452" s="290"/>
      <c r="X452" s="290"/>
      <c r="Y452" s="290"/>
    </row>
    <row r="453" spans="1:25">
      <c r="A453" s="237" t="str">
        <f>name!A65</f>
        <v>Services to buildings</v>
      </c>
      <c r="C453" s="239"/>
    </row>
    <row r="454" spans="1:25" ht="12.6">
      <c r="A454" s="236" t="s">
        <v>145</v>
      </c>
      <c r="B454" s="276">
        <v>172.81999999992473</v>
      </c>
      <c r="C454" s="276">
        <v>282.72500000364653</v>
      </c>
      <c r="D454" s="276">
        <v>42.211000000694952</v>
      </c>
      <c r="E454" s="276">
        <f>SUM(B454:D454)</f>
        <v>497.75600000426618</v>
      </c>
      <c r="F454" s="276"/>
      <c r="G454" s="276">
        <v>187.85599999962838</v>
      </c>
      <c r="H454" s="276">
        <v>282.65700000372061</v>
      </c>
      <c r="I454" s="276">
        <v>50.257000000558477</v>
      </c>
      <c r="J454" s="276">
        <f>SUM(G454:I454)</f>
        <v>520.77000000390751</v>
      </c>
      <c r="K454" s="276"/>
      <c r="L454" s="276">
        <v>179.84699999928574</v>
      </c>
      <c r="M454" s="276">
        <v>268.50300000139242</v>
      </c>
      <c r="N454" s="276">
        <v>42.389999999229907</v>
      </c>
      <c r="O454" s="276">
        <f>SUM(L454:N454)</f>
        <v>490.73999999990809</v>
      </c>
      <c r="P454" s="276"/>
      <c r="Q454" s="276">
        <v>194.17300000189812</v>
      </c>
      <c r="R454" s="276">
        <v>279.62300000166346</v>
      </c>
      <c r="S454" s="276">
        <v>44.459999999872977</v>
      </c>
      <c r="T454" s="276">
        <f>SUM(Q454:S454)</f>
        <v>518.25600000343456</v>
      </c>
      <c r="U454" s="276"/>
      <c r="V454" s="276">
        <v>212.58800000127994</v>
      </c>
      <c r="W454" s="276">
        <v>289.56000000285184</v>
      </c>
      <c r="X454" s="276">
        <v>48.316000000015677</v>
      </c>
      <c r="Y454" s="276">
        <f>SUM(V454:X454)</f>
        <v>550.46400000414747</v>
      </c>
    </row>
    <row r="455" spans="1:25" ht="12.6">
      <c r="A455" s="236" t="s">
        <v>144</v>
      </c>
      <c r="B455" s="276">
        <v>135.75200000025885</v>
      </c>
      <c r="C455" s="276">
        <v>73.455000001093779</v>
      </c>
      <c r="D455" s="276">
        <v>36.061000000465988</v>
      </c>
      <c r="E455" s="276">
        <f t="shared" ref="E455:E456" si="1208">SUM(B455:D455)</f>
        <v>245.26800000181862</v>
      </c>
      <c r="F455" s="276"/>
      <c r="G455" s="276">
        <v>141.9950000001233</v>
      </c>
      <c r="H455" s="276">
        <v>73.504000000864465</v>
      </c>
      <c r="I455" s="276">
        <v>38.115000000243533</v>
      </c>
      <c r="J455" s="276">
        <f t="shared" ref="J455:J456" si="1209">SUM(G455:I455)</f>
        <v>253.61400000123129</v>
      </c>
      <c r="K455" s="276"/>
      <c r="L455" s="276">
        <v>137.02300000003518</v>
      </c>
      <c r="M455" s="276">
        <v>67.494000000032941</v>
      </c>
      <c r="N455" s="276">
        <v>31.816000000346918</v>
      </c>
      <c r="O455" s="276">
        <f t="shared" ref="O455:O456" si="1210">SUM(L455:N455)</f>
        <v>236.33300000041504</v>
      </c>
      <c r="P455" s="276"/>
      <c r="Q455" s="276">
        <v>145.36000000011495</v>
      </c>
      <c r="R455" s="276">
        <v>71.352000000317219</v>
      </c>
      <c r="S455" s="276">
        <v>33.34100000077671</v>
      </c>
      <c r="T455" s="276">
        <f t="shared" ref="T455:T456" si="1211">SUM(Q455:S455)</f>
        <v>250.05300000120889</v>
      </c>
      <c r="U455" s="276"/>
      <c r="V455" s="276">
        <v>155.8640000000789</v>
      </c>
      <c r="W455" s="276">
        <v>75.765000000422873</v>
      </c>
      <c r="X455" s="276">
        <v>36.085000000714842</v>
      </c>
      <c r="Y455" s="276">
        <f t="shared" ref="Y455:Y456" si="1212">SUM(V455:X455)</f>
        <v>267.71400000121662</v>
      </c>
    </row>
    <row r="456" spans="1:25" ht="12.6">
      <c r="A456" s="236" t="s">
        <v>146</v>
      </c>
      <c r="B456" s="276">
        <f>SUM(B454:B455)</f>
        <v>308.57200000018361</v>
      </c>
      <c r="C456" s="276">
        <f t="shared" ref="C456" si="1213">SUM(C454:C455)</f>
        <v>356.18000000474029</v>
      </c>
      <c r="D456" s="276">
        <f t="shared" ref="D456" si="1214">SUM(D454:D455)</f>
        <v>78.272000001160933</v>
      </c>
      <c r="E456" s="276">
        <f t="shared" si="1208"/>
        <v>743.02400000608486</v>
      </c>
      <c r="F456" s="276"/>
      <c r="G456" s="276">
        <f>SUM(G454:G455)</f>
        <v>329.85099999975171</v>
      </c>
      <c r="H456" s="276">
        <f t="shared" ref="H456" si="1215">SUM(H454:H455)</f>
        <v>356.16100000458505</v>
      </c>
      <c r="I456" s="276">
        <f t="shared" ref="I456" si="1216">SUM(I454:I455)</f>
        <v>88.372000000802018</v>
      </c>
      <c r="J456" s="276">
        <f t="shared" si="1209"/>
        <v>774.38400000513877</v>
      </c>
      <c r="K456" s="276"/>
      <c r="L456" s="276">
        <f>SUM(L454:L455)</f>
        <v>316.86999999932095</v>
      </c>
      <c r="M456" s="276">
        <f t="shared" ref="M456" si="1217">SUM(M454:M455)</f>
        <v>335.99700000142536</v>
      </c>
      <c r="N456" s="276">
        <f t="shared" ref="N456" si="1218">SUM(N454:N455)</f>
        <v>74.205999999576818</v>
      </c>
      <c r="O456" s="276">
        <f t="shared" si="1210"/>
        <v>727.07300000032319</v>
      </c>
      <c r="P456" s="276"/>
      <c r="Q456" s="276">
        <f>SUM(Q454:Q455)</f>
        <v>339.53300000201307</v>
      </c>
      <c r="R456" s="276">
        <f t="shared" ref="R456" si="1219">SUM(R454:R455)</f>
        <v>350.97500000198067</v>
      </c>
      <c r="S456" s="276">
        <f t="shared" ref="S456" si="1220">SUM(S454:S455)</f>
        <v>77.80100000064968</v>
      </c>
      <c r="T456" s="276">
        <f t="shared" si="1211"/>
        <v>768.30900000464339</v>
      </c>
      <c r="U456" s="276"/>
      <c r="V456" s="276">
        <f>SUM(V454:V455)</f>
        <v>368.45200000135884</v>
      </c>
      <c r="W456" s="276">
        <f t="shared" ref="W456" si="1221">SUM(W454:W455)</f>
        <v>365.32500000327468</v>
      </c>
      <c r="X456" s="276">
        <f t="shared" ref="X456" si="1222">SUM(X454:X455)</f>
        <v>84.401000000730519</v>
      </c>
      <c r="Y456" s="276">
        <f t="shared" si="1212"/>
        <v>818.17800000536397</v>
      </c>
    </row>
    <row r="457" spans="1:25">
      <c r="C457" s="290"/>
      <c r="D457" s="290"/>
      <c r="E457" s="290"/>
      <c r="F457" s="290"/>
      <c r="G457" s="290"/>
      <c r="H457" s="290"/>
      <c r="I457" s="290"/>
      <c r="J457" s="290"/>
      <c r="K457" s="290"/>
      <c r="L457" s="290"/>
      <c r="M457" s="290"/>
      <c r="N457" s="290"/>
      <c r="O457" s="290"/>
      <c r="P457" s="290"/>
      <c r="Q457" s="290"/>
      <c r="R457" s="290"/>
      <c r="S457" s="290"/>
      <c r="T457" s="290"/>
      <c r="U457" s="290"/>
      <c r="V457" s="290"/>
      <c r="W457" s="290"/>
      <c r="X457" s="290"/>
      <c r="Y457" s="290"/>
    </row>
    <row r="458" spans="1:25">
      <c r="A458" s="237" t="str">
        <f>name!A66</f>
        <v>Office administrative</v>
      </c>
      <c r="C458" s="239"/>
    </row>
    <row r="459" spans="1:25" ht="12.6">
      <c r="A459" s="236" t="s">
        <v>145</v>
      </c>
      <c r="B459" s="276">
        <v>72.879999999986609</v>
      </c>
      <c r="C459" s="276">
        <v>36.200000000483719</v>
      </c>
      <c r="D459" s="276">
        <v>24.9960000004892</v>
      </c>
      <c r="E459" s="276">
        <f>SUM(B459:D459)</f>
        <v>134.07600000095954</v>
      </c>
      <c r="F459" s="276"/>
      <c r="G459" s="276">
        <v>88.684999999912748</v>
      </c>
      <c r="H459" s="276">
        <v>43.784000000512421</v>
      </c>
      <c r="I459" s="276">
        <v>33.588000000563433</v>
      </c>
      <c r="J459" s="276">
        <f>SUM(G459:I459)</f>
        <v>166.05700000098861</v>
      </c>
      <c r="K459" s="276"/>
      <c r="L459" s="276">
        <v>84.511999999747957</v>
      </c>
      <c r="M459" s="276">
        <v>41.288000000162604</v>
      </c>
      <c r="N459" s="276">
        <v>28.004999999400141</v>
      </c>
      <c r="O459" s="276">
        <f>SUM(L459:N459)</f>
        <v>153.80499999931072</v>
      </c>
      <c r="P459" s="276"/>
      <c r="Q459" s="276">
        <v>91.151000001035598</v>
      </c>
      <c r="R459" s="276">
        <v>43.003000000189857</v>
      </c>
      <c r="S459" s="276">
        <v>29.351999999888857</v>
      </c>
      <c r="T459" s="276">
        <f>SUM(Q459:S459)</f>
        <v>163.5060000011143</v>
      </c>
      <c r="U459" s="276"/>
      <c r="V459" s="276">
        <v>99.694000000824431</v>
      </c>
      <c r="W459" s="276">
        <v>44.461000000352435</v>
      </c>
      <c r="X459" s="276">
        <v>31.846999999921643</v>
      </c>
      <c r="Y459" s="276">
        <f>SUM(V459:X459)</f>
        <v>176.00200000109851</v>
      </c>
    </row>
    <row r="460" spans="1:25" ht="12.6">
      <c r="A460" s="236" t="s">
        <v>144</v>
      </c>
      <c r="B460" s="276">
        <v>224.52100000069387</v>
      </c>
      <c r="C460" s="276">
        <v>46.479000000680102</v>
      </c>
      <c r="D460" s="276">
        <v>26.818000000413086</v>
      </c>
      <c r="E460" s="276">
        <f t="shared" ref="E460:E461" si="1223">SUM(B460:D460)</f>
        <v>297.81800000178703</v>
      </c>
      <c r="F460" s="276"/>
      <c r="G460" s="276">
        <v>251.85000000056283</v>
      </c>
      <c r="H460" s="276">
        <v>55.305000000661416</v>
      </c>
      <c r="I460" s="276">
        <v>30.031000000182232</v>
      </c>
      <c r="J460" s="276">
        <f t="shared" ref="J460:J461" si="1224">SUM(G460:I460)</f>
        <v>337.18600000140651</v>
      </c>
      <c r="K460" s="276"/>
      <c r="L460" s="276">
        <v>244.19400000012755</v>
      </c>
      <c r="M460" s="276">
        <v>50.869999999962687</v>
      </c>
      <c r="N460" s="276">
        <v>25.429000000353053</v>
      </c>
      <c r="O460" s="276">
        <f t="shared" ref="O460:O461" si="1225">SUM(L460:N460)</f>
        <v>320.49300000044326</v>
      </c>
      <c r="P460" s="276"/>
      <c r="Q460" s="276">
        <v>258.67500000006464</v>
      </c>
      <c r="R460" s="276">
        <v>53.88600000021372</v>
      </c>
      <c r="S460" s="276">
        <v>26.632000000801316</v>
      </c>
      <c r="T460" s="276">
        <f t="shared" ref="T460:T461" si="1226">SUM(Q460:S460)</f>
        <v>339.19300000107967</v>
      </c>
      <c r="U460" s="276"/>
      <c r="V460" s="276">
        <v>276.55099999987533</v>
      </c>
      <c r="W460" s="276">
        <v>57.145000000280596</v>
      </c>
      <c r="X460" s="276">
        <v>28.731000000738895</v>
      </c>
      <c r="Y460" s="276">
        <f t="shared" ref="Y460:Y461" si="1227">SUM(V460:X460)</f>
        <v>362.42700000089485</v>
      </c>
    </row>
    <row r="461" spans="1:25" ht="12.6">
      <c r="A461" s="236" t="s">
        <v>146</v>
      </c>
      <c r="B461" s="276">
        <f>SUM(B459:B460)</f>
        <v>297.40100000068048</v>
      </c>
      <c r="C461" s="276">
        <f t="shared" ref="C461" si="1228">SUM(C459:C460)</f>
        <v>82.679000001163814</v>
      </c>
      <c r="D461" s="276">
        <f t="shared" ref="D461" si="1229">SUM(D459:D460)</f>
        <v>51.814000000902283</v>
      </c>
      <c r="E461" s="276">
        <f t="shared" si="1223"/>
        <v>431.89400000274657</v>
      </c>
      <c r="F461" s="276"/>
      <c r="G461" s="276">
        <f>SUM(G459:G460)</f>
        <v>340.53500000047558</v>
      </c>
      <c r="H461" s="276">
        <f t="shared" ref="H461" si="1230">SUM(H459:H460)</f>
        <v>99.089000001173844</v>
      </c>
      <c r="I461" s="276">
        <f t="shared" ref="I461" si="1231">SUM(I459:I460)</f>
        <v>63.619000000745665</v>
      </c>
      <c r="J461" s="276">
        <f t="shared" si="1224"/>
        <v>503.24300000239504</v>
      </c>
      <c r="K461" s="276"/>
      <c r="L461" s="276">
        <f>SUM(L459:L460)</f>
        <v>328.70599999987553</v>
      </c>
      <c r="M461" s="276">
        <f t="shared" ref="M461" si="1232">SUM(M459:M460)</f>
        <v>92.158000000125298</v>
      </c>
      <c r="N461" s="276">
        <f t="shared" ref="N461" si="1233">SUM(N459:N460)</f>
        <v>53.433999999753198</v>
      </c>
      <c r="O461" s="276">
        <f t="shared" si="1225"/>
        <v>474.29799999975404</v>
      </c>
      <c r="P461" s="276"/>
      <c r="Q461" s="276">
        <f>SUM(Q459:Q460)</f>
        <v>349.82600000110023</v>
      </c>
      <c r="R461" s="276">
        <f t="shared" ref="R461" si="1234">SUM(R459:R460)</f>
        <v>96.88900000040357</v>
      </c>
      <c r="S461" s="276">
        <f t="shared" ref="S461" si="1235">SUM(S459:S460)</f>
        <v>55.984000000690173</v>
      </c>
      <c r="T461" s="276">
        <f t="shared" si="1226"/>
        <v>502.69900000219394</v>
      </c>
      <c r="U461" s="276"/>
      <c r="V461" s="276">
        <f>SUM(V459:V460)</f>
        <v>376.24500000069975</v>
      </c>
      <c r="W461" s="276">
        <f t="shared" ref="W461" si="1236">SUM(W459:W460)</f>
        <v>101.60600000063303</v>
      </c>
      <c r="X461" s="276">
        <f t="shared" ref="X461" si="1237">SUM(X459:X460)</f>
        <v>60.578000000660538</v>
      </c>
      <c r="Y461" s="276">
        <f t="shared" si="1227"/>
        <v>538.42900000199324</v>
      </c>
    </row>
    <row r="462" spans="1:25">
      <c r="C462" s="290"/>
      <c r="D462" s="290"/>
      <c r="E462" s="290"/>
      <c r="F462" s="290"/>
      <c r="G462" s="290"/>
      <c r="H462" s="290"/>
      <c r="I462" s="290"/>
      <c r="J462" s="290"/>
      <c r="K462" s="290"/>
      <c r="L462" s="290"/>
      <c r="M462" s="290"/>
      <c r="N462" s="290"/>
      <c r="O462" s="290"/>
      <c r="P462" s="290"/>
      <c r="Q462" s="290"/>
      <c r="R462" s="290"/>
      <c r="S462" s="290"/>
      <c r="T462" s="290"/>
      <c r="U462" s="290"/>
      <c r="V462" s="290"/>
      <c r="W462" s="290"/>
      <c r="X462" s="290"/>
      <c r="Y462" s="290"/>
    </row>
    <row r="463" spans="1:25">
      <c r="A463" s="237" t="s">
        <v>159</v>
      </c>
      <c r="C463" s="239"/>
    </row>
    <row r="464" spans="1:25" ht="12.6">
      <c r="A464" s="236" t="s">
        <v>145</v>
      </c>
      <c r="B464" s="276">
        <f>SUM(B434,B439,B444,B449,B454,B459)</f>
        <v>489.0619999996369</v>
      </c>
      <c r="C464" s="276">
        <f t="shared" ref="C464:D465" si="1238">SUM(C434,C439,C444,C449,C454,C459)</f>
        <v>450.07500000606422</v>
      </c>
      <c r="D464" s="276">
        <f t="shared" si="1238"/>
        <v>132.99300000238301</v>
      </c>
      <c r="E464" s="276">
        <f>SUM(B464:D464)</f>
        <v>1072.1300000080842</v>
      </c>
      <c r="F464" s="276"/>
      <c r="G464" s="276">
        <f>SUM(G434,G439,G444,G449,G454,G459)</f>
        <v>521.96299999863811</v>
      </c>
      <c r="H464" s="276">
        <f t="shared" ref="H464:I464" si="1239">SUM(H434,H439,H444,H449,H454,H459)</f>
        <v>474.864000006114</v>
      </c>
      <c r="I464" s="276">
        <f t="shared" si="1239"/>
        <v>161.17400000228542</v>
      </c>
      <c r="J464" s="276">
        <f>SUM(G464:I464)</f>
        <v>1158.0010000070374</v>
      </c>
      <c r="K464" s="276"/>
      <c r="L464" s="276">
        <f>SUM(L434,L439,L444,L449,L454,L459)</f>
        <v>499.95899999828441</v>
      </c>
      <c r="M464" s="276">
        <f t="shared" ref="M464:N464" si="1240">SUM(M434,M439,M444,M449,M454,M459)</f>
        <v>450.16300000231786</v>
      </c>
      <c r="N464" s="276">
        <f t="shared" si="1240"/>
        <v>135.23599999720966</v>
      </c>
      <c r="O464" s="276">
        <f>SUM(L464:N464)</f>
        <v>1085.3579999978119</v>
      </c>
      <c r="P464" s="276"/>
      <c r="Q464" s="276">
        <f>SUM(Q434,Q439,Q444,Q449,Q454,Q459)</f>
        <v>539.92300000623402</v>
      </c>
      <c r="R464" s="276">
        <f t="shared" ref="R464:S464" si="1241">SUM(R434,R439,R444,R449,R454,R459)</f>
        <v>468.77600000295007</v>
      </c>
      <c r="S464" s="276">
        <f t="shared" si="1241"/>
        <v>141.77299999965942</v>
      </c>
      <c r="T464" s="276">
        <f>SUM(Q464:S464)</f>
        <v>1150.4720000088437</v>
      </c>
      <c r="U464" s="276"/>
      <c r="V464" s="276">
        <f>SUM(V434,V439,V444,V449,V454,V459)</f>
        <v>590.98500000493311</v>
      </c>
      <c r="W464" s="276">
        <f t="shared" ref="W464:X464" si="1242">SUM(W434,W439,W444,W449,W454,W459)</f>
        <v>485.2190000051034</v>
      </c>
      <c r="X464" s="276">
        <f t="shared" si="1242"/>
        <v>153.93299999987431</v>
      </c>
      <c r="Y464" s="276">
        <f>SUM(V464:X464)</f>
        <v>1230.1370000099107</v>
      </c>
    </row>
    <row r="465" spans="1:25" ht="12.6">
      <c r="A465" s="236" t="s">
        <v>144</v>
      </c>
      <c r="B465" s="276">
        <f>SUM(B435,B440,B445,B450,B455,B460)</f>
        <v>943.34300000237943</v>
      </c>
      <c r="C465" s="276">
        <f t="shared" si="1238"/>
        <v>329.16700000469029</v>
      </c>
      <c r="D465" s="276">
        <f t="shared" si="1238"/>
        <v>155.64600000236217</v>
      </c>
      <c r="E465" s="276">
        <f t="shared" ref="E465:E466" si="1243">SUM(B465:D465)</f>
        <v>1428.1560000094319</v>
      </c>
      <c r="F465" s="276"/>
      <c r="G465" s="276">
        <f>SUM(G435,G440,G445,G450,G455,G460)</f>
        <v>950.86100000168153</v>
      </c>
      <c r="H465" s="276">
        <f t="shared" ref="H465:I465" si="1244">SUM(H435,H440,H445,H450,H455,H460)</f>
        <v>367.18700000442209</v>
      </c>
      <c r="I465" s="276">
        <f t="shared" si="1244"/>
        <v>163.29600000080768</v>
      </c>
      <c r="J465" s="276">
        <f t="shared" ref="J465:J466" si="1245">SUM(G465:I465)</f>
        <v>1481.3440000069113</v>
      </c>
      <c r="K465" s="276"/>
      <c r="L465" s="276">
        <f>SUM(L435,L440,L445,L450,L455,L460)</f>
        <v>921.97000000024809</v>
      </c>
      <c r="M465" s="276">
        <f t="shared" ref="M465:N465" si="1246">SUM(M435,M440,M445,M450,M455,M460)</f>
        <v>339.73600000021247</v>
      </c>
      <c r="N465" s="276">
        <f t="shared" si="1246"/>
        <v>136.17600000185493</v>
      </c>
      <c r="O465" s="276">
        <f t="shared" ref="O465:O466" si="1247">SUM(L465:N465)</f>
        <v>1397.8820000023154</v>
      </c>
      <c r="P465" s="276"/>
      <c r="Q465" s="276">
        <f>SUM(Q435,Q440,Q445,Q450,Q455,Q460)</f>
        <v>977.73200000048189</v>
      </c>
      <c r="R465" s="276">
        <f t="shared" ref="R465:S465" si="1248">SUM(R435,R440,R445,R450,R455,R460)</f>
        <v>359.50700000202647</v>
      </c>
      <c r="S465" s="276">
        <f t="shared" si="1248"/>
        <v>142.69200000444144</v>
      </c>
      <c r="T465" s="276">
        <f t="shared" ref="T465:T466" si="1249">SUM(Q465:S465)</f>
        <v>1479.9310000069499</v>
      </c>
      <c r="U465" s="276"/>
      <c r="V465" s="276">
        <f>SUM(V435,V440,V445,V450,V455,V460)</f>
        <v>1046.6179999998799</v>
      </c>
      <c r="W465" s="276">
        <f t="shared" ref="W465:X465" si="1250">SUM(W435,W440,W445,W450,W455,W460)</f>
        <v>381.58000000257209</v>
      </c>
      <c r="X465" s="276">
        <f t="shared" si="1250"/>
        <v>154.12700000407284</v>
      </c>
      <c r="Y465" s="276">
        <f t="shared" ref="Y465:Y466" si="1251">SUM(V465:X465)</f>
        <v>1582.3250000065248</v>
      </c>
    </row>
    <row r="466" spans="1:25" ht="12.6">
      <c r="A466" s="240" t="s">
        <v>146</v>
      </c>
      <c r="B466" s="277">
        <f>SUM(B464:B465)</f>
        <v>1432.4050000020163</v>
      </c>
      <c r="C466" s="277">
        <f t="shared" ref="C466" si="1252">SUM(C464:C465)</f>
        <v>779.24200001075451</v>
      </c>
      <c r="D466" s="277">
        <f t="shared" ref="D466" si="1253">SUM(D464:D465)</f>
        <v>288.63900000474518</v>
      </c>
      <c r="E466" s="277">
        <f t="shared" si="1243"/>
        <v>2500.286000017516</v>
      </c>
      <c r="F466" s="277"/>
      <c r="G466" s="277">
        <f>SUM(G464:G465)</f>
        <v>1472.8240000003198</v>
      </c>
      <c r="H466" s="277">
        <f t="shared" ref="H466" si="1254">SUM(H464:H465)</f>
        <v>842.05100001053609</v>
      </c>
      <c r="I466" s="277">
        <f t="shared" ref="I466" si="1255">SUM(I464:I465)</f>
        <v>324.47000000309311</v>
      </c>
      <c r="J466" s="277">
        <f t="shared" si="1245"/>
        <v>2639.3450000139487</v>
      </c>
      <c r="K466" s="277"/>
      <c r="L466" s="277">
        <f>SUM(L464:L465)</f>
        <v>1421.9289999985326</v>
      </c>
      <c r="M466" s="277">
        <f t="shared" ref="M466" si="1256">SUM(M464:M465)</f>
        <v>789.89900000253033</v>
      </c>
      <c r="N466" s="277">
        <f t="shared" ref="N466" si="1257">SUM(N464:N465)</f>
        <v>271.41199999906462</v>
      </c>
      <c r="O466" s="277">
        <f t="shared" si="1247"/>
        <v>2483.2400000001271</v>
      </c>
      <c r="P466" s="277"/>
      <c r="Q466" s="277">
        <f>SUM(Q464:Q465)</f>
        <v>1517.6550000067159</v>
      </c>
      <c r="R466" s="277">
        <f t="shared" ref="R466" si="1258">SUM(R464:R465)</f>
        <v>828.28300000497654</v>
      </c>
      <c r="S466" s="277">
        <f t="shared" ref="S466" si="1259">SUM(S464:S465)</f>
        <v>284.46500000410083</v>
      </c>
      <c r="T466" s="277">
        <f t="shared" si="1249"/>
        <v>2630.4030000157936</v>
      </c>
      <c r="U466" s="277"/>
      <c r="V466" s="277">
        <f>SUM(V464:V465)</f>
        <v>1637.6030000048131</v>
      </c>
      <c r="W466" s="277">
        <f t="shared" ref="W466" si="1260">SUM(W464:W465)</f>
        <v>866.79900000767543</v>
      </c>
      <c r="X466" s="277">
        <f t="shared" ref="X466" si="1261">SUM(X464:X465)</f>
        <v>308.06000000394715</v>
      </c>
      <c r="Y466" s="277">
        <f t="shared" si="1251"/>
        <v>2812.4620000164355</v>
      </c>
    </row>
    <row r="467" spans="1:25" ht="12.6">
      <c r="C467" s="239"/>
    </row>
    <row r="468" spans="1:25">
      <c r="A468" s="237"/>
    </row>
    <row r="469" spans="1:25" ht="12.6">
      <c r="C469" s="239"/>
    </row>
    <row r="470" spans="1:25" ht="14.1">
      <c r="A470" s="241" t="str">
        <f>"Industry 18 : "&amp; name!B21</f>
        <v>Industry 18 : Public admin. and defence</v>
      </c>
      <c r="B470" s="366">
        <f>$B$5</f>
        <v>2015</v>
      </c>
      <c r="C470" s="366"/>
      <c r="D470" s="366"/>
      <c r="E470" s="366"/>
      <c r="F470" s="291"/>
      <c r="G470" s="366">
        <f>$G$5</f>
        <v>2019</v>
      </c>
      <c r="H470" s="366"/>
      <c r="I470" s="366"/>
      <c r="J470" s="366"/>
      <c r="K470" s="291"/>
      <c r="L470" s="366">
        <f>$L$5</f>
        <v>2020</v>
      </c>
      <c r="M470" s="366"/>
      <c r="N470" s="366"/>
      <c r="O470" s="366"/>
      <c r="P470" s="289"/>
      <c r="Q470" s="366">
        <f>$Q$5</f>
        <v>2025</v>
      </c>
      <c r="R470" s="366"/>
      <c r="S470" s="366"/>
      <c r="T470" s="366"/>
      <c r="U470" s="291"/>
      <c r="V470" s="366">
        <f>$V$5</f>
        <v>2035</v>
      </c>
      <c r="W470" s="366"/>
      <c r="X470" s="366"/>
      <c r="Y470" s="366"/>
    </row>
    <row r="471" spans="1:25">
      <c r="A471" s="240"/>
      <c r="B471" s="244" t="str">
        <f>$B$6</f>
        <v>FT</v>
      </c>
      <c r="C471" s="244" t="str">
        <f>$C$6</f>
        <v>PT</v>
      </c>
      <c r="D471" s="244" t="str">
        <f>$D$6</f>
        <v>SE</v>
      </c>
      <c r="E471" s="244" t="str">
        <f>$E$6</f>
        <v>Total</v>
      </c>
      <c r="F471" s="244"/>
      <c r="G471" s="244" t="str">
        <f>$B$6</f>
        <v>FT</v>
      </c>
      <c r="H471" s="244" t="str">
        <f>$C$6</f>
        <v>PT</v>
      </c>
      <c r="I471" s="244" t="str">
        <f>$D$6</f>
        <v>SE</v>
      </c>
      <c r="J471" s="244" t="str">
        <f>$E$6</f>
        <v>Total</v>
      </c>
      <c r="K471" s="244"/>
      <c r="L471" s="244" t="str">
        <f>$L$6</f>
        <v>FT</v>
      </c>
      <c r="M471" s="244" t="str">
        <f>$M$6</f>
        <v>PT</v>
      </c>
      <c r="N471" s="244" t="str">
        <f>$N$6</f>
        <v>SE</v>
      </c>
      <c r="O471" s="244" t="str">
        <f>$O$6</f>
        <v>Total</v>
      </c>
      <c r="P471" s="244"/>
      <c r="Q471" s="244" t="str">
        <f>$L$6</f>
        <v>FT</v>
      </c>
      <c r="R471" s="244" t="str">
        <f>$M$6</f>
        <v>PT</v>
      </c>
      <c r="S471" s="244" t="str">
        <f>$N$6</f>
        <v>SE</v>
      </c>
      <c r="T471" s="244" t="str">
        <f>$O$6</f>
        <v>Total</v>
      </c>
      <c r="U471" s="244"/>
      <c r="V471" s="244" t="str">
        <f>$V$6</f>
        <v>FT</v>
      </c>
      <c r="W471" s="244" t="str">
        <f>$W$6</f>
        <v>PT</v>
      </c>
      <c r="X471" s="244" t="str">
        <f>$X$6</f>
        <v>SE</v>
      </c>
      <c r="Y471" s="244" t="str">
        <f>$Y$6</f>
        <v>Total</v>
      </c>
    </row>
    <row r="472" spans="1:25">
      <c r="A472" s="238"/>
      <c r="C472" s="290"/>
      <c r="D472" s="290"/>
      <c r="E472" s="290"/>
      <c r="F472" s="290"/>
      <c r="G472" s="290"/>
      <c r="H472" s="290"/>
      <c r="I472" s="290"/>
      <c r="J472" s="290"/>
      <c r="K472" s="290"/>
      <c r="L472" s="290"/>
      <c r="M472" s="290"/>
      <c r="N472" s="290"/>
      <c r="O472" s="290"/>
      <c r="P472" s="290"/>
      <c r="Q472" s="290"/>
      <c r="R472" s="290"/>
      <c r="S472" s="290"/>
      <c r="T472" s="290"/>
      <c r="U472" s="290"/>
      <c r="V472" s="290"/>
      <c r="W472" s="290"/>
      <c r="X472" s="290"/>
      <c r="Y472" s="290"/>
    </row>
    <row r="473" spans="1:25">
      <c r="A473" s="237" t="str">
        <f>name!A67</f>
        <v>Public administration and defence</v>
      </c>
      <c r="C473" s="239"/>
    </row>
    <row r="474" spans="1:25" ht="12.6">
      <c r="A474" s="236" t="s">
        <v>145</v>
      </c>
      <c r="B474" s="276">
        <v>310.34999999737175</v>
      </c>
      <c r="C474" s="276">
        <v>273.0989999981548</v>
      </c>
      <c r="D474" s="276">
        <v>16.248999999826317</v>
      </c>
      <c r="E474" s="276">
        <f>SUM(B474:D474)</f>
        <v>599.6979999953528</v>
      </c>
      <c r="F474" s="276"/>
      <c r="G474" s="276">
        <v>330.46099999778022</v>
      </c>
      <c r="H474" s="276">
        <v>255.61099999912614</v>
      </c>
      <c r="I474" s="276">
        <v>18.140999999883316</v>
      </c>
      <c r="J474" s="276">
        <f>SUM(G474:I474)</f>
        <v>604.21299999678968</v>
      </c>
      <c r="K474" s="276"/>
      <c r="L474" s="276">
        <v>343.07499999887244</v>
      </c>
      <c r="M474" s="276">
        <v>260.50599999887658</v>
      </c>
      <c r="N474" s="276">
        <v>25.584000000081719</v>
      </c>
      <c r="O474" s="276">
        <f>SUM(L474:N474)</f>
        <v>629.16499999783071</v>
      </c>
      <c r="P474" s="276"/>
      <c r="Q474" s="276">
        <v>353.49200000199909</v>
      </c>
      <c r="R474" s="276">
        <v>269.04499999846308</v>
      </c>
      <c r="S474" s="276">
        <v>26.33299999999041</v>
      </c>
      <c r="T474" s="276">
        <f>SUM(Q474:S474)</f>
        <v>648.87000000045259</v>
      </c>
      <c r="U474" s="276"/>
      <c r="V474" s="276">
        <v>363.52500000315734</v>
      </c>
      <c r="W474" s="276">
        <v>277.63299999958451</v>
      </c>
      <c r="X474" s="276">
        <v>27.180000000034152</v>
      </c>
      <c r="Y474" s="276">
        <f>SUM(V474:X474)</f>
        <v>668.33800000277597</v>
      </c>
    </row>
    <row r="475" spans="1:25" ht="12.6">
      <c r="A475" s="236" t="s">
        <v>144</v>
      </c>
      <c r="B475" s="276">
        <v>374.97299999702841</v>
      </c>
      <c r="C475" s="276">
        <v>52.777999999482319</v>
      </c>
      <c r="D475" s="276">
        <v>23.260000000126915</v>
      </c>
      <c r="E475" s="276">
        <f t="shared" ref="E475:E476" si="1262">SUM(B475:D475)</f>
        <v>451.01099999663762</v>
      </c>
      <c r="F475" s="276"/>
      <c r="G475" s="276">
        <v>391.70399999777078</v>
      </c>
      <c r="H475" s="276">
        <v>50.715999999659488</v>
      </c>
      <c r="I475" s="276">
        <v>17.077999999908947</v>
      </c>
      <c r="J475" s="276">
        <f t="shared" ref="J475:J476" si="1263">SUM(G475:I475)</f>
        <v>459.49799999733926</v>
      </c>
      <c r="K475" s="276"/>
      <c r="L475" s="276">
        <v>403.1009999986843</v>
      </c>
      <c r="M475" s="276">
        <v>52.859999999866311</v>
      </c>
      <c r="N475" s="276">
        <v>21.307000000310317</v>
      </c>
      <c r="O475" s="276">
        <f t="shared" ref="O475:O476" si="1264">SUM(L475:N475)</f>
        <v>477.26799999886094</v>
      </c>
      <c r="P475" s="276"/>
      <c r="Q475" s="276">
        <v>407.23700000027048</v>
      </c>
      <c r="R475" s="276">
        <v>57.529999999796807</v>
      </c>
      <c r="S475" s="276">
        <v>21.936000001075207</v>
      </c>
      <c r="T475" s="276">
        <f t="shared" ref="T475:T476" si="1265">SUM(Q475:S475)</f>
        <v>486.70300000114253</v>
      </c>
      <c r="U475" s="276"/>
      <c r="V475" s="276">
        <v>401.59400000001517</v>
      </c>
      <c r="W475" s="276">
        <v>65.428999999814636</v>
      </c>
      <c r="X475" s="276">
        <v>22.687000000924794</v>
      </c>
      <c r="Y475" s="276">
        <f t="shared" ref="Y475:Y476" si="1266">SUM(V475:X475)</f>
        <v>489.71000000075463</v>
      </c>
    </row>
    <row r="476" spans="1:25" ht="12.6">
      <c r="A476" s="240" t="s">
        <v>146</v>
      </c>
      <c r="B476" s="277">
        <f>SUM(B474:B475)</f>
        <v>685.32299999440011</v>
      </c>
      <c r="C476" s="277">
        <f t="shared" ref="C476" si="1267">SUM(C474:C475)</f>
        <v>325.87699999763709</v>
      </c>
      <c r="D476" s="277">
        <f t="shared" ref="D476" si="1268">SUM(D474:D475)</f>
        <v>39.508999999953232</v>
      </c>
      <c r="E476" s="277">
        <f t="shared" si="1262"/>
        <v>1050.7089999919904</v>
      </c>
      <c r="F476" s="277"/>
      <c r="G476" s="277">
        <f>SUM(G474:G475)</f>
        <v>722.16499999555094</v>
      </c>
      <c r="H476" s="277">
        <f t="shared" ref="H476" si="1269">SUM(H474:H475)</f>
        <v>306.3269999987856</v>
      </c>
      <c r="I476" s="277">
        <f t="shared" ref="I476" si="1270">SUM(I474:I475)</f>
        <v>35.21899999979226</v>
      </c>
      <c r="J476" s="277">
        <f t="shared" si="1263"/>
        <v>1063.7109999941288</v>
      </c>
      <c r="K476" s="277"/>
      <c r="L476" s="277">
        <f>SUM(L474:L475)</f>
        <v>746.1759999975568</v>
      </c>
      <c r="M476" s="277">
        <f t="shared" ref="M476" si="1271">SUM(M474:M475)</f>
        <v>313.36599999874289</v>
      </c>
      <c r="N476" s="277">
        <f t="shared" ref="N476" si="1272">SUM(N474:N475)</f>
        <v>46.89100000039204</v>
      </c>
      <c r="O476" s="277">
        <f t="shared" si="1264"/>
        <v>1106.4329999966917</v>
      </c>
      <c r="P476" s="277"/>
      <c r="Q476" s="277">
        <f>SUM(Q474:Q475)</f>
        <v>760.72900000226957</v>
      </c>
      <c r="R476" s="277">
        <f t="shared" ref="R476" si="1273">SUM(R474:R475)</f>
        <v>326.5749999982599</v>
      </c>
      <c r="S476" s="277">
        <f t="shared" ref="S476" si="1274">SUM(S474:S475)</f>
        <v>48.269000001065621</v>
      </c>
      <c r="T476" s="277">
        <f t="shared" si="1265"/>
        <v>1135.5730000015951</v>
      </c>
      <c r="U476" s="277"/>
      <c r="V476" s="277">
        <f>SUM(V474:V475)</f>
        <v>765.11900000317246</v>
      </c>
      <c r="W476" s="277">
        <f t="shared" ref="W476" si="1275">SUM(W474:W475)</f>
        <v>343.06199999939918</v>
      </c>
      <c r="X476" s="277">
        <f t="shared" ref="X476" si="1276">SUM(X474:X475)</f>
        <v>49.867000000958946</v>
      </c>
      <c r="Y476" s="277">
        <f t="shared" si="1266"/>
        <v>1158.0480000035307</v>
      </c>
    </row>
    <row r="480" spans="1:25" ht="14.1">
      <c r="A480" s="241" t="str">
        <f>"Industry 19 : "&amp; name!B22</f>
        <v>Industry 19 : Education</v>
      </c>
      <c r="B480" s="366">
        <f>$B$5</f>
        <v>2015</v>
      </c>
      <c r="C480" s="366"/>
      <c r="D480" s="366"/>
      <c r="E480" s="366"/>
      <c r="F480" s="291"/>
      <c r="G480" s="366">
        <f>$G$5</f>
        <v>2019</v>
      </c>
      <c r="H480" s="366"/>
      <c r="I480" s="366"/>
      <c r="J480" s="366"/>
      <c r="K480" s="291"/>
      <c r="L480" s="366">
        <f>$L$5</f>
        <v>2020</v>
      </c>
      <c r="M480" s="366"/>
      <c r="N480" s="366"/>
      <c r="O480" s="366"/>
      <c r="P480" s="289"/>
      <c r="Q480" s="366">
        <f>$Q$5</f>
        <v>2025</v>
      </c>
      <c r="R480" s="366"/>
      <c r="S480" s="366"/>
      <c r="T480" s="366"/>
      <c r="U480" s="291"/>
      <c r="V480" s="366">
        <f>$V$5</f>
        <v>2035</v>
      </c>
      <c r="W480" s="366"/>
      <c r="X480" s="366"/>
      <c r="Y480" s="366"/>
    </row>
    <row r="481" spans="1:25">
      <c r="A481" s="240"/>
      <c r="B481" s="244" t="str">
        <f>$B$6</f>
        <v>FT</v>
      </c>
      <c r="C481" s="244" t="str">
        <f>$C$6</f>
        <v>PT</v>
      </c>
      <c r="D481" s="244" t="str">
        <f>$D$6</f>
        <v>SE</v>
      </c>
      <c r="E481" s="244" t="str">
        <f>$E$6</f>
        <v>Total</v>
      </c>
      <c r="F481" s="244"/>
      <c r="G481" s="244" t="str">
        <f>$B$6</f>
        <v>FT</v>
      </c>
      <c r="H481" s="244" t="str">
        <f>$C$6</f>
        <v>PT</v>
      </c>
      <c r="I481" s="244" t="str">
        <f>$D$6</f>
        <v>SE</v>
      </c>
      <c r="J481" s="244" t="str">
        <f>$E$6</f>
        <v>Total</v>
      </c>
      <c r="K481" s="244"/>
      <c r="L481" s="244" t="str">
        <f>$L$6</f>
        <v>FT</v>
      </c>
      <c r="M481" s="244" t="str">
        <f>$M$6</f>
        <v>PT</v>
      </c>
      <c r="N481" s="244" t="str">
        <f>$N$6</f>
        <v>SE</v>
      </c>
      <c r="O481" s="244" t="str">
        <f>$O$6</f>
        <v>Total</v>
      </c>
      <c r="P481" s="244"/>
      <c r="Q481" s="244" t="str">
        <f>$L$6</f>
        <v>FT</v>
      </c>
      <c r="R481" s="244" t="str">
        <f>$M$6</f>
        <v>PT</v>
      </c>
      <c r="S481" s="244" t="str">
        <f>$N$6</f>
        <v>SE</v>
      </c>
      <c r="T481" s="244" t="str">
        <f>$O$6</f>
        <v>Total</v>
      </c>
      <c r="U481" s="244"/>
      <c r="V481" s="244" t="str">
        <f>$V$6</f>
        <v>FT</v>
      </c>
      <c r="W481" s="244" t="str">
        <f>$W$6</f>
        <v>PT</v>
      </c>
      <c r="X481" s="244" t="str">
        <f>$X$6</f>
        <v>SE</v>
      </c>
      <c r="Y481" s="244" t="str">
        <f>$Y$6</f>
        <v>Total</v>
      </c>
    </row>
    <row r="482" spans="1:25">
      <c r="C482" s="290"/>
      <c r="D482" s="290"/>
      <c r="E482" s="290"/>
      <c r="F482" s="290"/>
      <c r="G482" s="290"/>
      <c r="H482" s="290"/>
      <c r="I482" s="290"/>
      <c r="J482" s="290"/>
      <c r="K482" s="290"/>
      <c r="L482" s="290"/>
      <c r="M482" s="290"/>
      <c r="N482" s="290"/>
      <c r="O482" s="290"/>
      <c r="P482" s="290"/>
      <c r="Q482" s="290"/>
      <c r="R482" s="290"/>
      <c r="S482" s="290"/>
      <c r="T482" s="290"/>
      <c r="U482" s="290"/>
      <c r="V482" s="290"/>
      <c r="W482" s="290"/>
      <c r="X482" s="290"/>
      <c r="Y482" s="290"/>
    </row>
    <row r="483" spans="1:25">
      <c r="A483" s="237" t="str">
        <f>name!A68</f>
        <v xml:space="preserve">Education </v>
      </c>
      <c r="C483" s="239"/>
    </row>
    <row r="484" spans="1:25" ht="12.6">
      <c r="A484" s="236" t="s">
        <v>145</v>
      </c>
      <c r="B484" s="276">
        <v>721.16800001554634</v>
      </c>
      <c r="C484" s="276">
        <v>880.06499996354387</v>
      </c>
      <c r="D484" s="276">
        <v>151.85099999816728</v>
      </c>
      <c r="E484" s="276">
        <f>SUM(B484:D484)</f>
        <v>1753.0839999772575</v>
      </c>
      <c r="F484" s="276"/>
      <c r="G484" s="276">
        <v>722.19700003165974</v>
      </c>
      <c r="H484" s="276">
        <v>893.63099996191374</v>
      </c>
      <c r="I484" s="276">
        <v>147.07699999815731</v>
      </c>
      <c r="J484" s="276">
        <f>SUM(G484:I484)</f>
        <v>1762.9049999917308</v>
      </c>
      <c r="K484" s="276"/>
      <c r="L484" s="276">
        <v>724.83700002866044</v>
      </c>
      <c r="M484" s="276">
        <v>877.25199996208812</v>
      </c>
      <c r="N484" s="276">
        <v>177.12599999865341</v>
      </c>
      <c r="O484" s="276">
        <f>SUM(L484:N484)</f>
        <v>1779.214999989402</v>
      </c>
      <c r="P484" s="276"/>
      <c r="Q484" s="276">
        <v>745.85299992445812</v>
      </c>
      <c r="R484" s="276">
        <v>864.18299993584367</v>
      </c>
      <c r="S484" s="276">
        <v>178.70100000042075</v>
      </c>
      <c r="T484" s="276">
        <f>SUM(Q484:S484)</f>
        <v>1788.7369998607223</v>
      </c>
      <c r="U484" s="276"/>
      <c r="V484" s="276">
        <v>810.54999992183696</v>
      </c>
      <c r="W484" s="276">
        <v>858.88899993296775</v>
      </c>
      <c r="X484" s="276">
        <v>185.11900000145016</v>
      </c>
      <c r="Y484" s="276">
        <f>SUM(V484:X484)</f>
        <v>1854.5579998562548</v>
      </c>
    </row>
    <row r="485" spans="1:25" ht="12.6">
      <c r="A485" s="236" t="s">
        <v>144</v>
      </c>
      <c r="B485" s="276">
        <v>489.76800001489312</v>
      </c>
      <c r="C485" s="276">
        <v>178.32899998901496</v>
      </c>
      <c r="D485" s="276">
        <v>106.13500000178526</v>
      </c>
      <c r="E485" s="276">
        <f t="shared" ref="E485" si="1277">SUM(B485:D485)</f>
        <v>774.23200000569329</v>
      </c>
      <c r="F485" s="276"/>
      <c r="G485" s="276">
        <v>469.18800001088744</v>
      </c>
      <c r="H485" s="276">
        <v>185.54699998838134</v>
      </c>
      <c r="I485" s="276">
        <v>106.15899999622074</v>
      </c>
      <c r="J485" s="276">
        <f t="shared" ref="J485:J486" si="1278">SUM(G485:I485)</f>
        <v>760.89399999548948</v>
      </c>
      <c r="K485" s="276"/>
      <c r="L485" s="276">
        <v>463.67000001585257</v>
      </c>
      <c r="M485" s="276">
        <v>181.83700000541276</v>
      </c>
      <c r="N485" s="276">
        <v>107.05800000301586</v>
      </c>
      <c r="O485" s="276">
        <f t="shared" ref="O485:O486" si="1279">SUM(L485:N485)</f>
        <v>752.56500002428118</v>
      </c>
      <c r="P485" s="276"/>
      <c r="Q485" s="276">
        <v>460.48099998953774</v>
      </c>
      <c r="R485" s="276">
        <v>184.99199998184412</v>
      </c>
      <c r="S485" s="276">
        <v>109.1140000109846</v>
      </c>
      <c r="T485" s="276">
        <f t="shared" ref="T485:T486" si="1280">SUM(Q485:S485)</f>
        <v>754.58699998236636</v>
      </c>
      <c r="U485" s="276"/>
      <c r="V485" s="276">
        <v>466.26599999273714</v>
      </c>
      <c r="W485" s="276">
        <v>196.05499998159928</v>
      </c>
      <c r="X485" s="276">
        <v>116.35400001104587</v>
      </c>
      <c r="Y485" s="276">
        <f t="shared" ref="Y485:Y486" si="1281">SUM(V485:X485)</f>
        <v>778.67499998538233</v>
      </c>
    </row>
    <row r="486" spans="1:25" ht="12.6">
      <c r="A486" s="240" t="s">
        <v>146</v>
      </c>
      <c r="B486" s="277">
        <f>SUM(B484:B485)</f>
        <v>1210.9360000304396</v>
      </c>
      <c r="C486" s="277">
        <f t="shared" ref="C486" si="1282">SUM(C484:C485)</f>
        <v>1058.3939999525587</v>
      </c>
      <c r="D486" s="277">
        <f t="shared" ref="D486" si="1283">SUM(D484:D485)</f>
        <v>257.98599999995253</v>
      </c>
      <c r="E486" s="277">
        <f>SUM(B486:D486)</f>
        <v>2527.3159999829509</v>
      </c>
      <c r="F486" s="277"/>
      <c r="G486" s="277">
        <f>SUM(G484:G485)</f>
        <v>1191.3850000425473</v>
      </c>
      <c r="H486" s="277">
        <f t="shared" ref="H486" si="1284">SUM(H484:H485)</f>
        <v>1079.1779999502951</v>
      </c>
      <c r="I486" s="277">
        <f t="shared" ref="I486" si="1285">SUM(I484:I485)</f>
        <v>253.23599999437806</v>
      </c>
      <c r="J486" s="277">
        <f t="shared" si="1278"/>
        <v>2523.7989999872207</v>
      </c>
      <c r="K486" s="277"/>
      <c r="L486" s="277">
        <f>SUM(L484:L485)</f>
        <v>1188.507000044513</v>
      </c>
      <c r="M486" s="277">
        <f t="shared" ref="M486" si="1286">SUM(M484:M485)</f>
        <v>1059.088999967501</v>
      </c>
      <c r="N486" s="277">
        <f t="shared" ref="N486" si="1287">SUM(N484:N485)</f>
        <v>284.18400000166929</v>
      </c>
      <c r="O486" s="277">
        <f t="shared" si="1279"/>
        <v>2531.7800000136831</v>
      </c>
      <c r="P486" s="277"/>
      <c r="Q486" s="277">
        <f>SUM(Q484:Q485)</f>
        <v>1206.3339999139957</v>
      </c>
      <c r="R486" s="277">
        <f t="shared" ref="R486" si="1288">SUM(R484:R485)</f>
        <v>1049.1749999176877</v>
      </c>
      <c r="S486" s="277">
        <f t="shared" ref="S486" si="1289">SUM(S484:S485)</f>
        <v>287.81500001140535</v>
      </c>
      <c r="T486" s="277">
        <f t="shared" si="1280"/>
        <v>2543.323999843089</v>
      </c>
      <c r="U486" s="277"/>
      <c r="V486" s="277">
        <f>SUM(V484:V485)</f>
        <v>1276.8159999145741</v>
      </c>
      <c r="W486" s="277">
        <f t="shared" ref="W486" si="1290">SUM(W484:W485)</f>
        <v>1054.943999914567</v>
      </c>
      <c r="X486" s="277">
        <f t="shared" ref="X486" si="1291">SUM(X484:X485)</f>
        <v>301.47300001249602</v>
      </c>
      <c r="Y486" s="277">
        <f t="shared" si="1281"/>
        <v>2633.2329998416371</v>
      </c>
    </row>
    <row r="490" spans="1:25" ht="14.1">
      <c r="A490" s="241" t="str">
        <f>"Industry 20 : "&amp; name!B23</f>
        <v>Industry 20 : Health and social work</v>
      </c>
      <c r="B490" s="366">
        <f>$B$5</f>
        <v>2015</v>
      </c>
      <c r="C490" s="366"/>
      <c r="D490" s="366"/>
      <c r="E490" s="366"/>
      <c r="F490" s="291"/>
      <c r="G490" s="366">
        <f>$G$5</f>
        <v>2019</v>
      </c>
      <c r="H490" s="366"/>
      <c r="I490" s="366"/>
      <c r="J490" s="366"/>
      <c r="K490" s="291"/>
      <c r="L490" s="366">
        <f>$L$5</f>
        <v>2020</v>
      </c>
      <c r="M490" s="366"/>
      <c r="N490" s="366"/>
      <c r="O490" s="366"/>
      <c r="P490" s="289"/>
      <c r="Q490" s="366">
        <f>$Q$5</f>
        <v>2025</v>
      </c>
      <c r="R490" s="366"/>
      <c r="S490" s="366"/>
      <c r="T490" s="366"/>
      <c r="U490" s="291"/>
      <c r="V490" s="366">
        <f>$V$5</f>
        <v>2035</v>
      </c>
      <c r="W490" s="366"/>
      <c r="X490" s="366"/>
      <c r="Y490" s="366"/>
    </row>
    <row r="491" spans="1:25">
      <c r="A491" s="240"/>
      <c r="B491" s="244" t="str">
        <f>$B$6</f>
        <v>FT</v>
      </c>
      <c r="C491" s="244" t="str">
        <f>$C$6</f>
        <v>PT</v>
      </c>
      <c r="D491" s="244" t="str">
        <f>$D$6</f>
        <v>SE</v>
      </c>
      <c r="E491" s="244" t="str">
        <f>$E$6</f>
        <v>Total</v>
      </c>
      <c r="F491" s="244"/>
      <c r="G491" s="244" t="str">
        <f>$B$6</f>
        <v>FT</v>
      </c>
      <c r="H491" s="244" t="str">
        <f>$C$6</f>
        <v>PT</v>
      </c>
      <c r="I491" s="244" t="str">
        <f>$D$6</f>
        <v>SE</v>
      </c>
      <c r="J491" s="244" t="str">
        <f>$E$6</f>
        <v>Total</v>
      </c>
      <c r="K491" s="244"/>
      <c r="L491" s="244" t="str">
        <f>$L$6</f>
        <v>FT</v>
      </c>
      <c r="M491" s="244" t="str">
        <f>$M$6</f>
        <v>PT</v>
      </c>
      <c r="N491" s="244" t="str">
        <f>$N$6</f>
        <v>SE</v>
      </c>
      <c r="O491" s="244" t="str">
        <f>$O$6</f>
        <v>Total</v>
      </c>
      <c r="P491" s="244"/>
      <c r="Q491" s="244" t="str">
        <f>$L$6</f>
        <v>FT</v>
      </c>
      <c r="R491" s="244" t="str">
        <f>$M$6</f>
        <v>PT</v>
      </c>
      <c r="S491" s="244" t="str">
        <f>$N$6</f>
        <v>SE</v>
      </c>
      <c r="T491" s="244" t="str">
        <f>$O$6</f>
        <v>Total</v>
      </c>
      <c r="U491" s="244"/>
      <c r="V491" s="244" t="str">
        <f>$V$6</f>
        <v>FT</v>
      </c>
      <c r="W491" s="244" t="str">
        <f>$W$6</f>
        <v>PT</v>
      </c>
      <c r="X491" s="244" t="str">
        <f>$X$6</f>
        <v>SE</v>
      </c>
      <c r="Y491" s="244" t="str">
        <f>$Y$6</f>
        <v>Total</v>
      </c>
    </row>
    <row r="492" spans="1:25">
      <c r="C492" s="290"/>
      <c r="D492" s="290"/>
      <c r="E492" s="290"/>
      <c r="F492" s="290"/>
      <c r="G492" s="290"/>
      <c r="H492" s="290"/>
      <c r="I492" s="290"/>
      <c r="J492" s="290"/>
      <c r="K492" s="290"/>
      <c r="L492" s="290"/>
      <c r="M492" s="290"/>
      <c r="N492" s="290"/>
      <c r="O492" s="290"/>
      <c r="P492" s="290"/>
      <c r="Q492" s="290"/>
      <c r="R492" s="290"/>
      <c r="S492" s="290"/>
      <c r="T492" s="290"/>
      <c r="U492" s="290"/>
      <c r="V492" s="290"/>
      <c r="W492" s="290"/>
      <c r="X492" s="290"/>
      <c r="Y492" s="290"/>
    </row>
    <row r="493" spans="1:25">
      <c r="A493" s="237" t="str">
        <f>name!A69</f>
        <v>Health</v>
      </c>
      <c r="C493" s="239"/>
    </row>
    <row r="494" spans="1:25" ht="12.6">
      <c r="A494" s="236" t="s">
        <v>145</v>
      </c>
      <c r="B494" s="276">
        <v>757.18199999589615</v>
      </c>
      <c r="C494" s="276">
        <v>655.15799998751424</v>
      </c>
      <c r="D494" s="276">
        <v>96.638999992402375</v>
      </c>
      <c r="E494" s="276">
        <f>SUM(B494:D494)</f>
        <v>1508.9789999758129</v>
      </c>
      <c r="F494" s="276"/>
      <c r="G494" s="276">
        <v>823.8379999984835</v>
      </c>
      <c r="H494" s="276">
        <v>713.00699999099925</v>
      </c>
      <c r="I494" s="276">
        <v>114.82899999165387</v>
      </c>
      <c r="J494" s="276">
        <f>SUM(G494:I494)</f>
        <v>1651.6739999811368</v>
      </c>
      <c r="K494" s="276"/>
      <c r="L494" s="276">
        <v>862.28999999827113</v>
      </c>
      <c r="M494" s="276">
        <v>732.19299998916404</v>
      </c>
      <c r="N494" s="276">
        <v>104.23700000718668</v>
      </c>
      <c r="O494" s="276">
        <f>SUM(L494:N494)</f>
        <v>1698.7199999946217</v>
      </c>
      <c r="P494" s="276"/>
      <c r="Q494" s="276">
        <v>923.54399999654061</v>
      </c>
      <c r="R494" s="276">
        <v>765.0389999749093</v>
      </c>
      <c r="S494" s="276">
        <v>118.85999999867487</v>
      </c>
      <c r="T494" s="276">
        <f>SUM(Q494:S494)</f>
        <v>1807.4429999701247</v>
      </c>
      <c r="U494" s="276"/>
      <c r="V494" s="276">
        <v>997.34599999014995</v>
      </c>
      <c r="W494" s="276">
        <v>785.82899996567869</v>
      </c>
      <c r="X494" s="276">
        <v>143.63099999983964</v>
      </c>
      <c r="Y494" s="276">
        <f>SUM(V494:X494)</f>
        <v>1926.8059999556683</v>
      </c>
    </row>
    <row r="495" spans="1:25" ht="12.6">
      <c r="A495" s="236" t="s">
        <v>144</v>
      </c>
      <c r="B495" s="276">
        <v>309.16599999682961</v>
      </c>
      <c r="C495" s="276">
        <v>74.664999999682124</v>
      </c>
      <c r="D495" s="276">
        <v>63.34700000232862</v>
      </c>
      <c r="E495" s="276">
        <f t="shared" ref="E495:E496" si="1292">SUM(B495:D495)</f>
        <v>447.17799999884039</v>
      </c>
      <c r="F495" s="276"/>
      <c r="G495" s="276">
        <v>345.67199999811777</v>
      </c>
      <c r="H495" s="276">
        <v>88.897999999688665</v>
      </c>
      <c r="I495" s="276">
        <v>62.199999999887574</v>
      </c>
      <c r="J495" s="276">
        <f t="shared" ref="J495:J496" si="1293">SUM(G495:I495)</f>
        <v>496.76999999769401</v>
      </c>
      <c r="K495" s="276"/>
      <c r="L495" s="276">
        <v>350.4209999985315</v>
      </c>
      <c r="M495" s="276">
        <v>91.354000000193651</v>
      </c>
      <c r="N495" s="276">
        <v>72.529000003102325</v>
      </c>
      <c r="O495" s="276">
        <f t="shared" ref="O495:O496" si="1294">SUM(L495:N495)</f>
        <v>514.30400000182749</v>
      </c>
      <c r="P495" s="276"/>
      <c r="Q495" s="276">
        <v>372.60299999932892</v>
      </c>
      <c r="R495" s="276">
        <v>100.33999999933491</v>
      </c>
      <c r="S495" s="276">
        <v>73.144000007101923</v>
      </c>
      <c r="T495" s="276">
        <f t="shared" ref="T495:T496" si="1295">SUM(Q495:S495)</f>
        <v>546.08700000576573</v>
      </c>
      <c r="U495" s="276"/>
      <c r="V495" s="276">
        <v>396.51299999929239</v>
      </c>
      <c r="W495" s="276">
        <v>113.5549999994887</v>
      </c>
      <c r="X495" s="276">
        <v>69.389000005481918</v>
      </c>
      <c r="Y495" s="276">
        <f t="shared" ref="Y495:Y496" si="1296">SUM(V495:X495)</f>
        <v>579.45700000426302</v>
      </c>
    </row>
    <row r="496" spans="1:25" ht="12.6">
      <c r="A496" s="236" t="s">
        <v>146</v>
      </c>
      <c r="B496" s="276">
        <f>SUM(B494:B495)</f>
        <v>1066.3479999927258</v>
      </c>
      <c r="C496" s="276">
        <f t="shared" ref="C496" si="1297">SUM(C494:C495)</f>
        <v>729.82299998719634</v>
      </c>
      <c r="D496" s="276">
        <f t="shared" ref="D496" si="1298">SUM(D494:D495)</f>
        <v>159.985999994731</v>
      </c>
      <c r="E496" s="276">
        <f t="shared" si="1292"/>
        <v>1956.1569999746532</v>
      </c>
      <c r="F496" s="276"/>
      <c r="G496" s="276">
        <f>SUM(G494:G495)</f>
        <v>1169.5099999966012</v>
      </c>
      <c r="H496" s="276">
        <f t="shared" ref="H496" si="1299">SUM(H494:H495)</f>
        <v>801.90499999068788</v>
      </c>
      <c r="I496" s="276">
        <f t="shared" ref="I496" si="1300">SUM(I494:I495)</f>
        <v>177.02899999154144</v>
      </c>
      <c r="J496" s="276">
        <f t="shared" si="1293"/>
        <v>2148.4439999788306</v>
      </c>
      <c r="K496" s="276"/>
      <c r="L496" s="276">
        <f>SUM(L494:L495)</f>
        <v>1212.7109999968027</v>
      </c>
      <c r="M496" s="276">
        <f t="shared" ref="M496" si="1301">SUM(M494:M495)</f>
        <v>823.54699998935769</v>
      </c>
      <c r="N496" s="276">
        <f t="shared" ref="N496" si="1302">SUM(N494:N495)</f>
        <v>176.76600001028902</v>
      </c>
      <c r="O496" s="276">
        <f t="shared" si="1294"/>
        <v>2213.0239999964497</v>
      </c>
      <c r="P496" s="276"/>
      <c r="Q496" s="276">
        <f>SUM(Q494:Q495)</f>
        <v>1296.1469999958695</v>
      </c>
      <c r="R496" s="276">
        <f t="shared" ref="R496" si="1303">SUM(R494:R495)</f>
        <v>865.37899997424415</v>
      </c>
      <c r="S496" s="276">
        <f t="shared" ref="S496" si="1304">SUM(S494:S495)</f>
        <v>192.00400000577679</v>
      </c>
      <c r="T496" s="276">
        <f t="shared" si="1295"/>
        <v>2353.5299999758909</v>
      </c>
      <c r="U496" s="276"/>
      <c r="V496" s="276">
        <f>SUM(V494:V495)</f>
        <v>1393.8589999894423</v>
      </c>
      <c r="W496" s="276">
        <f t="shared" ref="W496" si="1305">SUM(W494:W495)</f>
        <v>899.38399996516739</v>
      </c>
      <c r="X496" s="276">
        <f t="shared" ref="X496" si="1306">SUM(X494:X495)</f>
        <v>213.02000000532155</v>
      </c>
      <c r="Y496" s="276">
        <f t="shared" si="1296"/>
        <v>2506.2629999599312</v>
      </c>
    </row>
    <row r="497" spans="1:25">
      <c r="C497" s="290"/>
      <c r="D497" s="290"/>
      <c r="E497" s="290"/>
      <c r="F497" s="290"/>
      <c r="G497" s="290"/>
      <c r="H497" s="290"/>
      <c r="I497" s="290"/>
      <c r="J497" s="290"/>
      <c r="K497" s="290"/>
      <c r="L497" s="290"/>
      <c r="M497" s="290"/>
      <c r="N497" s="290"/>
      <c r="O497" s="290"/>
      <c r="P497" s="290"/>
      <c r="Q497" s="290"/>
      <c r="R497" s="290"/>
      <c r="S497" s="290"/>
      <c r="T497" s="290"/>
      <c r="U497" s="290"/>
      <c r="V497" s="290"/>
      <c r="W497" s="290"/>
      <c r="X497" s="290"/>
      <c r="Y497" s="290"/>
    </row>
    <row r="498" spans="1:25">
      <c r="A498" s="237" t="str">
        <f>name!A70</f>
        <v>Residential care</v>
      </c>
      <c r="C498" s="239"/>
    </row>
    <row r="499" spans="1:25" ht="12.6">
      <c r="A499" s="236" t="s">
        <v>145</v>
      </c>
      <c r="B499" s="276">
        <v>254.13099999861217</v>
      </c>
      <c r="C499" s="276">
        <v>228.78499999570533</v>
      </c>
      <c r="D499" s="276">
        <v>45.921999996394057</v>
      </c>
      <c r="E499" s="276">
        <f>SUM(B499:D499)</f>
        <v>528.83799999071164</v>
      </c>
      <c r="F499" s="276"/>
      <c r="G499" s="276">
        <v>272.92799999936562</v>
      </c>
      <c r="H499" s="276">
        <v>220.81599999727351</v>
      </c>
      <c r="I499" s="276">
        <v>57.102999995875372</v>
      </c>
      <c r="J499" s="276">
        <f>SUM(G499:I499)</f>
        <v>550.8469999925145</v>
      </c>
      <c r="K499" s="276"/>
      <c r="L499" s="276">
        <v>261.07399999938912</v>
      </c>
      <c r="M499" s="276">
        <v>204.72299999700112</v>
      </c>
      <c r="N499" s="276">
        <v>43.285000002960814</v>
      </c>
      <c r="O499" s="276">
        <f>SUM(L499:N499)</f>
        <v>509.08199999935107</v>
      </c>
      <c r="P499" s="276"/>
      <c r="Q499" s="276">
        <v>292.12699999888008</v>
      </c>
      <c r="R499" s="276">
        <v>207.10699999324936</v>
      </c>
      <c r="S499" s="276">
        <v>47.586999999485634</v>
      </c>
      <c r="T499" s="276">
        <f>SUM(Q499:S499)</f>
        <v>546.82099999161505</v>
      </c>
      <c r="U499" s="276"/>
      <c r="V499" s="276">
        <v>342.47999999661471</v>
      </c>
      <c r="W499" s="276">
        <v>196.5549999913674</v>
      </c>
      <c r="X499" s="276">
        <v>51.777999999953508</v>
      </c>
      <c r="Y499" s="276">
        <f>SUM(V499:X499)</f>
        <v>590.81299998793565</v>
      </c>
    </row>
    <row r="500" spans="1:25" ht="12.6">
      <c r="A500" s="236" t="s">
        <v>144</v>
      </c>
      <c r="B500" s="276">
        <v>91.463999999117547</v>
      </c>
      <c r="C500" s="276">
        <v>42.58399999981507</v>
      </c>
      <c r="D500" s="276">
        <v>9.647000000357286</v>
      </c>
      <c r="E500" s="276">
        <f t="shared" ref="E500:E501" si="1307">SUM(B500:D500)</f>
        <v>143.69499999928991</v>
      </c>
      <c r="F500" s="276"/>
      <c r="G500" s="276">
        <v>78.842999999575227</v>
      </c>
      <c r="H500" s="276">
        <v>34.425999999879707</v>
      </c>
      <c r="I500" s="276">
        <v>8.7289999999888117</v>
      </c>
      <c r="J500" s="276">
        <f t="shared" ref="J500:J501" si="1308">SUM(G500:I500)</f>
        <v>121.99799999944375</v>
      </c>
      <c r="K500" s="276"/>
      <c r="L500" s="276">
        <v>81.846999999460536</v>
      </c>
      <c r="M500" s="276">
        <v>37.999000000089652</v>
      </c>
      <c r="N500" s="276">
        <v>7.1060000002448938</v>
      </c>
      <c r="O500" s="276">
        <f t="shared" ref="O500:O501" si="1309">SUM(L500:N500)</f>
        <v>126.95199999979508</v>
      </c>
      <c r="P500" s="276"/>
      <c r="Q500" s="276">
        <v>87.342999999678923</v>
      </c>
      <c r="R500" s="276">
        <v>40.573999999748239</v>
      </c>
      <c r="S500" s="276">
        <v>7.5440000006420513</v>
      </c>
      <c r="T500" s="276">
        <f t="shared" ref="T500:T501" si="1310">SUM(Q500:S500)</f>
        <v>135.46100000006922</v>
      </c>
      <c r="U500" s="276"/>
      <c r="V500" s="276">
        <v>94.201999999615978</v>
      </c>
      <c r="W500" s="276">
        <v>43.311999999813899</v>
      </c>
      <c r="X500" s="276">
        <v>7.9280000005155813</v>
      </c>
      <c r="Y500" s="276">
        <f t="shared" ref="Y500:Y501" si="1311">SUM(V500:X500)</f>
        <v>145.44199999994544</v>
      </c>
    </row>
    <row r="501" spans="1:25" ht="12.6">
      <c r="A501" s="236" t="s">
        <v>146</v>
      </c>
      <c r="B501" s="276">
        <f>SUM(B499:B500)</f>
        <v>345.5949999977297</v>
      </c>
      <c r="C501" s="276">
        <f t="shared" ref="C501" si="1312">SUM(C499:C500)</f>
        <v>271.36899999552043</v>
      </c>
      <c r="D501" s="276">
        <f t="shared" ref="D501" si="1313">SUM(D499:D500)</f>
        <v>55.568999996751344</v>
      </c>
      <c r="E501" s="276">
        <f t="shared" si="1307"/>
        <v>672.53299999000149</v>
      </c>
      <c r="F501" s="276"/>
      <c r="G501" s="276">
        <f>SUM(G499:G500)</f>
        <v>351.77099999894085</v>
      </c>
      <c r="H501" s="276">
        <f t="shared" ref="H501" si="1314">SUM(H499:H500)</f>
        <v>255.24199999715321</v>
      </c>
      <c r="I501" s="276">
        <f t="shared" ref="I501" si="1315">SUM(I499:I500)</f>
        <v>65.83199999586418</v>
      </c>
      <c r="J501" s="276">
        <f t="shared" si="1308"/>
        <v>672.84499999195828</v>
      </c>
      <c r="K501" s="276"/>
      <c r="L501" s="276">
        <f>SUM(L499:L500)</f>
        <v>342.92099999884965</v>
      </c>
      <c r="M501" s="276">
        <f t="shared" ref="M501" si="1316">SUM(M499:M500)</f>
        <v>242.72199999709079</v>
      </c>
      <c r="N501" s="276">
        <f t="shared" ref="N501" si="1317">SUM(N499:N500)</f>
        <v>50.391000003205704</v>
      </c>
      <c r="O501" s="276">
        <f t="shared" si="1309"/>
        <v>636.0339999991462</v>
      </c>
      <c r="P501" s="276"/>
      <c r="Q501" s="276">
        <f>SUM(Q499:Q500)</f>
        <v>379.46999999855899</v>
      </c>
      <c r="R501" s="276">
        <f t="shared" ref="R501" si="1318">SUM(R499:R500)</f>
        <v>247.68099999299761</v>
      </c>
      <c r="S501" s="276">
        <f t="shared" ref="S501" si="1319">SUM(S499:S500)</f>
        <v>55.131000000127685</v>
      </c>
      <c r="T501" s="276">
        <f t="shared" si="1310"/>
        <v>682.28199999168419</v>
      </c>
      <c r="U501" s="276"/>
      <c r="V501" s="276">
        <f>SUM(V499:V500)</f>
        <v>436.68199999623067</v>
      </c>
      <c r="W501" s="276">
        <f t="shared" ref="W501" si="1320">SUM(W499:W500)</f>
        <v>239.8669999911813</v>
      </c>
      <c r="X501" s="276">
        <f t="shared" ref="X501" si="1321">SUM(X499:X500)</f>
        <v>59.706000000469089</v>
      </c>
      <c r="Y501" s="276">
        <f t="shared" si="1311"/>
        <v>736.25499998788109</v>
      </c>
    </row>
    <row r="502" spans="1:25">
      <c r="C502" s="290"/>
      <c r="D502" s="290"/>
      <c r="E502" s="290"/>
      <c r="F502" s="290"/>
      <c r="G502" s="290"/>
      <c r="H502" s="290"/>
      <c r="I502" s="290"/>
      <c r="J502" s="290"/>
      <c r="K502" s="290"/>
      <c r="L502" s="290"/>
      <c r="M502" s="290"/>
      <c r="N502" s="290"/>
      <c r="O502" s="290"/>
      <c r="P502" s="290"/>
      <c r="Q502" s="290"/>
      <c r="R502" s="290"/>
      <c r="S502" s="290"/>
      <c r="T502" s="290"/>
      <c r="U502" s="290"/>
      <c r="V502" s="290"/>
      <c r="W502" s="290"/>
      <c r="X502" s="290"/>
      <c r="Y502" s="290"/>
    </row>
    <row r="503" spans="1:25">
      <c r="A503" s="237" t="str">
        <f>name!A71</f>
        <v>Social work</v>
      </c>
      <c r="C503" s="239"/>
    </row>
    <row r="504" spans="1:25" ht="12.6">
      <c r="A504" s="236" t="s">
        <v>145</v>
      </c>
      <c r="B504" s="276">
        <v>290.65999999846446</v>
      </c>
      <c r="C504" s="276">
        <v>322.94299999383867</v>
      </c>
      <c r="D504" s="276">
        <v>54.35999999571402</v>
      </c>
      <c r="E504" s="276">
        <f>SUM(B504:D504)</f>
        <v>667.96299998801715</v>
      </c>
      <c r="F504" s="276"/>
      <c r="G504" s="276">
        <v>300.56999999948249</v>
      </c>
      <c r="H504" s="276">
        <v>328.13999999585366</v>
      </c>
      <c r="I504" s="276">
        <v>68.451999995053171</v>
      </c>
      <c r="J504" s="276">
        <f>SUM(G504:I504)</f>
        <v>697.16199999038929</v>
      </c>
      <c r="K504" s="276"/>
      <c r="L504" s="276">
        <v>288.70099999944568</v>
      </c>
      <c r="M504" s="276">
        <v>303.09399999550965</v>
      </c>
      <c r="N504" s="276">
        <v>51.61000000357086</v>
      </c>
      <c r="O504" s="276">
        <f>SUM(L504:N504)</f>
        <v>643.40499999852614</v>
      </c>
      <c r="P504" s="276"/>
      <c r="Q504" s="276">
        <v>320.67899999889778</v>
      </c>
      <c r="R504" s="276">
        <v>305.32299998989009</v>
      </c>
      <c r="S504" s="276">
        <v>56.476999999414744</v>
      </c>
      <c r="T504" s="276">
        <f>SUM(Q504:S504)</f>
        <v>682.47899998820264</v>
      </c>
      <c r="U504" s="276"/>
      <c r="V504" s="276">
        <v>372.54299999631365</v>
      </c>
      <c r="W504" s="276">
        <v>288.14899998733779</v>
      </c>
      <c r="X504" s="276">
        <v>61.130999999941913</v>
      </c>
      <c r="Y504" s="276">
        <f>SUM(V504:X504)</f>
        <v>721.82299998359326</v>
      </c>
    </row>
    <row r="505" spans="1:25" ht="12.6">
      <c r="A505" s="236" t="s">
        <v>144</v>
      </c>
      <c r="B505" s="276">
        <v>109.92599999879627</v>
      </c>
      <c r="C505" s="276">
        <v>51.366999999775842</v>
      </c>
      <c r="D505" s="276">
        <v>13.314000000490045</v>
      </c>
      <c r="E505" s="276">
        <f t="shared" ref="E505:E506" si="1322">SUM(B505:D505)</f>
        <v>174.60699999906214</v>
      </c>
      <c r="F505" s="276"/>
      <c r="G505" s="276">
        <v>91.199999999480113</v>
      </c>
      <c r="H505" s="276">
        <v>46.602999999843945</v>
      </c>
      <c r="I505" s="276">
        <v>12.216999999965457</v>
      </c>
      <c r="J505" s="276">
        <f t="shared" ref="J505:J506" si="1323">SUM(G505:I505)</f>
        <v>150.01999999928952</v>
      </c>
      <c r="K505" s="276"/>
      <c r="L505" s="276">
        <v>95.278999999709882</v>
      </c>
      <c r="M505" s="276">
        <v>50.375000000112287</v>
      </c>
      <c r="N505" s="276">
        <v>9.9250000004336183</v>
      </c>
      <c r="O505" s="276">
        <f t="shared" ref="O505:O506" si="1324">SUM(L505:N505)</f>
        <v>155.57900000025577</v>
      </c>
      <c r="P505" s="276"/>
      <c r="Q505" s="276">
        <v>100.97899999990715</v>
      </c>
      <c r="R505" s="276">
        <v>53.500999999653708</v>
      </c>
      <c r="S505" s="276">
        <v>10.443000001009812</v>
      </c>
      <c r="T505" s="276">
        <f t="shared" ref="T505:T506" si="1325">SUM(Q505:S505)</f>
        <v>164.92300000057065</v>
      </c>
      <c r="U505" s="276"/>
      <c r="V505" s="276">
        <v>108.0909999999305</v>
      </c>
      <c r="W505" s="276">
        <v>56.745999999748584</v>
      </c>
      <c r="X505" s="276">
        <v>10.856000000848478</v>
      </c>
      <c r="Y505" s="276">
        <f t="shared" ref="Y505:Y506" si="1326">SUM(V505:X505)</f>
        <v>175.69300000052755</v>
      </c>
    </row>
    <row r="506" spans="1:25" ht="12.6">
      <c r="A506" s="236" t="s">
        <v>146</v>
      </c>
      <c r="B506" s="276">
        <f>SUM(B504:B505)</f>
        <v>400.58599999726073</v>
      </c>
      <c r="C506" s="276">
        <f t="shared" ref="C506" si="1327">SUM(C504:C505)</f>
        <v>374.3099999936145</v>
      </c>
      <c r="D506" s="276">
        <f t="shared" ref="D506" si="1328">SUM(D504:D505)</f>
        <v>67.67399999620406</v>
      </c>
      <c r="E506" s="276">
        <f t="shared" si="1322"/>
        <v>842.56999998707931</v>
      </c>
      <c r="F506" s="276"/>
      <c r="G506" s="276">
        <f>SUM(G504:G505)</f>
        <v>391.76999999896259</v>
      </c>
      <c r="H506" s="276">
        <f t="shared" ref="H506" si="1329">SUM(H504:H505)</f>
        <v>374.74299999569757</v>
      </c>
      <c r="I506" s="276">
        <f t="shared" ref="I506" si="1330">SUM(I504:I505)</f>
        <v>80.668999995018623</v>
      </c>
      <c r="J506" s="276">
        <f t="shared" si="1323"/>
        <v>847.18199998967884</v>
      </c>
      <c r="K506" s="276"/>
      <c r="L506" s="276">
        <f>SUM(L504:L505)</f>
        <v>383.97999999915555</v>
      </c>
      <c r="M506" s="276">
        <f t="shared" ref="M506" si="1331">SUM(M504:M505)</f>
        <v>353.46899999562191</v>
      </c>
      <c r="N506" s="276">
        <f t="shared" ref="N506" si="1332">SUM(N504:N505)</f>
        <v>61.53500000400448</v>
      </c>
      <c r="O506" s="276">
        <f t="shared" si="1324"/>
        <v>798.983999998782</v>
      </c>
      <c r="P506" s="276"/>
      <c r="Q506" s="276">
        <f>SUM(Q504:Q505)</f>
        <v>421.65799999880494</v>
      </c>
      <c r="R506" s="276">
        <f t="shared" ref="R506" si="1333">SUM(R504:R505)</f>
        <v>358.82399998954378</v>
      </c>
      <c r="S506" s="276">
        <f t="shared" ref="S506" si="1334">SUM(S504:S505)</f>
        <v>66.920000000424551</v>
      </c>
      <c r="T506" s="276">
        <f t="shared" si="1325"/>
        <v>847.40199998877324</v>
      </c>
      <c r="U506" s="276"/>
      <c r="V506" s="276">
        <f>SUM(V504:V505)</f>
        <v>480.63399999624414</v>
      </c>
      <c r="W506" s="276">
        <f t="shared" ref="W506" si="1335">SUM(W504:W505)</f>
        <v>344.89499998708635</v>
      </c>
      <c r="X506" s="276">
        <f t="shared" ref="X506" si="1336">SUM(X504:X505)</f>
        <v>71.987000000790388</v>
      </c>
      <c r="Y506" s="276">
        <f t="shared" si="1326"/>
        <v>897.51599998412098</v>
      </c>
    </row>
    <row r="507" spans="1:25" ht="12.6">
      <c r="C507" s="239"/>
    </row>
    <row r="508" spans="1:25">
      <c r="A508" s="237" t="s">
        <v>160</v>
      </c>
      <c r="C508" s="239"/>
    </row>
    <row r="509" spans="1:25" ht="12.6">
      <c r="A509" s="236" t="s">
        <v>145</v>
      </c>
      <c r="B509" s="276">
        <f>SUM(B494,B499,B504)</f>
        <v>1301.9729999929727</v>
      </c>
      <c r="C509" s="276">
        <f t="shared" ref="C509:D509" si="1337">SUM(C494,C499,C504)</f>
        <v>1206.8859999770582</v>
      </c>
      <c r="D509" s="276">
        <f t="shared" si="1337"/>
        <v>196.92099998451044</v>
      </c>
      <c r="E509" s="276">
        <f>SUM(B509:D509)</f>
        <v>2705.7799999545414</v>
      </c>
      <c r="F509" s="276"/>
      <c r="G509" s="276">
        <f>SUM(G494,G499,G504)</f>
        <v>1397.3359999973316</v>
      </c>
      <c r="H509" s="276">
        <f t="shared" ref="H509:I509" si="1338">SUM(H494,H499,H504)</f>
        <v>1261.9629999841263</v>
      </c>
      <c r="I509" s="276">
        <f t="shared" si="1338"/>
        <v>240.38399998258242</v>
      </c>
      <c r="J509" s="276">
        <f>SUM(G509:I509)</f>
        <v>2899.6829999640404</v>
      </c>
      <c r="K509" s="276"/>
      <c r="L509" s="276">
        <f>SUM(L494,L499,L504)</f>
        <v>1412.064999997106</v>
      </c>
      <c r="M509" s="276">
        <f t="shared" ref="M509:N509" si="1339">SUM(M494,M499,M504)</f>
        <v>1240.0099999816748</v>
      </c>
      <c r="N509" s="276">
        <f t="shared" si="1339"/>
        <v>199.13200001371837</v>
      </c>
      <c r="O509" s="276">
        <f>SUM(L509:N509)</f>
        <v>2851.2069999924993</v>
      </c>
      <c r="P509" s="276"/>
      <c r="Q509" s="276">
        <f>SUM(Q494,Q499,Q504)</f>
        <v>1536.3499999943185</v>
      </c>
      <c r="R509" s="276">
        <f t="shared" ref="R509:S509" si="1340">SUM(R494,R499,R504)</f>
        <v>1277.4689999580487</v>
      </c>
      <c r="S509" s="276">
        <f t="shared" si="1340"/>
        <v>222.92399999757524</v>
      </c>
      <c r="T509" s="276">
        <f>SUM(Q509:S509)</f>
        <v>3036.7429999499427</v>
      </c>
      <c r="U509" s="276"/>
      <c r="V509" s="276">
        <f>SUM(V494,V499,V504)</f>
        <v>1712.3689999830783</v>
      </c>
      <c r="W509" s="276">
        <f t="shared" ref="W509:X509" si="1341">SUM(W494,W499,W504)</f>
        <v>1270.5329999443838</v>
      </c>
      <c r="X509" s="276">
        <f t="shared" si="1341"/>
        <v>256.53999999973507</v>
      </c>
      <c r="Y509" s="276">
        <f>SUM(V509:X509)</f>
        <v>3239.4419999271977</v>
      </c>
    </row>
    <row r="510" spans="1:25" ht="12.6">
      <c r="A510" s="236" t="s">
        <v>144</v>
      </c>
      <c r="B510" s="276">
        <f>SUM(B495,B500,B505)</f>
        <v>510.55599999474344</v>
      </c>
      <c r="C510" s="276">
        <f t="shared" ref="C510:D510" si="1342">SUM(C495,C500,C505)</f>
        <v>168.61599999927301</v>
      </c>
      <c r="D510" s="276">
        <f t="shared" si="1342"/>
        <v>86.308000003175948</v>
      </c>
      <c r="E510" s="276">
        <f t="shared" ref="E510:E511" si="1343">SUM(B510:D510)</f>
        <v>765.47999999719241</v>
      </c>
      <c r="F510" s="276"/>
      <c r="G510" s="276">
        <f>SUM(G495,G500,G505)</f>
        <v>515.71499999717309</v>
      </c>
      <c r="H510" s="276">
        <f t="shared" ref="H510:I510" si="1344">SUM(H495,H500,H505)</f>
        <v>169.92699999941232</v>
      </c>
      <c r="I510" s="276">
        <f t="shared" si="1344"/>
        <v>83.145999999841834</v>
      </c>
      <c r="J510" s="276">
        <f t="shared" ref="J510:J511" si="1345">SUM(G510:I510)</f>
        <v>768.78799999642717</v>
      </c>
      <c r="K510" s="276"/>
      <c r="L510" s="276">
        <f>SUM(L495,L500,L505)</f>
        <v>527.54699999770196</v>
      </c>
      <c r="M510" s="276">
        <f t="shared" ref="M510:N510" si="1346">SUM(M495,M500,M505)</f>
        <v>179.72800000039561</v>
      </c>
      <c r="N510" s="276">
        <f t="shared" si="1346"/>
        <v>89.560000003780829</v>
      </c>
      <c r="O510" s="276">
        <f t="shared" ref="O510:O511" si="1347">SUM(L510:N510)</f>
        <v>796.83500000187837</v>
      </c>
      <c r="P510" s="276"/>
      <c r="Q510" s="276">
        <f>SUM(Q495,Q500,Q505)</f>
        <v>560.92499999891493</v>
      </c>
      <c r="R510" s="276">
        <f t="shared" ref="R510:S510" si="1348">SUM(R495,R500,R505)</f>
        <v>194.41499999873687</v>
      </c>
      <c r="S510" s="276">
        <f t="shared" si="1348"/>
        <v>91.131000008753787</v>
      </c>
      <c r="T510" s="276">
        <f t="shared" ref="T510:T511" si="1349">SUM(Q510:S510)</f>
        <v>846.47100000640557</v>
      </c>
      <c r="U510" s="276"/>
      <c r="V510" s="276">
        <f>SUM(V495,V500,V505)</f>
        <v>598.80599999883884</v>
      </c>
      <c r="W510" s="276">
        <f t="shared" ref="W510:X510" si="1350">SUM(W495,W500,W505)</f>
        <v>213.6129999990512</v>
      </c>
      <c r="X510" s="276">
        <f t="shared" si="1350"/>
        <v>88.173000006845982</v>
      </c>
      <c r="Y510" s="276">
        <f t="shared" ref="Y510:Y511" si="1351">SUM(V510:X510)</f>
        <v>900.59200000473606</v>
      </c>
    </row>
    <row r="511" spans="1:25" ht="12.6">
      <c r="A511" s="240" t="s">
        <v>146</v>
      </c>
      <c r="B511" s="277">
        <f>SUM(B509:B510)</f>
        <v>1812.5289999877161</v>
      </c>
      <c r="C511" s="277">
        <f t="shared" ref="C511" si="1352">SUM(C509:C510)</f>
        <v>1375.5019999763313</v>
      </c>
      <c r="D511" s="277">
        <f t="shared" ref="D511" si="1353">SUM(D509:D510)</f>
        <v>283.22899998768639</v>
      </c>
      <c r="E511" s="277">
        <f t="shared" si="1343"/>
        <v>3471.2599999517342</v>
      </c>
      <c r="F511" s="277"/>
      <c r="G511" s="277">
        <f>SUM(G509:G510)</f>
        <v>1913.0509999945048</v>
      </c>
      <c r="H511" s="277">
        <f t="shared" ref="H511" si="1354">SUM(H509:H510)</f>
        <v>1431.8899999835387</v>
      </c>
      <c r="I511" s="277">
        <f t="shared" ref="I511" si="1355">SUM(I509:I510)</f>
        <v>323.52999998242427</v>
      </c>
      <c r="J511" s="277">
        <f t="shared" si="1345"/>
        <v>3668.4709999604679</v>
      </c>
      <c r="K511" s="277"/>
      <c r="L511" s="277">
        <f>SUM(L509:L510)</f>
        <v>1939.611999994808</v>
      </c>
      <c r="M511" s="277">
        <f t="shared" ref="M511" si="1356">SUM(M509:M510)</f>
        <v>1419.7379999820705</v>
      </c>
      <c r="N511" s="277">
        <f t="shared" ref="N511" si="1357">SUM(N509:N510)</f>
        <v>288.6920000174992</v>
      </c>
      <c r="O511" s="277">
        <f t="shared" si="1347"/>
        <v>3648.0419999943774</v>
      </c>
      <c r="P511" s="277"/>
      <c r="Q511" s="277">
        <f>SUM(Q509:Q510)</f>
        <v>2097.2749999932335</v>
      </c>
      <c r="R511" s="277">
        <f t="shared" ref="R511" si="1358">SUM(R509:R510)</f>
        <v>1471.8839999567856</v>
      </c>
      <c r="S511" s="277">
        <f t="shared" ref="S511" si="1359">SUM(S509:S510)</f>
        <v>314.05500000632901</v>
      </c>
      <c r="T511" s="277">
        <f t="shared" si="1349"/>
        <v>3883.2139999563483</v>
      </c>
      <c r="U511" s="277"/>
      <c r="V511" s="277">
        <f>SUM(V509:V510)</f>
        <v>2311.1749999819172</v>
      </c>
      <c r="W511" s="277">
        <f t="shared" ref="W511" si="1360">SUM(W509:W510)</f>
        <v>1484.1459999434351</v>
      </c>
      <c r="X511" s="277">
        <f t="shared" ref="X511" si="1361">SUM(X509:X510)</f>
        <v>344.71300000658107</v>
      </c>
      <c r="Y511" s="277">
        <f t="shared" si="1351"/>
        <v>4140.0339999319331</v>
      </c>
    </row>
    <row r="512" spans="1:25" ht="12.6">
      <c r="C512" s="239"/>
    </row>
    <row r="513" spans="1:25">
      <c r="A513" s="237"/>
    </row>
    <row r="514" spans="1:25" ht="12.6">
      <c r="C514" s="239"/>
    </row>
    <row r="515" spans="1:25" ht="14.1">
      <c r="A515" s="241" t="str">
        <f>"Industry 21 : "&amp; name!B24</f>
        <v>Industry 21 : Arts and entertainment</v>
      </c>
      <c r="B515" s="366">
        <f>$B$5</f>
        <v>2015</v>
      </c>
      <c r="C515" s="366"/>
      <c r="D515" s="366"/>
      <c r="E515" s="366"/>
      <c r="F515" s="291"/>
      <c r="G515" s="366">
        <f>$G$5</f>
        <v>2019</v>
      </c>
      <c r="H515" s="366"/>
      <c r="I515" s="366"/>
      <c r="J515" s="366"/>
      <c r="K515" s="291"/>
      <c r="L515" s="366">
        <f>$L$5</f>
        <v>2020</v>
      </c>
      <c r="M515" s="366"/>
      <c r="N515" s="366"/>
      <c r="O515" s="366"/>
      <c r="P515" s="289"/>
      <c r="Q515" s="366">
        <f>$Q$5</f>
        <v>2025</v>
      </c>
      <c r="R515" s="366"/>
      <c r="S515" s="366"/>
      <c r="T515" s="366"/>
      <c r="U515" s="291"/>
      <c r="V515" s="366">
        <f>$V$5</f>
        <v>2035</v>
      </c>
      <c r="W515" s="366"/>
      <c r="X515" s="366"/>
      <c r="Y515" s="366"/>
    </row>
    <row r="516" spans="1:25">
      <c r="A516" s="240"/>
      <c r="B516" s="244" t="str">
        <f>$B$6</f>
        <v>FT</v>
      </c>
      <c r="C516" s="244" t="str">
        <f>$C$6</f>
        <v>PT</v>
      </c>
      <c r="D516" s="244" t="str">
        <f>$D$6</f>
        <v>SE</v>
      </c>
      <c r="E516" s="244" t="str">
        <f>$E$6</f>
        <v>Total</v>
      </c>
      <c r="F516" s="244"/>
      <c r="G516" s="244" t="str">
        <f>$B$6</f>
        <v>FT</v>
      </c>
      <c r="H516" s="244" t="str">
        <f>$C$6</f>
        <v>PT</v>
      </c>
      <c r="I516" s="244" t="str">
        <f>$D$6</f>
        <v>SE</v>
      </c>
      <c r="J516" s="244" t="str">
        <f>$E$6</f>
        <v>Total</v>
      </c>
      <c r="K516" s="244"/>
      <c r="L516" s="244" t="str">
        <f>$L$6</f>
        <v>FT</v>
      </c>
      <c r="M516" s="244" t="str">
        <f>$M$6</f>
        <v>PT</v>
      </c>
      <c r="N516" s="244" t="str">
        <f>$N$6</f>
        <v>SE</v>
      </c>
      <c r="O516" s="244" t="str">
        <f>$O$6</f>
        <v>Total</v>
      </c>
      <c r="P516" s="244"/>
      <c r="Q516" s="244" t="str">
        <f>$L$6</f>
        <v>FT</v>
      </c>
      <c r="R516" s="244" t="str">
        <f>$M$6</f>
        <v>PT</v>
      </c>
      <c r="S516" s="244" t="str">
        <f>$N$6</f>
        <v>SE</v>
      </c>
      <c r="T516" s="244" t="str">
        <f>$O$6</f>
        <v>Total</v>
      </c>
      <c r="U516" s="244"/>
      <c r="V516" s="244" t="str">
        <f>$V$6</f>
        <v>FT</v>
      </c>
      <c r="W516" s="244" t="str">
        <f>$W$6</f>
        <v>PT</v>
      </c>
      <c r="X516" s="244" t="str">
        <f>$X$6</f>
        <v>SE</v>
      </c>
      <c r="Y516" s="244" t="str">
        <f>$Y$6</f>
        <v>Total</v>
      </c>
    </row>
    <row r="517" spans="1:25">
      <c r="A517" s="238"/>
      <c r="C517" s="290"/>
      <c r="D517" s="290"/>
      <c r="E517" s="290"/>
      <c r="F517" s="290"/>
      <c r="G517" s="290"/>
      <c r="H517" s="290"/>
      <c r="I517" s="290"/>
      <c r="J517" s="290"/>
      <c r="K517" s="290"/>
      <c r="L517" s="290"/>
      <c r="M517" s="290"/>
      <c r="N517" s="290"/>
      <c r="O517" s="290"/>
      <c r="P517" s="290"/>
      <c r="Q517" s="290"/>
      <c r="R517" s="290"/>
      <c r="S517" s="290"/>
      <c r="T517" s="290"/>
      <c r="U517" s="290"/>
      <c r="V517" s="290"/>
      <c r="W517" s="290"/>
      <c r="X517" s="290"/>
      <c r="Y517" s="290"/>
    </row>
    <row r="518" spans="1:25">
      <c r="A518" s="237" t="str">
        <f>name!A72</f>
        <v>Arts and entertainment</v>
      </c>
      <c r="C518" s="239"/>
    </row>
    <row r="519" spans="1:25" ht="12.6">
      <c r="A519" s="236" t="s">
        <v>145</v>
      </c>
      <c r="B519" s="276">
        <v>22.01699999978872</v>
      </c>
      <c r="C519" s="276">
        <v>20.698000000068316</v>
      </c>
      <c r="D519" s="276">
        <v>23.249000000165402</v>
      </c>
      <c r="E519" s="276">
        <f>SUM(B519:D519)</f>
        <v>65.964000000022438</v>
      </c>
      <c r="F519" s="276"/>
      <c r="G519" s="276">
        <v>29.500999999672771</v>
      </c>
      <c r="H519" s="276">
        <v>24.582000000119539</v>
      </c>
      <c r="I519" s="276">
        <v>28.380000000154297</v>
      </c>
      <c r="J519" s="276">
        <f>SUM(G519:I519)</f>
        <v>82.462999999946604</v>
      </c>
      <c r="K519" s="276"/>
      <c r="L519" s="276">
        <v>29.432999999932122</v>
      </c>
      <c r="M519" s="276">
        <v>23.280000000058092</v>
      </c>
      <c r="N519" s="276">
        <v>49.491999999255896</v>
      </c>
      <c r="O519" s="276">
        <f>SUM(L519:N519)</f>
        <v>102.20499999924611</v>
      </c>
      <c r="P519" s="276"/>
      <c r="Q519" s="276">
        <v>27.575000000350272</v>
      </c>
      <c r="R519" s="276">
        <v>23.35900000005827</v>
      </c>
      <c r="S519" s="276">
        <v>48.712000000396912</v>
      </c>
      <c r="T519" s="276">
        <f>SUM(Q519:S519)</f>
        <v>99.646000000805458</v>
      </c>
      <c r="U519" s="276"/>
      <c r="V519" s="276">
        <v>27.134000000456879</v>
      </c>
      <c r="W519" s="276">
        <v>25.332000000103722</v>
      </c>
      <c r="X519" s="276">
        <v>54.85900000033768</v>
      </c>
      <c r="Y519" s="276">
        <f>SUM(V519:X519)</f>
        <v>107.32500000089829</v>
      </c>
    </row>
    <row r="520" spans="1:25" ht="12.6">
      <c r="A520" s="236" t="s">
        <v>144</v>
      </c>
      <c r="B520" s="276">
        <v>24.258999999887845</v>
      </c>
      <c r="C520" s="276">
        <v>9.9310000000875576</v>
      </c>
      <c r="D520" s="276">
        <v>50.662000001476699</v>
      </c>
      <c r="E520" s="276">
        <f t="shared" ref="E520:E521" si="1362">SUM(B520:D520)</f>
        <v>84.852000001452097</v>
      </c>
      <c r="F520" s="276"/>
      <c r="G520" s="276">
        <v>28.743999999942517</v>
      </c>
      <c r="H520" s="276">
        <v>13.424000000088615</v>
      </c>
      <c r="I520" s="276">
        <v>48.086000000188974</v>
      </c>
      <c r="J520" s="276">
        <f t="shared" ref="J520:J521" si="1363">SUM(G520:I520)</f>
        <v>90.254000000220103</v>
      </c>
      <c r="K520" s="276"/>
      <c r="L520" s="276">
        <v>21.76800000002223</v>
      </c>
      <c r="M520" s="276">
        <v>16.284999999999425</v>
      </c>
      <c r="N520" s="276">
        <v>43.515000001611412</v>
      </c>
      <c r="O520" s="276">
        <f t="shared" ref="O520:O521" si="1364">SUM(L520:N520)</f>
        <v>81.568000001633067</v>
      </c>
      <c r="P520" s="276"/>
      <c r="Q520" s="276">
        <v>21.20700000005079</v>
      </c>
      <c r="R520" s="276">
        <v>15.44599999998162</v>
      </c>
      <c r="S520" s="276">
        <v>38.525000003433263</v>
      </c>
      <c r="T520" s="276">
        <f t="shared" ref="T520:T521" si="1365">SUM(Q520:S520)</f>
        <v>75.178000003465669</v>
      </c>
      <c r="U520" s="276"/>
      <c r="V520" s="276">
        <v>22.422000000055021</v>
      </c>
      <c r="W520" s="276">
        <v>15.612000000000211</v>
      </c>
      <c r="X520" s="276">
        <v>37.24500000297153</v>
      </c>
      <c r="Y520" s="276">
        <f t="shared" ref="Y520:Y521" si="1366">SUM(V520:X520)</f>
        <v>75.279000003026766</v>
      </c>
    </row>
    <row r="521" spans="1:25" ht="12.6">
      <c r="A521" s="236" t="s">
        <v>146</v>
      </c>
      <c r="B521" s="276">
        <f>SUM(B519:B520)</f>
        <v>46.275999999676564</v>
      </c>
      <c r="C521" s="276">
        <f t="shared" ref="C521" si="1367">SUM(C519:C520)</f>
        <v>30.629000000155873</v>
      </c>
      <c r="D521" s="276">
        <f t="shared" ref="D521" si="1368">SUM(D519:D520)</f>
        <v>73.911000001642094</v>
      </c>
      <c r="E521" s="276">
        <f t="shared" si="1362"/>
        <v>150.81600000147455</v>
      </c>
      <c r="F521" s="276"/>
      <c r="G521" s="276">
        <f>SUM(G519:G520)</f>
        <v>58.244999999615288</v>
      </c>
      <c r="H521" s="276">
        <f t="shared" ref="H521" si="1369">SUM(H519:H520)</f>
        <v>38.006000000208154</v>
      </c>
      <c r="I521" s="276">
        <f t="shared" ref="I521" si="1370">SUM(I519:I520)</f>
        <v>76.466000000343271</v>
      </c>
      <c r="J521" s="276">
        <f t="shared" si="1363"/>
        <v>172.71700000016671</v>
      </c>
      <c r="K521" s="276"/>
      <c r="L521" s="276">
        <f>SUM(L519:L520)</f>
        <v>51.200999999954348</v>
      </c>
      <c r="M521" s="276">
        <f t="shared" ref="M521" si="1371">SUM(M519:M520)</f>
        <v>39.565000000057516</v>
      </c>
      <c r="N521" s="276">
        <f t="shared" ref="N521" si="1372">SUM(N519:N520)</f>
        <v>93.007000000867308</v>
      </c>
      <c r="O521" s="276">
        <f t="shared" si="1364"/>
        <v>183.77300000087916</v>
      </c>
      <c r="P521" s="276"/>
      <c r="Q521" s="276">
        <f>SUM(Q519:Q520)</f>
        <v>48.782000000401062</v>
      </c>
      <c r="R521" s="276">
        <f t="shared" ref="R521" si="1373">SUM(R519:R520)</f>
        <v>38.80500000003989</v>
      </c>
      <c r="S521" s="276">
        <f t="shared" ref="S521" si="1374">SUM(S519:S520)</f>
        <v>87.237000003830175</v>
      </c>
      <c r="T521" s="276">
        <f t="shared" si="1365"/>
        <v>174.82400000427111</v>
      </c>
      <c r="U521" s="276"/>
      <c r="V521" s="276">
        <f>SUM(V519:V520)</f>
        <v>49.556000000511901</v>
      </c>
      <c r="W521" s="276">
        <f t="shared" ref="W521" si="1375">SUM(W519:W520)</f>
        <v>40.944000000103934</v>
      </c>
      <c r="X521" s="276">
        <f t="shared" ref="X521" si="1376">SUM(X519:X520)</f>
        <v>92.10400000330921</v>
      </c>
      <c r="Y521" s="276">
        <f t="shared" si="1366"/>
        <v>182.60400000392505</v>
      </c>
    </row>
    <row r="522" spans="1:25">
      <c r="C522" s="290"/>
      <c r="D522" s="290"/>
      <c r="E522" s="290"/>
      <c r="F522" s="290"/>
      <c r="G522" s="290"/>
      <c r="H522" s="290"/>
      <c r="I522" s="290"/>
      <c r="J522" s="290"/>
      <c r="K522" s="290"/>
      <c r="L522" s="290"/>
      <c r="M522" s="290"/>
      <c r="N522" s="290"/>
      <c r="O522" s="290"/>
      <c r="P522" s="290"/>
      <c r="Q522" s="290"/>
      <c r="R522" s="290"/>
      <c r="S522" s="290"/>
      <c r="T522" s="290"/>
      <c r="U522" s="290"/>
      <c r="V522" s="290"/>
      <c r="W522" s="290"/>
      <c r="X522" s="290"/>
      <c r="Y522" s="290"/>
    </row>
    <row r="523" spans="1:25">
      <c r="A523" s="237" t="str">
        <f>name!A73</f>
        <v>Libraries, etc</v>
      </c>
      <c r="C523" s="239"/>
    </row>
    <row r="524" spans="1:25" ht="12.6">
      <c r="A524" s="236" t="s">
        <v>145</v>
      </c>
      <c r="B524" s="276">
        <v>20.499999999795264</v>
      </c>
      <c r="C524" s="276">
        <v>30.068000000140639</v>
      </c>
      <c r="D524" s="276">
        <v>30.250000000203151</v>
      </c>
      <c r="E524" s="276">
        <f>SUM(B524:D524)</f>
        <v>80.818000000139051</v>
      </c>
      <c r="F524" s="276"/>
      <c r="G524" s="276">
        <v>20.264999999779644</v>
      </c>
      <c r="H524" s="276">
        <v>33.340000000203055</v>
      </c>
      <c r="I524" s="276">
        <v>30.725000000202783</v>
      </c>
      <c r="J524" s="276">
        <f>SUM(G524:I524)</f>
        <v>84.330000000185478</v>
      </c>
      <c r="K524" s="276"/>
      <c r="L524" s="276">
        <v>20.863999999938791</v>
      </c>
      <c r="M524" s="276">
        <v>32.259000000143331</v>
      </c>
      <c r="N524" s="276">
        <v>51.051999998982183</v>
      </c>
      <c r="O524" s="276">
        <f>SUM(L524:N524)</f>
        <v>104.17499999906431</v>
      </c>
      <c r="P524" s="276"/>
      <c r="Q524" s="276">
        <v>19.48700000026281</v>
      </c>
      <c r="R524" s="276">
        <v>31.114000000190117</v>
      </c>
      <c r="S524" s="276">
        <v>48.55200000029712</v>
      </c>
      <c r="T524" s="276">
        <f>SUM(Q524:S524)</f>
        <v>99.15300000075004</v>
      </c>
      <c r="U524" s="276"/>
      <c r="V524" s="276">
        <v>19.125000000338154</v>
      </c>
      <c r="W524" s="276">
        <v>33.492000000259651</v>
      </c>
      <c r="X524" s="276">
        <v>54.462000000402</v>
      </c>
      <c r="Y524" s="276">
        <f>SUM(V524:X524)</f>
        <v>107.0790000009998</v>
      </c>
    </row>
    <row r="525" spans="1:25" ht="12.6">
      <c r="A525" s="236" t="s">
        <v>144</v>
      </c>
      <c r="B525" s="276">
        <v>27.265999999898085</v>
      </c>
      <c r="C525" s="276">
        <v>9.7580000000729399</v>
      </c>
      <c r="D525" s="276">
        <v>43.350000001277159</v>
      </c>
      <c r="E525" s="276">
        <f t="shared" ref="E525:E526" si="1377">SUM(B525:D525)</f>
        <v>80.374000001248191</v>
      </c>
      <c r="F525" s="276"/>
      <c r="G525" s="276">
        <v>23.028999999949988</v>
      </c>
      <c r="H525" s="276">
        <v>11.601000000069442</v>
      </c>
      <c r="I525" s="276">
        <v>34.712000000148677</v>
      </c>
      <c r="J525" s="276">
        <f t="shared" ref="J525:J526" si="1378">SUM(G525:I525)</f>
        <v>69.342000000168099</v>
      </c>
      <c r="K525" s="276"/>
      <c r="L525" s="276">
        <v>17.355000000003649</v>
      </c>
      <c r="M525" s="276">
        <v>14.73800000002076</v>
      </c>
      <c r="N525" s="276">
        <v>30.919000001096599</v>
      </c>
      <c r="O525" s="276">
        <f t="shared" ref="O525:O526" si="1379">SUM(L525:N525)</f>
        <v>63.01200000112101</v>
      </c>
      <c r="P525" s="276"/>
      <c r="Q525" s="276">
        <v>16.857000000032617</v>
      </c>
      <c r="R525" s="276">
        <v>13.500000000027615</v>
      </c>
      <c r="S525" s="276">
        <v>27.496000002389369</v>
      </c>
      <c r="T525" s="276">
        <f t="shared" ref="T525:T526" si="1380">SUM(Q525:S525)</f>
        <v>57.853000002449605</v>
      </c>
      <c r="U525" s="276"/>
      <c r="V525" s="276">
        <v>17.86900000003148</v>
      </c>
      <c r="W525" s="276">
        <v>13.669000000048547</v>
      </c>
      <c r="X525" s="276">
        <v>26.670000002054607</v>
      </c>
      <c r="Y525" s="276">
        <f t="shared" ref="Y525:Y526" si="1381">SUM(V525:X525)</f>
        <v>58.208000002134632</v>
      </c>
    </row>
    <row r="526" spans="1:25" ht="12.6">
      <c r="A526" s="236" t="s">
        <v>146</v>
      </c>
      <c r="B526" s="276">
        <f>SUM(B524:B525)</f>
        <v>47.765999999693349</v>
      </c>
      <c r="C526" s="276">
        <f t="shared" ref="C526" si="1382">SUM(C524:C525)</f>
        <v>39.826000000213583</v>
      </c>
      <c r="D526" s="276">
        <f t="shared" ref="D526" si="1383">SUM(D524:D525)</f>
        <v>73.600000001480311</v>
      </c>
      <c r="E526" s="276">
        <f t="shared" si="1377"/>
        <v>161.19200000138724</v>
      </c>
      <c r="F526" s="276"/>
      <c r="G526" s="276">
        <f>SUM(G524:G525)</f>
        <v>43.293999999729635</v>
      </c>
      <c r="H526" s="276">
        <f t="shared" ref="H526" si="1384">SUM(H524:H525)</f>
        <v>44.941000000272496</v>
      </c>
      <c r="I526" s="276">
        <f t="shared" ref="I526" si="1385">SUM(I524:I525)</f>
        <v>65.43700000035146</v>
      </c>
      <c r="J526" s="276">
        <f t="shared" si="1378"/>
        <v>153.67200000035359</v>
      </c>
      <c r="K526" s="276"/>
      <c r="L526" s="276">
        <f>SUM(L524:L525)</f>
        <v>38.21899999994244</v>
      </c>
      <c r="M526" s="276">
        <f t="shared" ref="M526" si="1386">SUM(M524:M525)</f>
        <v>46.997000000164093</v>
      </c>
      <c r="N526" s="276">
        <f t="shared" ref="N526" si="1387">SUM(N524:N525)</f>
        <v>81.971000000078789</v>
      </c>
      <c r="O526" s="276">
        <f t="shared" si="1379"/>
        <v>167.18700000018532</v>
      </c>
      <c r="P526" s="276"/>
      <c r="Q526" s="276">
        <f>SUM(Q524:Q525)</f>
        <v>36.344000000295424</v>
      </c>
      <c r="R526" s="276">
        <f t="shared" ref="R526" si="1388">SUM(R524:R525)</f>
        <v>44.614000000217729</v>
      </c>
      <c r="S526" s="276">
        <f t="shared" ref="S526" si="1389">SUM(S524:S525)</f>
        <v>76.048000002686493</v>
      </c>
      <c r="T526" s="276">
        <f t="shared" si="1380"/>
        <v>157.00600000319963</v>
      </c>
      <c r="U526" s="276"/>
      <c r="V526" s="276">
        <f>SUM(V524:V525)</f>
        <v>36.994000000369638</v>
      </c>
      <c r="W526" s="276">
        <f t="shared" ref="W526" si="1390">SUM(W524:W525)</f>
        <v>47.161000000308199</v>
      </c>
      <c r="X526" s="276">
        <f t="shared" ref="X526" si="1391">SUM(X524:X525)</f>
        <v>81.132000002456607</v>
      </c>
      <c r="Y526" s="276">
        <f t="shared" si="1381"/>
        <v>165.28700000313444</v>
      </c>
    </row>
    <row r="527" spans="1:25">
      <c r="C527" s="290"/>
      <c r="D527" s="290"/>
      <c r="E527" s="290"/>
      <c r="F527" s="290"/>
      <c r="G527" s="290"/>
      <c r="H527" s="290"/>
      <c r="I527" s="290"/>
      <c r="J527" s="290"/>
      <c r="K527" s="290"/>
      <c r="L527" s="290"/>
      <c r="M527" s="290"/>
      <c r="N527" s="290"/>
      <c r="O527" s="290"/>
      <c r="P527" s="290"/>
      <c r="Q527" s="290"/>
      <c r="R527" s="290"/>
      <c r="S527" s="290"/>
      <c r="T527" s="290"/>
      <c r="U527" s="290"/>
      <c r="V527" s="290"/>
      <c r="W527" s="290"/>
      <c r="X527" s="290"/>
      <c r="Y527" s="290"/>
    </row>
    <row r="528" spans="1:25">
      <c r="A528" s="237" t="str">
        <f>name!A74</f>
        <v>Gambling and betting</v>
      </c>
      <c r="C528" s="239"/>
    </row>
    <row r="529" spans="1:25" ht="12.6">
      <c r="A529" s="236" t="s">
        <v>145</v>
      </c>
      <c r="B529" s="276">
        <v>13.168999999862057</v>
      </c>
      <c r="C529" s="276">
        <v>13.395000000069135</v>
      </c>
      <c r="D529" s="276">
        <v>6.3670000000413021</v>
      </c>
      <c r="E529" s="276">
        <f>SUM(B529:D529)</f>
        <v>32.930999999972492</v>
      </c>
      <c r="F529" s="276"/>
      <c r="G529" s="276">
        <v>12.252999999887352</v>
      </c>
      <c r="H529" s="276">
        <v>12.883000000065241</v>
      </c>
      <c r="I529" s="276">
        <v>4.9840000000375992</v>
      </c>
      <c r="J529" s="276">
        <f>SUM(G529:I529)</f>
        <v>30.119999999990196</v>
      </c>
      <c r="K529" s="276"/>
      <c r="L529" s="276">
        <v>10.750999999945204</v>
      </c>
      <c r="M529" s="276">
        <v>12.781000000053899</v>
      </c>
      <c r="N529" s="276">
        <v>4.8839999998964414</v>
      </c>
      <c r="O529" s="276">
        <f>SUM(L529:N529)</f>
        <v>28.415999999895543</v>
      </c>
      <c r="P529" s="276"/>
      <c r="Q529" s="276">
        <v>11.05300000015983</v>
      </c>
      <c r="R529" s="276">
        <v>13.52600000007987</v>
      </c>
      <c r="S529" s="276">
        <v>5.2910000000078883</v>
      </c>
      <c r="T529" s="276">
        <f>SUM(Q529:S529)</f>
        <v>29.87000000024759</v>
      </c>
      <c r="U529" s="276"/>
      <c r="V529" s="276">
        <v>11.317000000217497</v>
      </c>
      <c r="W529" s="276">
        <v>14.472000000109762</v>
      </c>
      <c r="X529" s="276">
        <v>5.7220000000350062</v>
      </c>
      <c r="Y529" s="276">
        <f>SUM(V529:X529)</f>
        <v>31.511000000362266</v>
      </c>
    </row>
    <row r="530" spans="1:25" ht="12.6">
      <c r="A530" s="236" t="s">
        <v>144</v>
      </c>
      <c r="B530" s="276">
        <v>36.151999999858297</v>
      </c>
      <c r="C530" s="276">
        <v>20.311000000153349</v>
      </c>
      <c r="D530" s="276">
        <v>6.7470000001962536</v>
      </c>
      <c r="E530" s="276">
        <f t="shared" ref="E530:E531" si="1392">SUM(B530:D530)</f>
        <v>63.210000000207899</v>
      </c>
      <c r="F530" s="276"/>
      <c r="G530" s="276">
        <v>32.745999999957156</v>
      </c>
      <c r="H530" s="276">
        <v>18.826000000113837</v>
      </c>
      <c r="I530" s="276">
        <v>6.6240000000323178</v>
      </c>
      <c r="J530" s="276">
        <f t="shared" ref="J530:J531" si="1393">SUM(G530:I530)</f>
        <v>58.196000000103311</v>
      </c>
      <c r="K530" s="276"/>
      <c r="L530" s="276">
        <v>31.202000000010706</v>
      </c>
      <c r="M530" s="276">
        <v>18.496000000015819</v>
      </c>
      <c r="N530" s="276">
        <v>6.5650000002503051</v>
      </c>
      <c r="O530" s="276">
        <f t="shared" ref="O530:O531" si="1394">SUM(L530:N530)</f>
        <v>56.263000000276833</v>
      </c>
      <c r="P530" s="276"/>
      <c r="Q530" s="276">
        <v>33.430000000070017</v>
      </c>
      <c r="R530" s="276">
        <v>20.419000000034874</v>
      </c>
      <c r="S530" s="276">
        <v>7.6430000006819263</v>
      </c>
      <c r="T530" s="276">
        <f t="shared" ref="T530:T531" si="1395">SUM(Q530:S530)</f>
        <v>61.492000000786817</v>
      </c>
      <c r="U530" s="276"/>
      <c r="V530" s="276">
        <v>36.62500000005889</v>
      </c>
      <c r="W530" s="276">
        <v>23.395000000067526</v>
      </c>
      <c r="X530" s="276">
        <v>9.499000000752865</v>
      </c>
      <c r="Y530" s="276">
        <f t="shared" ref="Y530:Y531" si="1396">SUM(V530:X530)</f>
        <v>69.519000000879288</v>
      </c>
    </row>
    <row r="531" spans="1:25" ht="12.6">
      <c r="A531" s="236" t="s">
        <v>146</v>
      </c>
      <c r="B531" s="276">
        <f>SUM(B529:B530)</f>
        <v>49.320999999720357</v>
      </c>
      <c r="C531" s="276">
        <f t="shared" ref="C531" si="1397">SUM(C529:C530)</f>
        <v>33.706000000222488</v>
      </c>
      <c r="D531" s="276">
        <f t="shared" ref="D531" si="1398">SUM(D529:D530)</f>
        <v>13.114000000237557</v>
      </c>
      <c r="E531" s="276">
        <f t="shared" si="1392"/>
        <v>96.141000000180398</v>
      </c>
      <c r="F531" s="276"/>
      <c r="G531" s="276">
        <f>SUM(G529:G530)</f>
        <v>44.998999999844507</v>
      </c>
      <c r="H531" s="276">
        <f t="shared" ref="H531" si="1399">SUM(H529:H530)</f>
        <v>31.709000000179078</v>
      </c>
      <c r="I531" s="276">
        <f t="shared" ref="I531" si="1400">SUM(I529:I530)</f>
        <v>11.608000000069918</v>
      </c>
      <c r="J531" s="276">
        <f t="shared" si="1393"/>
        <v>88.31600000009351</v>
      </c>
      <c r="K531" s="276"/>
      <c r="L531" s="276">
        <f>SUM(L529:L530)</f>
        <v>41.952999999955907</v>
      </c>
      <c r="M531" s="276">
        <f t="shared" ref="M531" si="1401">SUM(M529:M530)</f>
        <v>31.277000000069719</v>
      </c>
      <c r="N531" s="276">
        <f t="shared" ref="N531" si="1402">SUM(N529:N530)</f>
        <v>11.449000000146746</v>
      </c>
      <c r="O531" s="276">
        <f t="shared" si="1394"/>
        <v>84.67900000017238</v>
      </c>
      <c r="P531" s="276"/>
      <c r="Q531" s="276">
        <f>SUM(Q529:Q530)</f>
        <v>44.48300000022985</v>
      </c>
      <c r="R531" s="276">
        <f t="shared" ref="R531" si="1403">SUM(R529:R530)</f>
        <v>33.945000000114746</v>
      </c>
      <c r="S531" s="276">
        <f t="shared" ref="S531" si="1404">SUM(S529:S530)</f>
        <v>12.934000000689814</v>
      </c>
      <c r="T531" s="276">
        <f t="shared" si="1395"/>
        <v>91.362000001034403</v>
      </c>
      <c r="U531" s="276"/>
      <c r="V531" s="276">
        <f>SUM(V529:V530)</f>
        <v>47.942000000276387</v>
      </c>
      <c r="W531" s="276">
        <f t="shared" ref="W531" si="1405">SUM(W529:W530)</f>
        <v>37.867000000177285</v>
      </c>
      <c r="X531" s="276">
        <f t="shared" ref="X531" si="1406">SUM(X529:X530)</f>
        <v>15.221000000787871</v>
      </c>
      <c r="Y531" s="276">
        <f t="shared" si="1396"/>
        <v>101.03000000124153</v>
      </c>
    </row>
    <row r="532" spans="1:25">
      <c r="C532" s="290"/>
      <c r="D532" s="290"/>
      <c r="E532" s="290"/>
      <c r="F532" s="290"/>
      <c r="G532" s="290"/>
      <c r="H532" s="290"/>
      <c r="I532" s="290"/>
      <c r="J532" s="290"/>
      <c r="K532" s="290"/>
      <c r="L532" s="290"/>
      <c r="M532" s="290"/>
      <c r="N532" s="290"/>
      <c r="O532" s="290"/>
      <c r="P532" s="290"/>
      <c r="Q532" s="290"/>
      <c r="R532" s="290"/>
      <c r="S532" s="290"/>
      <c r="T532" s="290"/>
      <c r="U532" s="290"/>
      <c r="V532" s="290"/>
      <c r="W532" s="290"/>
      <c r="X532" s="290"/>
      <c r="Y532" s="290"/>
    </row>
    <row r="533" spans="1:25">
      <c r="A533" s="237" t="str">
        <f>name!A75</f>
        <v>Sport and recreation</v>
      </c>
      <c r="C533" s="239"/>
    </row>
    <row r="534" spans="1:25" ht="12.6">
      <c r="A534" s="236" t="s">
        <v>145</v>
      </c>
      <c r="B534" s="276">
        <v>64.718999999372571</v>
      </c>
      <c r="C534" s="276">
        <v>124.67900000067448</v>
      </c>
      <c r="D534" s="276">
        <v>30.342000000313845</v>
      </c>
      <c r="E534" s="276">
        <f>SUM(B534:D534)</f>
        <v>219.74000000036088</v>
      </c>
      <c r="F534" s="276"/>
      <c r="G534" s="276">
        <v>74.42699999916519</v>
      </c>
      <c r="H534" s="276">
        <v>125.58400000088739</v>
      </c>
      <c r="I534" s="276">
        <v>27.100000000051704</v>
      </c>
      <c r="J534" s="276">
        <f>SUM(G534:I534)</f>
        <v>227.11100000010427</v>
      </c>
      <c r="K534" s="276"/>
      <c r="L534" s="276">
        <v>64.261999999621295</v>
      </c>
      <c r="M534" s="276">
        <v>123.40900000065858</v>
      </c>
      <c r="N534" s="276">
        <v>28.230999999275184</v>
      </c>
      <c r="O534" s="276">
        <f>SUM(L534:N534)</f>
        <v>215.90199999955507</v>
      </c>
      <c r="P534" s="276"/>
      <c r="Q534" s="276">
        <v>66.656000000809584</v>
      </c>
      <c r="R534" s="276">
        <v>131.27800000108562</v>
      </c>
      <c r="S534" s="276">
        <v>30.56999999977975</v>
      </c>
      <c r="T534" s="276">
        <f>SUM(Q534:S534)</f>
        <v>228.50400000167494</v>
      </c>
      <c r="U534" s="276"/>
      <c r="V534" s="276">
        <v>68.347000001293466</v>
      </c>
      <c r="W534" s="276">
        <v>140.63000000129986</v>
      </c>
      <c r="X534" s="276">
        <v>33.043000000179461</v>
      </c>
      <c r="Y534" s="276">
        <f>SUM(V534:X534)</f>
        <v>242.0200000027728</v>
      </c>
    </row>
    <row r="535" spans="1:25" ht="12.6">
      <c r="A535" s="236" t="s">
        <v>144</v>
      </c>
      <c r="B535" s="276">
        <v>83.663999999740199</v>
      </c>
      <c r="C535" s="276">
        <v>84.382000000575658</v>
      </c>
      <c r="D535" s="276">
        <v>39.75200000117561</v>
      </c>
      <c r="E535" s="276">
        <f t="shared" ref="E535:E536" si="1407">SUM(B535:D535)</f>
        <v>207.79800000149149</v>
      </c>
      <c r="F535" s="276"/>
      <c r="G535" s="276">
        <v>93.22699999984134</v>
      </c>
      <c r="H535" s="276">
        <v>84.511000000503117</v>
      </c>
      <c r="I535" s="276">
        <v>43.15800000016327</v>
      </c>
      <c r="J535" s="276">
        <f t="shared" ref="J535:J536" si="1408">SUM(G535:I535)</f>
        <v>220.89600000050774</v>
      </c>
      <c r="K535" s="276"/>
      <c r="L535" s="276">
        <v>90.364999999897591</v>
      </c>
      <c r="M535" s="276">
        <v>81.867000000206744</v>
      </c>
      <c r="N535" s="276">
        <v>40.965000001323531</v>
      </c>
      <c r="O535" s="276">
        <f t="shared" ref="O535:O536" si="1409">SUM(L535:N535)</f>
        <v>213.19700000142785</v>
      </c>
      <c r="P535" s="276"/>
      <c r="Q535" s="276">
        <v>96.539000000054784</v>
      </c>
      <c r="R535" s="276">
        <v>89.974000000397169</v>
      </c>
      <c r="S535" s="276">
        <v>47.400000003818768</v>
      </c>
      <c r="T535" s="276">
        <f t="shared" ref="T535:T536" si="1410">SUM(Q535:S535)</f>
        <v>233.91300000427071</v>
      </c>
      <c r="U535" s="276"/>
      <c r="V535" s="276">
        <v>105.26299999990175</v>
      </c>
      <c r="W535" s="276">
        <v>102.78500000066502</v>
      </c>
      <c r="X535" s="276">
        <v>58.586000004148687</v>
      </c>
      <c r="Y535" s="276">
        <f t="shared" ref="Y535:Y536" si="1411">SUM(V535:X535)</f>
        <v>266.63400000471546</v>
      </c>
    </row>
    <row r="536" spans="1:25" ht="12.6">
      <c r="A536" s="236" t="s">
        <v>146</v>
      </c>
      <c r="B536" s="276">
        <f>SUM(B534:B535)</f>
        <v>148.38299999911277</v>
      </c>
      <c r="C536" s="276">
        <f t="shared" ref="C536" si="1412">SUM(C534:C535)</f>
        <v>209.06100000125014</v>
      </c>
      <c r="D536" s="276">
        <f t="shared" ref="D536" si="1413">SUM(D534:D535)</f>
        <v>70.094000001489462</v>
      </c>
      <c r="E536" s="276">
        <f t="shared" si="1407"/>
        <v>427.53800000185237</v>
      </c>
      <c r="F536" s="276"/>
      <c r="G536" s="276">
        <f>SUM(G534:G535)</f>
        <v>167.65399999900654</v>
      </c>
      <c r="H536" s="276">
        <f t="shared" ref="H536" si="1414">SUM(H534:H535)</f>
        <v>210.0950000013905</v>
      </c>
      <c r="I536" s="276">
        <f t="shared" ref="I536" si="1415">SUM(I534:I535)</f>
        <v>70.258000000214977</v>
      </c>
      <c r="J536" s="276">
        <f t="shared" si="1408"/>
        <v>448.00700000061198</v>
      </c>
      <c r="K536" s="276"/>
      <c r="L536" s="276">
        <f>SUM(L534:L535)</f>
        <v>154.62699999951889</v>
      </c>
      <c r="M536" s="276">
        <f t="shared" ref="M536" si="1416">SUM(M534:M535)</f>
        <v>205.27600000086534</v>
      </c>
      <c r="N536" s="276">
        <f t="shared" ref="N536" si="1417">SUM(N534:N535)</f>
        <v>69.196000000598715</v>
      </c>
      <c r="O536" s="276">
        <f t="shared" si="1409"/>
        <v>429.09900000098293</v>
      </c>
      <c r="P536" s="276"/>
      <c r="Q536" s="276">
        <f>SUM(Q534:Q535)</f>
        <v>163.19500000086435</v>
      </c>
      <c r="R536" s="276">
        <f t="shared" ref="R536" si="1418">SUM(R534:R535)</f>
        <v>221.25200000148277</v>
      </c>
      <c r="S536" s="276">
        <f t="shared" ref="S536" si="1419">SUM(S534:S535)</f>
        <v>77.970000003598514</v>
      </c>
      <c r="T536" s="276">
        <f t="shared" si="1410"/>
        <v>462.41700000594562</v>
      </c>
      <c r="U536" s="276"/>
      <c r="V536" s="276">
        <f>SUM(V534:V535)</f>
        <v>173.6100000011952</v>
      </c>
      <c r="W536" s="276">
        <f t="shared" ref="W536" si="1420">SUM(W534:W535)</f>
        <v>243.41500000196487</v>
      </c>
      <c r="X536" s="276">
        <f t="shared" ref="X536" si="1421">SUM(X534:X535)</f>
        <v>91.629000004328148</v>
      </c>
      <c r="Y536" s="276">
        <f t="shared" si="1411"/>
        <v>508.65400000748821</v>
      </c>
    </row>
    <row r="537" spans="1:25">
      <c r="A537" s="237"/>
    </row>
    <row r="538" spans="1:25">
      <c r="A538" s="237" t="s">
        <v>161</v>
      </c>
    </row>
    <row r="539" spans="1:25" ht="12.6">
      <c r="A539" s="236" t="s">
        <v>145</v>
      </c>
      <c r="B539" s="276">
        <f>SUM(B519,B524,B529,B534)</f>
        <v>120.40499999881862</v>
      </c>
      <c r="C539" s="276">
        <f t="shared" ref="C539:D540" si="1422">SUM(C519,C524,C529,C534)</f>
        <v>188.84000000095256</v>
      </c>
      <c r="D539" s="276">
        <f t="shared" si="1422"/>
        <v>90.2080000007237</v>
      </c>
      <c r="E539" s="276">
        <f>SUM(B539:D539)</f>
        <v>399.45300000049485</v>
      </c>
      <c r="F539" s="276"/>
      <c r="G539" s="276">
        <f>SUM(G519,G524,G529,G534)</f>
        <v>136.44599999850496</v>
      </c>
      <c r="H539" s="276">
        <f t="shared" ref="H539:I539" si="1423">SUM(H519,H524,H529,H534)</f>
        <v>196.38900000127524</v>
      </c>
      <c r="I539" s="276">
        <f t="shared" si="1423"/>
        <v>91.189000000446384</v>
      </c>
      <c r="J539" s="276">
        <f>SUM(G539:I539)</f>
        <v>424.02400000022658</v>
      </c>
      <c r="K539" s="276"/>
      <c r="L539" s="276">
        <f>SUM(L519,L524,L529,L534)</f>
        <v>125.30999999943741</v>
      </c>
      <c r="M539" s="276">
        <f t="shared" ref="M539:N539" si="1424">SUM(M519,M524,M529,M534)</f>
        <v>191.72900000091391</v>
      </c>
      <c r="N539" s="276">
        <f t="shared" si="1424"/>
        <v>133.65899999740969</v>
      </c>
      <c r="O539" s="276">
        <f>SUM(L539:N539)</f>
        <v>450.69799999776103</v>
      </c>
      <c r="P539" s="276"/>
      <c r="Q539" s="276">
        <f>SUM(Q519,Q524,Q529,Q534)</f>
        <v>124.77100000158249</v>
      </c>
      <c r="R539" s="276">
        <f t="shared" ref="R539:S539" si="1425">SUM(R519,R524,R529,R534)</f>
        <v>199.27700000141388</v>
      </c>
      <c r="S539" s="276">
        <f t="shared" si="1425"/>
        <v>133.12500000048166</v>
      </c>
      <c r="T539" s="276">
        <f>SUM(Q539:S539)</f>
        <v>457.17300000347802</v>
      </c>
      <c r="U539" s="276"/>
      <c r="V539" s="276">
        <f>SUM(V519,V524,V529,V534)</f>
        <v>125.923000002306</v>
      </c>
      <c r="W539" s="276">
        <f t="shared" ref="W539:X539" si="1426">SUM(W519,W524,W529,W534)</f>
        <v>213.92600000177299</v>
      </c>
      <c r="X539" s="276">
        <f t="shared" si="1426"/>
        <v>148.08600000095413</v>
      </c>
      <c r="Y539" s="276">
        <f>SUM(V539:X539)</f>
        <v>487.93500000503315</v>
      </c>
    </row>
    <row r="540" spans="1:25" ht="12.6">
      <c r="A540" s="236" t="s">
        <v>144</v>
      </c>
      <c r="B540" s="276">
        <f>SUM(B520,B525,B530,B535)</f>
        <v>171.34099999938445</v>
      </c>
      <c r="C540" s="276">
        <f t="shared" si="1422"/>
        <v>124.38200000088951</v>
      </c>
      <c r="D540" s="276">
        <f t="shared" si="1422"/>
        <v>140.51100000412572</v>
      </c>
      <c r="E540" s="276">
        <f t="shared" ref="E540:E541" si="1427">SUM(B540:D540)</f>
        <v>436.23400000439966</v>
      </c>
      <c r="F540" s="276"/>
      <c r="G540" s="276">
        <f>SUM(G520,G525,G530,G535)</f>
        <v>177.74599999969098</v>
      </c>
      <c r="H540" s="276">
        <f t="shared" ref="H540:I540" si="1428">SUM(H520,H525,H530,H535)</f>
        <v>128.36200000077503</v>
      </c>
      <c r="I540" s="276">
        <f t="shared" si="1428"/>
        <v>132.58000000053323</v>
      </c>
      <c r="J540" s="276">
        <f t="shared" ref="J540:J541" si="1429">SUM(G540:I540)</f>
        <v>438.68800000099924</v>
      </c>
      <c r="K540" s="276"/>
      <c r="L540" s="276">
        <f>SUM(L520,L525,L530,L535)</f>
        <v>160.68999999993417</v>
      </c>
      <c r="M540" s="276">
        <f t="shared" ref="M540:N540" si="1430">SUM(M520,M525,M530,M535)</f>
        <v>131.38600000024275</v>
      </c>
      <c r="N540" s="276">
        <f t="shared" si="1430"/>
        <v>121.96400000428186</v>
      </c>
      <c r="O540" s="276">
        <f t="shared" ref="O540:O541" si="1431">SUM(L540:N540)</f>
        <v>414.04000000445876</v>
      </c>
      <c r="P540" s="276"/>
      <c r="Q540" s="276">
        <f>SUM(Q520,Q525,Q530,Q535)</f>
        <v>168.0330000002082</v>
      </c>
      <c r="R540" s="276">
        <f t="shared" ref="R540:S540" si="1432">SUM(R520,R525,R530,R535)</f>
        <v>139.33900000044127</v>
      </c>
      <c r="S540" s="276">
        <f t="shared" si="1432"/>
        <v>121.06400001032333</v>
      </c>
      <c r="T540" s="276">
        <f t="shared" ref="T540:T541" si="1433">SUM(Q540:S540)</f>
        <v>428.43600001097275</v>
      </c>
      <c r="U540" s="276"/>
      <c r="V540" s="276">
        <f>SUM(V520,V525,V530,V535)</f>
        <v>182.17900000004715</v>
      </c>
      <c r="W540" s="276">
        <f t="shared" ref="W540:X540" si="1434">SUM(W520,W525,W530,W535)</f>
        <v>155.4610000007813</v>
      </c>
      <c r="X540" s="276">
        <f t="shared" si="1434"/>
        <v>132.0000000099277</v>
      </c>
      <c r="Y540" s="276">
        <f t="shared" ref="Y540:Y541" si="1435">SUM(V540:X540)</f>
        <v>469.64000001075613</v>
      </c>
    </row>
    <row r="541" spans="1:25" ht="12.6">
      <c r="A541" s="240" t="s">
        <v>146</v>
      </c>
      <c r="B541" s="277">
        <f>SUM(B539:B540)</f>
        <v>291.74599999820305</v>
      </c>
      <c r="C541" s="277">
        <f t="shared" ref="C541" si="1436">SUM(C539:C540)</f>
        <v>313.22200000184205</v>
      </c>
      <c r="D541" s="277">
        <f t="shared" ref="D541" si="1437">SUM(D539:D540)</f>
        <v>230.71900000484942</v>
      </c>
      <c r="E541" s="277">
        <f t="shared" si="1427"/>
        <v>835.68700000489457</v>
      </c>
      <c r="F541" s="277"/>
      <c r="G541" s="277">
        <f>SUM(G539:G540)</f>
        <v>314.19199999819591</v>
      </c>
      <c r="H541" s="277">
        <f t="shared" ref="H541" si="1438">SUM(H539:H540)</f>
        <v>324.75100000205026</v>
      </c>
      <c r="I541" s="277">
        <f t="shared" ref="I541" si="1439">SUM(I539:I540)</f>
        <v>223.76900000097962</v>
      </c>
      <c r="J541" s="277">
        <f t="shared" si="1429"/>
        <v>862.71200000122587</v>
      </c>
      <c r="K541" s="277"/>
      <c r="L541" s="277">
        <f>SUM(L539:L540)</f>
        <v>285.9999999993716</v>
      </c>
      <c r="M541" s="277">
        <f t="shared" ref="M541" si="1440">SUM(M539:M540)</f>
        <v>323.11500000115666</v>
      </c>
      <c r="N541" s="277">
        <f t="shared" ref="N541" si="1441">SUM(N539:N540)</f>
        <v>255.62300000169154</v>
      </c>
      <c r="O541" s="277">
        <f t="shared" si="1431"/>
        <v>864.73800000221968</v>
      </c>
      <c r="P541" s="277"/>
      <c r="Q541" s="277">
        <f>SUM(Q539:Q540)</f>
        <v>292.80400000179071</v>
      </c>
      <c r="R541" s="277">
        <f t="shared" ref="R541" si="1442">SUM(R539:R540)</f>
        <v>338.61600000185513</v>
      </c>
      <c r="S541" s="277">
        <f t="shared" ref="S541" si="1443">SUM(S539:S540)</f>
        <v>254.18900001080499</v>
      </c>
      <c r="T541" s="277">
        <f t="shared" si="1433"/>
        <v>885.60900001445077</v>
      </c>
      <c r="U541" s="277"/>
      <c r="V541" s="277">
        <f>SUM(V539:V540)</f>
        <v>308.10200000235318</v>
      </c>
      <c r="W541" s="277">
        <f t="shared" ref="W541" si="1444">SUM(W539:W540)</f>
        <v>369.38700000255426</v>
      </c>
      <c r="X541" s="277">
        <f t="shared" ref="X541" si="1445">SUM(X539:X540)</f>
        <v>280.08600001088183</v>
      </c>
      <c r="Y541" s="277">
        <f t="shared" si="1435"/>
        <v>957.57500001578933</v>
      </c>
    </row>
    <row r="545" spans="1:25" ht="14.1">
      <c r="A545" s="241" t="str">
        <f>"Industry 22 : "&amp; name!B25</f>
        <v>Industry 22 : Other services</v>
      </c>
      <c r="B545" s="366">
        <f>$B$5</f>
        <v>2015</v>
      </c>
      <c r="C545" s="366"/>
      <c r="D545" s="366"/>
      <c r="E545" s="366"/>
      <c r="F545" s="291"/>
      <c r="G545" s="366">
        <f>$G$5</f>
        <v>2019</v>
      </c>
      <c r="H545" s="366"/>
      <c r="I545" s="366"/>
      <c r="J545" s="366"/>
      <c r="K545" s="291"/>
      <c r="L545" s="366">
        <f>$L$5</f>
        <v>2020</v>
      </c>
      <c r="M545" s="366"/>
      <c r="N545" s="366"/>
      <c r="O545" s="366"/>
      <c r="P545" s="289"/>
      <c r="Q545" s="366">
        <f>$Q$5</f>
        <v>2025</v>
      </c>
      <c r="R545" s="366"/>
      <c r="S545" s="366"/>
      <c r="T545" s="366"/>
      <c r="U545" s="291"/>
      <c r="V545" s="366">
        <f>$V$5</f>
        <v>2035</v>
      </c>
      <c r="W545" s="366"/>
      <c r="X545" s="366"/>
      <c r="Y545" s="366"/>
    </row>
    <row r="546" spans="1:25">
      <c r="A546" s="240"/>
      <c r="B546" s="244" t="str">
        <f>$B$6</f>
        <v>FT</v>
      </c>
      <c r="C546" s="244" t="str">
        <f>$C$6</f>
        <v>PT</v>
      </c>
      <c r="D546" s="244" t="str">
        <f>$D$6</f>
        <v>SE</v>
      </c>
      <c r="E546" s="244" t="str">
        <f>$E$6</f>
        <v>Total</v>
      </c>
      <c r="F546" s="244"/>
      <c r="G546" s="244" t="str">
        <f>$B$6</f>
        <v>FT</v>
      </c>
      <c r="H546" s="244" t="str">
        <f>$C$6</f>
        <v>PT</v>
      </c>
      <c r="I546" s="244" t="str">
        <f>$D$6</f>
        <v>SE</v>
      </c>
      <c r="J546" s="244" t="str">
        <f>$E$6</f>
        <v>Total</v>
      </c>
      <c r="K546" s="244"/>
      <c r="L546" s="244" t="str">
        <f>$L$6</f>
        <v>FT</v>
      </c>
      <c r="M546" s="244" t="str">
        <f>$M$6</f>
        <v>PT</v>
      </c>
      <c r="N546" s="244" t="str">
        <f>$N$6</f>
        <v>SE</v>
      </c>
      <c r="O546" s="244" t="str">
        <f>$O$6</f>
        <v>Total</v>
      </c>
      <c r="P546" s="244"/>
      <c r="Q546" s="244" t="str">
        <f>$L$6</f>
        <v>FT</v>
      </c>
      <c r="R546" s="244" t="str">
        <f>$M$6</f>
        <v>PT</v>
      </c>
      <c r="S546" s="244" t="str">
        <f>$N$6</f>
        <v>SE</v>
      </c>
      <c r="T546" s="244" t="str">
        <f>$O$6</f>
        <v>Total</v>
      </c>
      <c r="U546" s="244"/>
      <c r="V546" s="244" t="str">
        <f>$V$6</f>
        <v>FT</v>
      </c>
      <c r="W546" s="244" t="str">
        <f>$W$6</f>
        <v>PT</v>
      </c>
      <c r="X546" s="244" t="str">
        <f>$X$6</f>
        <v>SE</v>
      </c>
      <c r="Y546" s="244" t="str">
        <f>$Y$6</f>
        <v>Total</v>
      </c>
    </row>
    <row r="547" spans="1:25">
      <c r="C547" s="290"/>
      <c r="D547" s="290"/>
      <c r="E547" s="290"/>
      <c r="F547" s="290"/>
      <c r="G547" s="290"/>
      <c r="H547" s="290"/>
      <c r="I547" s="290"/>
      <c r="J547" s="290"/>
      <c r="K547" s="290"/>
      <c r="L547" s="290"/>
      <c r="M547" s="290"/>
      <c r="N547" s="290"/>
      <c r="O547" s="290"/>
      <c r="P547" s="290"/>
      <c r="Q547" s="290"/>
      <c r="R547" s="290"/>
      <c r="S547" s="290"/>
      <c r="T547" s="290"/>
      <c r="U547" s="290"/>
      <c r="V547" s="290"/>
      <c r="W547" s="290"/>
      <c r="X547" s="290"/>
      <c r="Y547" s="290"/>
    </row>
    <row r="548" spans="1:25">
      <c r="A548" s="237" t="str">
        <f>name!A76</f>
        <v>Membership organisations</v>
      </c>
      <c r="C548" s="239"/>
    </row>
    <row r="549" spans="1:25" ht="12.6">
      <c r="A549" s="236" t="s">
        <v>145</v>
      </c>
      <c r="B549" s="276">
        <v>93.352999998822042</v>
      </c>
      <c r="C549" s="276">
        <v>86.768999999867532</v>
      </c>
      <c r="D549" s="276">
        <v>66.449000000050901</v>
      </c>
      <c r="E549" s="276">
        <f>SUM(B549:D549)</f>
        <v>246.57099999874049</v>
      </c>
      <c r="F549" s="276"/>
      <c r="G549" s="276">
        <v>96.587999998914256</v>
      </c>
      <c r="H549" s="276">
        <v>75.821000000036051</v>
      </c>
      <c r="I549" s="276">
        <v>81.998000000110423</v>
      </c>
      <c r="J549" s="276">
        <f>SUM(G549:I549)</f>
        <v>254.40699999906076</v>
      </c>
      <c r="K549" s="276"/>
      <c r="L549" s="276">
        <v>95.642999999504781</v>
      </c>
      <c r="M549" s="276">
        <v>75.568000000007473</v>
      </c>
      <c r="N549" s="276">
        <v>79.499999998741046</v>
      </c>
      <c r="O549" s="276">
        <f>SUM(L549:N549)</f>
        <v>250.71099999825327</v>
      </c>
      <c r="P549" s="276"/>
      <c r="Q549" s="276">
        <v>93.913000001080064</v>
      </c>
      <c r="R549" s="276">
        <v>73.692999999856241</v>
      </c>
      <c r="S549" s="276">
        <v>77.813000000121022</v>
      </c>
      <c r="T549" s="276">
        <f>SUM(Q549:S549)</f>
        <v>245.41900000105733</v>
      </c>
      <c r="U549" s="276"/>
      <c r="V549" s="276">
        <v>91.671000001257084</v>
      </c>
      <c r="W549" s="276">
        <v>72.200000000011372</v>
      </c>
      <c r="X549" s="276">
        <v>77.062000001575171</v>
      </c>
      <c r="Y549" s="276">
        <f>SUM(V549:X549)</f>
        <v>240.93300000284361</v>
      </c>
    </row>
    <row r="550" spans="1:25" ht="12.6">
      <c r="A550" s="236" t="s">
        <v>144</v>
      </c>
      <c r="B550" s="276">
        <v>63.141999998564273</v>
      </c>
      <c r="C550" s="276">
        <v>19.885999999937425</v>
      </c>
      <c r="D550" s="276">
        <v>34.110000000546776</v>
      </c>
      <c r="E550" s="276">
        <f t="shared" ref="E550:E551" si="1446">SUM(B550:D550)</f>
        <v>117.13799999904847</v>
      </c>
      <c r="F550" s="276"/>
      <c r="G550" s="276">
        <v>53.620999999302974</v>
      </c>
      <c r="H550" s="276">
        <v>21.155999999930383</v>
      </c>
      <c r="I550" s="276">
        <v>31.610999999781896</v>
      </c>
      <c r="J550" s="276">
        <f t="shared" ref="J550:J551" si="1447">SUM(G550:I550)</f>
        <v>106.38799999901525</v>
      </c>
      <c r="K550" s="276"/>
      <c r="L550" s="276">
        <v>51.76499999985964</v>
      </c>
      <c r="M550" s="276">
        <v>22.330000000096192</v>
      </c>
      <c r="N550" s="276">
        <v>16.692000000432959</v>
      </c>
      <c r="O550" s="276">
        <f t="shared" ref="O550:O551" si="1448">SUM(L550:N550)</f>
        <v>90.787000000388787</v>
      </c>
      <c r="P550" s="276"/>
      <c r="Q550" s="276">
        <v>54.031000000250621</v>
      </c>
      <c r="R550" s="276">
        <v>22.645999999825666</v>
      </c>
      <c r="S550" s="276">
        <v>17.597000001295431</v>
      </c>
      <c r="T550" s="276">
        <f t="shared" ref="T550:T551" si="1449">SUM(Q550:S550)</f>
        <v>94.274000001371718</v>
      </c>
      <c r="U550" s="276"/>
      <c r="V550" s="276">
        <v>57.840000000128136</v>
      </c>
      <c r="W550" s="276">
        <v>23.283999999832091</v>
      </c>
      <c r="X550" s="276">
        <v>19.421000001162881</v>
      </c>
      <c r="Y550" s="276">
        <f t="shared" ref="Y550:Y551" si="1450">SUM(V550:X550)</f>
        <v>100.54500000112311</v>
      </c>
    </row>
    <row r="551" spans="1:25" ht="12.6">
      <c r="A551" s="236" t="s">
        <v>146</v>
      </c>
      <c r="B551" s="276">
        <f>SUM(B549:B550)</f>
        <v>156.49499999738632</v>
      </c>
      <c r="C551" s="276">
        <f t="shared" ref="C551" si="1451">SUM(C549:C550)</f>
        <v>106.65499999980496</v>
      </c>
      <c r="D551" s="276">
        <f t="shared" ref="D551" si="1452">SUM(D549:D550)</f>
        <v>100.55900000059768</v>
      </c>
      <c r="E551" s="276">
        <f t="shared" si="1446"/>
        <v>363.70899999778896</v>
      </c>
      <c r="F551" s="276"/>
      <c r="G551" s="276">
        <f>SUM(G549:G550)</f>
        <v>150.20899999821722</v>
      </c>
      <c r="H551" s="276">
        <f t="shared" ref="H551" si="1453">SUM(H549:H550)</f>
        <v>96.976999999966438</v>
      </c>
      <c r="I551" s="276">
        <f t="shared" ref="I551" si="1454">SUM(I549:I550)</f>
        <v>113.60899999989232</v>
      </c>
      <c r="J551" s="276">
        <f t="shared" si="1447"/>
        <v>360.79499999807598</v>
      </c>
      <c r="K551" s="276"/>
      <c r="L551" s="276">
        <f>SUM(L549:L550)</f>
        <v>147.40799999936442</v>
      </c>
      <c r="M551" s="276">
        <f t="shared" ref="M551" si="1455">SUM(M549:M550)</f>
        <v>97.898000000103664</v>
      </c>
      <c r="N551" s="276">
        <f t="shared" ref="N551" si="1456">SUM(N549:N550)</f>
        <v>96.191999999174001</v>
      </c>
      <c r="O551" s="276">
        <f t="shared" si="1448"/>
        <v>341.49799999864211</v>
      </c>
      <c r="P551" s="276"/>
      <c r="Q551" s="276">
        <f>SUM(Q549:Q550)</f>
        <v>147.94400000133069</v>
      </c>
      <c r="R551" s="276">
        <f t="shared" ref="R551" si="1457">SUM(R549:R550)</f>
        <v>96.338999999681903</v>
      </c>
      <c r="S551" s="276">
        <f t="shared" ref="S551" si="1458">SUM(S549:S550)</f>
        <v>95.410000001416449</v>
      </c>
      <c r="T551" s="276">
        <f t="shared" si="1449"/>
        <v>339.69300000242902</v>
      </c>
      <c r="U551" s="276"/>
      <c r="V551" s="276">
        <f>SUM(V549:V550)</f>
        <v>149.51100000138521</v>
      </c>
      <c r="W551" s="276">
        <f t="shared" ref="W551" si="1459">SUM(W549:W550)</f>
        <v>95.483999999843462</v>
      </c>
      <c r="X551" s="276">
        <f t="shared" ref="X551" si="1460">SUM(X549:X550)</f>
        <v>96.483000002738052</v>
      </c>
      <c r="Y551" s="276">
        <f t="shared" si="1450"/>
        <v>341.47800000396671</v>
      </c>
    </row>
    <row r="552" spans="1:25">
      <c r="C552" s="290"/>
      <c r="D552" s="290"/>
      <c r="E552" s="290"/>
      <c r="F552" s="290"/>
      <c r="G552" s="290"/>
      <c r="H552" s="290"/>
      <c r="I552" s="290"/>
      <c r="J552" s="290"/>
      <c r="K552" s="290"/>
      <c r="L552" s="290"/>
      <c r="M552" s="290"/>
      <c r="N552" s="290"/>
      <c r="O552" s="290"/>
      <c r="P552" s="290"/>
      <c r="Q552" s="290"/>
      <c r="R552" s="290"/>
      <c r="S552" s="290"/>
      <c r="T552" s="290"/>
      <c r="U552" s="290"/>
      <c r="V552" s="290"/>
      <c r="W552" s="290"/>
      <c r="X552" s="290"/>
      <c r="Y552" s="290"/>
    </row>
    <row r="553" spans="1:25">
      <c r="A553" s="237" t="str">
        <f>name!A77</f>
        <v>Repair of goods</v>
      </c>
      <c r="C553" s="239"/>
    </row>
    <row r="554" spans="1:25" ht="12.6">
      <c r="A554" s="236" t="s">
        <v>145</v>
      </c>
      <c r="B554" s="276">
        <v>5.9189999999246563</v>
      </c>
      <c r="C554" s="276">
        <v>4.1470000002034464</v>
      </c>
      <c r="D554" s="276">
        <v>9.0970000001059894</v>
      </c>
      <c r="E554" s="276">
        <f>SUM(B554:D554)</f>
        <v>19.163000000234092</v>
      </c>
      <c r="F554" s="276"/>
      <c r="G554" s="276">
        <v>6.4899999998951134</v>
      </c>
      <c r="H554" s="276">
        <v>4.7550000002012185</v>
      </c>
      <c r="I554" s="276">
        <v>11.92000000015814</v>
      </c>
      <c r="J554" s="276">
        <f>SUM(G554:I554)</f>
        <v>23.165000000254473</v>
      </c>
      <c r="K554" s="276"/>
      <c r="L554" s="276">
        <v>6.2309999999468157</v>
      </c>
      <c r="M554" s="276">
        <v>4.7630000001637338</v>
      </c>
      <c r="N554" s="276">
        <v>12.185999999789168</v>
      </c>
      <c r="O554" s="276">
        <f>SUM(L554:N554)</f>
        <v>23.179999999899717</v>
      </c>
      <c r="P554" s="276"/>
      <c r="Q554" s="276">
        <v>6.0580000001281498</v>
      </c>
      <c r="R554" s="276">
        <v>4.7870000002791429</v>
      </c>
      <c r="S554" s="276">
        <v>11.902000000059113</v>
      </c>
      <c r="T554" s="276">
        <f>SUM(Q554:S554)</f>
        <v>22.747000000466407</v>
      </c>
      <c r="U554" s="276"/>
      <c r="V554" s="276">
        <v>5.8940000001552262</v>
      </c>
      <c r="W554" s="276">
        <v>4.7480000002445006</v>
      </c>
      <c r="X554" s="276">
        <v>11.769000000187299</v>
      </c>
      <c r="Y554" s="276">
        <f>SUM(V554:X554)</f>
        <v>22.411000000587023</v>
      </c>
    </row>
    <row r="555" spans="1:25" ht="12.6">
      <c r="A555" s="236" t="s">
        <v>144</v>
      </c>
      <c r="B555" s="276">
        <v>28.133999999691685</v>
      </c>
      <c r="C555" s="276">
        <v>2.0230000000330217</v>
      </c>
      <c r="D555" s="276">
        <v>12.48400000014219</v>
      </c>
      <c r="E555" s="276">
        <f t="shared" ref="E555:E556" si="1461">SUM(B555:D555)</f>
        <v>42.640999999866899</v>
      </c>
      <c r="F555" s="276"/>
      <c r="G555" s="276">
        <v>26.046999999779057</v>
      </c>
      <c r="H555" s="276">
        <v>2.6560000000538002</v>
      </c>
      <c r="I555" s="276">
        <v>13.018000000070282</v>
      </c>
      <c r="J555" s="276">
        <f t="shared" ref="J555:J556" si="1462">SUM(G555:I555)</f>
        <v>41.720999999903142</v>
      </c>
      <c r="K555" s="276"/>
      <c r="L555" s="276">
        <v>25.513999999745007</v>
      </c>
      <c r="M555" s="276">
        <v>3.0409999999843844</v>
      </c>
      <c r="N555" s="276">
        <v>22.813000000142594</v>
      </c>
      <c r="O555" s="276">
        <f t="shared" ref="O555:O556" si="1463">SUM(L555:N555)</f>
        <v>51.367999999871984</v>
      </c>
      <c r="P555" s="276"/>
      <c r="Q555" s="276">
        <v>25.893999999924837</v>
      </c>
      <c r="R555" s="276">
        <v>3.0630000000410504</v>
      </c>
      <c r="S555" s="276">
        <v>24.082000000411472</v>
      </c>
      <c r="T555" s="276">
        <f t="shared" ref="T555:T556" si="1464">SUM(Q555:S555)</f>
        <v>53.039000000377357</v>
      </c>
      <c r="U555" s="276"/>
      <c r="V555" s="276">
        <v>27.36399999983465</v>
      </c>
      <c r="W555" s="276">
        <v>3.1360000000368156</v>
      </c>
      <c r="X555" s="276">
        <v>25.42200000026552</v>
      </c>
      <c r="Y555" s="276">
        <f t="shared" ref="Y555:Y556" si="1465">SUM(V555:X555)</f>
        <v>55.92200000013699</v>
      </c>
    </row>
    <row r="556" spans="1:25" ht="12.6">
      <c r="A556" s="236" t="s">
        <v>146</v>
      </c>
      <c r="B556" s="276">
        <f>SUM(B554:B555)</f>
        <v>34.05299999961634</v>
      </c>
      <c r="C556" s="276">
        <f t="shared" ref="C556" si="1466">SUM(C554:C555)</f>
        <v>6.1700000002364686</v>
      </c>
      <c r="D556" s="276">
        <f t="shared" ref="D556" si="1467">SUM(D554:D555)</f>
        <v>21.581000000248181</v>
      </c>
      <c r="E556" s="276">
        <f t="shared" si="1461"/>
        <v>61.804000000100991</v>
      </c>
      <c r="F556" s="276"/>
      <c r="G556" s="276">
        <f>SUM(G554:G555)</f>
        <v>32.536999999674173</v>
      </c>
      <c r="H556" s="276">
        <f t="shared" ref="H556" si="1468">SUM(H554:H555)</f>
        <v>7.4110000002550187</v>
      </c>
      <c r="I556" s="276">
        <f t="shared" ref="I556" si="1469">SUM(I554:I555)</f>
        <v>24.938000000228421</v>
      </c>
      <c r="J556" s="276">
        <f t="shared" si="1462"/>
        <v>64.886000000157622</v>
      </c>
      <c r="K556" s="276"/>
      <c r="L556" s="276">
        <f>SUM(L554:L555)</f>
        <v>31.744999999691821</v>
      </c>
      <c r="M556" s="276">
        <f t="shared" ref="M556" si="1470">SUM(M554:M555)</f>
        <v>7.8040000001481182</v>
      </c>
      <c r="N556" s="276">
        <f t="shared" ref="N556" si="1471">SUM(N554:N555)</f>
        <v>34.998999999931762</v>
      </c>
      <c r="O556" s="276">
        <f t="shared" si="1463"/>
        <v>74.54799999977169</v>
      </c>
      <c r="P556" s="276"/>
      <c r="Q556" s="276">
        <f>SUM(Q554:Q555)</f>
        <v>31.952000000052987</v>
      </c>
      <c r="R556" s="276">
        <f t="shared" ref="R556" si="1472">SUM(R554:R555)</f>
        <v>7.8500000003201933</v>
      </c>
      <c r="S556" s="276">
        <f t="shared" ref="S556" si="1473">SUM(S554:S555)</f>
        <v>35.984000000470587</v>
      </c>
      <c r="T556" s="276">
        <f t="shared" si="1464"/>
        <v>75.786000000843771</v>
      </c>
      <c r="U556" s="276"/>
      <c r="V556" s="276">
        <f>SUM(V554:V555)</f>
        <v>33.257999999989877</v>
      </c>
      <c r="W556" s="276">
        <f t="shared" ref="W556" si="1474">SUM(W554:W555)</f>
        <v>7.8840000002813166</v>
      </c>
      <c r="X556" s="276">
        <f t="shared" ref="X556" si="1475">SUM(X554:X555)</f>
        <v>37.191000000452817</v>
      </c>
      <c r="Y556" s="276">
        <f t="shared" si="1465"/>
        <v>78.333000000724013</v>
      </c>
    </row>
    <row r="557" spans="1:25">
      <c r="C557" s="290"/>
      <c r="D557" s="290"/>
      <c r="E557" s="290"/>
      <c r="F557" s="290"/>
      <c r="G557" s="290"/>
      <c r="H557" s="290"/>
      <c r="I557" s="290"/>
      <c r="J557" s="290"/>
      <c r="K557" s="290"/>
      <c r="L557" s="290"/>
      <c r="M557" s="290"/>
      <c r="N557" s="290"/>
      <c r="O557" s="290"/>
      <c r="P557" s="290"/>
      <c r="Q557" s="290"/>
      <c r="R557" s="290"/>
      <c r="S557" s="290"/>
      <c r="T557" s="290"/>
      <c r="U557" s="290"/>
      <c r="V557" s="290"/>
      <c r="W557" s="290"/>
      <c r="X557" s="290"/>
      <c r="Y557" s="290"/>
    </row>
    <row r="558" spans="1:25">
      <c r="A558" s="237" t="str">
        <f>name!A78</f>
        <v>Other personal service</v>
      </c>
      <c r="C558" s="239"/>
    </row>
    <row r="559" spans="1:25" ht="12.6">
      <c r="A559" s="236" t="s">
        <v>145</v>
      </c>
      <c r="B559" s="276">
        <v>74.223999999780617</v>
      </c>
      <c r="C559" s="276">
        <v>78.018000001162463</v>
      </c>
      <c r="D559" s="276">
        <v>88.695000002225399</v>
      </c>
      <c r="E559" s="276">
        <f>SUM(B559:D559)</f>
        <v>240.93700000316846</v>
      </c>
      <c r="F559" s="276"/>
      <c r="G559" s="276">
        <v>78.431999999506047</v>
      </c>
      <c r="H559" s="276">
        <v>80.311000001162256</v>
      </c>
      <c r="I559" s="276">
        <v>116.07600000309846</v>
      </c>
      <c r="J559" s="276">
        <f>SUM(G559:I559)</f>
        <v>274.81900000376675</v>
      </c>
      <c r="K559" s="276"/>
      <c r="L559" s="276">
        <v>79.893999999790665</v>
      </c>
      <c r="M559" s="276">
        <v>80.69900000094654</v>
      </c>
      <c r="N559" s="276">
        <v>117.70599999739812</v>
      </c>
      <c r="O559" s="276">
        <f>SUM(L559:N559)</f>
        <v>278.29899999813534</v>
      </c>
      <c r="P559" s="276"/>
      <c r="Q559" s="276">
        <v>77.064000001321261</v>
      </c>
      <c r="R559" s="276">
        <v>78.595000001224079</v>
      </c>
      <c r="S559" s="276">
        <v>114.68000000028685</v>
      </c>
      <c r="T559" s="276">
        <f>SUM(Q559:S559)</f>
        <v>270.33900000283217</v>
      </c>
      <c r="U559" s="276"/>
      <c r="V559" s="276">
        <v>74.669000001214428</v>
      </c>
      <c r="W559" s="276">
        <v>76.959000001339902</v>
      </c>
      <c r="X559" s="276">
        <v>113.31000000011761</v>
      </c>
      <c r="Y559" s="276">
        <f>SUM(V559:X559)</f>
        <v>264.93800000267197</v>
      </c>
    </row>
    <row r="560" spans="1:25" ht="12.6">
      <c r="A560" s="236" t="s">
        <v>144</v>
      </c>
      <c r="B560" s="276">
        <v>97.971000000084061</v>
      </c>
      <c r="C560" s="276">
        <v>26.022000000183485</v>
      </c>
      <c r="D560" s="276">
        <v>44.983000001183996</v>
      </c>
      <c r="E560" s="276">
        <f t="shared" ref="E560:E561" si="1476">SUM(B560:D560)</f>
        <v>168.97600000145155</v>
      </c>
      <c r="F560" s="276"/>
      <c r="G560" s="276">
        <v>89.683000000031228</v>
      </c>
      <c r="H560" s="276">
        <v>31.088000000149993</v>
      </c>
      <c r="I560" s="276">
        <v>42.848000000411623</v>
      </c>
      <c r="J560" s="276">
        <f t="shared" ref="J560:J561" si="1477">SUM(G560:I560)</f>
        <v>163.61900000059285</v>
      </c>
      <c r="K560" s="276"/>
      <c r="L560" s="276">
        <v>87.759000000069975</v>
      </c>
      <c r="M560" s="276">
        <v>32.646000000050122</v>
      </c>
      <c r="N560" s="276">
        <v>41.558000000959069</v>
      </c>
      <c r="O560" s="276">
        <f t="shared" ref="O560:O561" si="1478">SUM(L560:N560)</f>
        <v>161.96300000107917</v>
      </c>
      <c r="P560" s="276"/>
      <c r="Q560" s="276">
        <v>89.356000000076278</v>
      </c>
      <c r="R560" s="276">
        <v>32.402999999965374</v>
      </c>
      <c r="S560" s="276">
        <v>41.870000001906327</v>
      </c>
      <c r="T560" s="276">
        <f t="shared" ref="T560:T561" si="1479">SUM(Q560:S560)</f>
        <v>163.62900000194799</v>
      </c>
      <c r="U560" s="276"/>
      <c r="V560" s="276">
        <v>94.613000000095127</v>
      </c>
      <c r="W560" s="276">
        <v>33.002999999977433</v>
      </c>
      <c r="X560" s="276">
        <v>43.719000001565547</v>
      </c>
      <c r="Y560" s="276">
        <f t="shared" ref="Y560:Y561" si="1480">SUM(V560:X560)</f>
        <v>171.33500000163809</v>
      </c>
    </row>
    <row r="561" spans="1:25" ht="12.6">
      <c r="A561" s="236" t="s">
        <v>146</v>
      </c>
      <c r="B561" s="276">
        <f>SUM(B559:B560)</f>
        <v>172.19499999986468</v>
      </c>
      <c r="C561" s="276">
        <f t="shared" ref="C561" si="1481">SUM(C559:C560)</f>
        <v>104.04000000134594</v>
      </c>
      <c r="D561" s="276">
        <f t="shared" ref="D561" si="1482">SUM(D559:D560)</f>
        <v>133.67800000340941</v>
      </c>
      <c r="E561" s="276">
        <f t="shared" si="1476"/>
        <v>409.91300000462002</v>
      </c>
      <c r="F561" s="276"/>
      <c r="G561" s="276">
        <f>SUM(G559:G560)</f>
        <v>168.11499999953728</v>
      </c>
      <c r="H561" s="276">
        <f t="shared" ref="H561" si="1483">SUM(H559:H560)</f>
        <v>111.39900000131225</v>
      </c>
      <c r="I561" s="276">
        <f t="shared" ref="I561" si="1484">SUM(I559:I560)</f>
        <v>158.92400000351009</v>
      </c>
      <c r="J561" s="276">
        <f t="shared" si="1477"/>
        <v>438.43800000435965</v>
      </c>
      <c r="K561" s="276"/>
      <c r="L561" s="276">
        <f>SUM(L559:L560)</f>
        <v>167.65299999986064</v>
      </c>
      <c r="M561" s="276">
        <f t="shared" ref="M561" si="1485">SUM(M559:M560)</f>
        <v>113.34500000099666</v>
      </c>
      <c r="N561" s="276">
        <f t="shared" ref="N561" si="1486">SUM(N559:N560)</f>
        <v>159.26399999835718</v>
      </c>
      <c r="O561" s="276">
        <f t="shared" si="1478"/>
        <v>440.26199999921448</v>
      </c>
      <c r="P561" s="276"/>
      <c r="Q561" s="276">
        <f>SUM(Q559:Q560)</f>
        <v>166.42000000139754</v>
      </c>
      <c r="R561" s="276">
        <f t="shared" ref="R561" si="1487">SUM(R559:R560)</f>
        <v>110.99800000118945</v>
      </c>
      <c r="S561" s="276">
        <f t="shared" ref="S561" si="1488">SUM(S559:S560)</f>
        <v>156.55000000219317</v>
      </c>
      <c r="T561" s="276">
        <f t="shared" si="1479"/>
        <v>433.96800000478015</v>
      </c>
      <c r="U561" s="276"/>
      <c r="V561" s="276">
        <f>SUM(V559:V560)</f>
        <v>169.28200000130954</v>
      </c>
      <c r="W561" s="276">
        <f t="shared" ref="W561" si="1489">SUM(W559:W560)</f>
        <v>109.96200000131734</v>
      </c>
      <c r="X561" s="276">
        <f t="shared" ref="X561" si="1490">SUM(X559:X560)</f>
        <v>157.02900000168316</v>
      </c>
      <c r="Y561" s="276">
        <f t="shared" si="1480"/>
        <v>436.27300000431001</v>
      </c>
    </row>
    <row r="562" spans="1:25">
      <c r="A562" s="237"/>
      <c r="C562" s="239"/>
    </row>
    <row r="563" spans="1:25">
      <c r="A563" s="237" t="s">
        <v>162</v>
      </c>
      <c r="C563" s="239"/>
    </row>
    <row r="564" spans="1:25" ht="12.6">
      <c r="A564" s="236" t="s">
        <v>145</v>
      </c>
      <c r="B564" s="276">
        <f>SUM(B549,B554,B559)</f>
        <v>173.49599999852731</v>
      </c>
      <c r="C564" s="276">
        <f t="shared" ref="C564:D564" si="1491">SUM(C549,C554,C559)</f>
        <v>168.93400000123344</v>
      </c>
      <c r="D564" s="276">
        <f t="shared" si="1491"/>
        <v>164.24100000238229</v>
      </c>
      <c r="E564" s="276">
        <f>SUM(B564:D564)</f>
        <v>506.67100000214305</v>
      </c>
      <c r="F564" s="276"/>
      <c r="G564" s="276">
        <f>SUM(G549,G554,G559)</f>
        <v>181.50999999831544</v>
      </c>
      <c r="H564" s="276">
        <f t="shared" ref="H564:I564" si="1492">SUM(H549,H554,H559)</f>
        <v>160.88700000139954</v>
      </c>
      <c r="I564" s="276">
        <f t="shared" si="1492"/>
        <v>209.99400000336703</v>
      </c>
      <c r="J564" s="276">
        <f>SUM(G564:I564)</f>
        <v>552.39100000308201</v>
      </c>
      <c r="K564" s="276"/>
      <c r="L564" s="276">
        <f>SUM(L549,L554,L559)</f>
        <v>181.76799999924225</v>
      </c>
      <c r="M564" s="276">
        <f t="shared" ref="M564" si="1493">SUM(M549,M554,M559)</f>
        <v>161.03000000111774</v>
      </c>
      <c r="N564" s="276">
        <f>SUM(N549,N554,N559)</f>
        <v>209.39199999592833</v>
      </c>
      <c r="O564" s="276">
        <f>SUM(L564:N564)</f>
        <v>552.18999999628829</v>
      </c>
      <c r="P564" s="276"/>
      <c r="Q564" s="276">
        <f>SUM(Q549,Q554,Q559)</f>
        <v>177.03500000252947</v>
      </c>
      <c r="R564" s="276">
        <f t="shared" ref="R564:S564" si="1494">SUM(R549,R554,R559)</f>
        <v>157.07500000135946</v>
      </c>
      <c r="S564" s="276">
        <f t="shared" si="1494"/>
        <v>204.39500000046701</v>
      </c>
      <c r="T564" s="276">
        <f>SUM(Q564:S564)</f>
        <v>538.50500000435591</v>
      </c>
      <c r="U564" s="276"/>
      <c r="V564" s="276">
        <f>SUM(V549,V554,V559)</f>
        <v>172.23400000262674</v>
      </c>
      <c r="W564" s="276">
        <f t="shared" ref="W564:X564" si="1495">SUM(W549,W554,W559)</f>
        <v>153.90700000159578</v>
      </c>
      <c r="X564" s="276">
        <f t="shared" si="1495"/>
        <v>202.14100000188009</v>
      </c>
      <c r="Y564" s="276">
        <f>SUM(V564:X564)</f>
        <v>528.28200000610263</v>
      </c>
    </row>
    <row r="565" spans="1:25" ht="12.6">
      <c r="A565" s="236" t="s">
        <v>144</v>
      </c>
      <c r="B565" s="276">
        <f>SUM(B550,B555,B560)</f>
        <v>189.24699999834002</v>
      </c>
      <c r="C565" s="276">
        <f t="shared" ref="C565:D565" si="1496">SUM(C550,C555,C560)</f>
        <v>47.931000000153929</v>
      </c>
      <c r="D565" s="276">
        <f t="shared" si="1496"/>
        <v>91.57700000187296</v>
      </c>
      <c r="E565" s="276">
        <f t="shared" ref="E565:E566" si="1497">SUM(B565:D565)</f>
        <v>328.75500000036686</v>
      </c>
      <c r="F565" s="276"/>
      <c r="G565" s="276">
        <f>SUM(G550,G555,G560)</f>
        <v>169.35099999911324</v>
      </c>
      <c r="H565" s="276">
        <f t="shared" ref="H565:I565" si="1498">SUM(H550,H555,H560)</f>
        <v>54.900000000134177</v>
      </c>
      <c r="I565" s="276">
        <f t="shared" si="1498"/>
        <v>87.4770000002638</v>
      </c>
      <c r="J565" s="276">
        <f t="shared" ref="J565:J566" si="1499">SUM(G565:I565)</f>
        <v>311.72799999951121</v>
      </c>
      <c r="K565" s="276"/>
      <c r="L565" s="276">
        <f>SUM(L550,L555,L560)</f>
        <v>165.03799999967464</v>
      </c>
      <c r="M565" s="276">
        <f t="shared" ref="M565:N565" si="1500">SUM(M550,M555,M560)</f>
        <v>58.0170000001307</v>
      </c>
      <c r="N565" s="276">
        <f t="shared" si="1500"/>
        <v>81.063000001534618</v>
      </c>
      <c r="O565" s="276">
        <f t="shared" ref="O565:O566" si="1501">SUM(L565:N565)</f>
        <v>304.11800000133996</v>
      </c>
      <c r="P565" s="276"/>
      <c r="Q565" s="276">
        <f>SUM(Q550,Q555,Q560)</f>
        <v>169.28100000025174</v>
      </c>
      <c r="R565" s="276">
        <f t="shared" ref="R565:S565" si="1502">SUM(R550,R555,R560)</f>
        <v>58.111999999832094</v>
      </c>
      <c r="S565" s="276">
        <f t="shared" si="1502"/>
        <v>83.54900000361323</v>
      </c>
      <c r="T565" s="276">
        <f t="shared" ref="T565:T566" si="1503">SUM(Q565:S565)</f>
        <v>310.94200000369705</v>
      </c>
      <c r="U565" s="276"/>
      <c r="V565" s="276">
        <f>SUM(V550,V555,V560)</f>
        <v>179.81700000005793</v>
      </c>
      <c r="W565" s="276">
        <f t="shared" ref="W565:X565" si="1504">SUM(W550,W555,W560)</f>
        <v>59.42299999984634</v>
      </c>
      <c r="X565" s="276">
        <f t="shared" si="1504"/>
        <v>88.562000002993955</v>
      </c>
      <c r="Y565" s="276">
        <f t="shared" ref="Y565:Y566" si="1505">SUM(V565:X565)</f>
        <v>327.80200000289824</v>
      </c>
    </row>
    <row r="566" spans="1:25" ht="12.6">
      <c r="A566" s="240" t="s">
        <v>146</v>
      </c>
      <c r="B566" s="277">
        <f>SUM(B564:B565)</f>
        <v>362.7429999968673</v>
      </c>
      <c r="C566" s="277">
        <f t="shared" ref="C566" si="1506">SUM(C564:C565)</f>
        <v>216.86500000138739</v>
      </c>
      <c r="D566" s="277">
        <f t="shared" ref="D566" si="1507">SUM(D564:D565)</f>
        <v>255.81800000425525</v>
      </c>
      <c r="E566" s="277">
        <f t="shared" si="1497"/>
        <v>835.42600000250991</v>
      </c>
      <c r="F566" s="277"/>
      <c r="G566" s="277">
        <f>SUM(G564:G565)</f>
        <v>350.86099999742868</v>
      </c>
      <c r="H566" s="277">
        <f t="shared" ref="H566" si="1508">SUM(H564:H565)</f>
        <v>215.78700000153373</v>
      </c>
      <c r="I566" s="277">
        <f t="shared" ref="I566" si="1509">SUM(I564:I565)</f>
        <v>297.47100000363082</v>
      </c>
      <c r="J566" s="277">
        <f t="shared" si="1499"/>
        <v>864.11900000259322</v>
      </c>
      <c r="K566" s="277"/>
      <c r="L566" s="277">
        <f>SUM(L564:L565)</f>
        <v>346.80599999891689</v>
      </c>
      <c r="M566" s="277">
        <f t="shared" ref="M566" si="1510">SUM(M564:M565)</f>
        <v>219.04700000124845</v>
      </c>
      <c r="N566" s="277">
        <f t="shared" ref="N566" si="1511">SUM(N564:N565)</f>
        <v>290.45499999746295</v>
      </c>
      <c r="O566" s="277">
        <f t="shared" si="1501"/>
        <v>856.30799999762826</v>
      </c>
      <c r="P566" s="277"/>
      <c r="Q566" s="277">
        <f>SUM(Q564:Q565)</f>
        <v>346.31600000278121</v>
      </c>
      <c r="R566" s="277">
        <f t="shared" ref="R566" si="1512">SUM(R564:R565)</f>
        <v>215.18700000119156</v>
      </c>
      <c r="S566" s="277">
        <f t="shared" ref="S566" si="1513">SUM(S564:S565)</f>
        <v>287.94400000408024</v>
      </c>
      <c r="T566" s="277">
        <f t="shared" si="1503"/>
        <v>849.44700000805301</v>
      </c>
      <c r="U566" s="277"/>
      <c r="V566" s="277">
        <f>SUM(V564:V565)</f>
        <v>352.05100000268465</v>
      </c>
      <c r="W566" s="277">
        <f t="shared" ref="W566" si="1514">SUM(W564:W565)</f>
        <v>213.3300000014421</v>
      </c>
      <c r="X566" s="277">
        <f t="shared" ref="X566" si="1515">SUM(X564:X565)</f>
        <v>290.70300000487407</v>
      </c>
      <c r="Y566" s="277">
        <f t="shared" si="1505"/>
        <v>856.08400000900076</v>
      </c>
    </row>
    <row r="578" spans="1:3">
      <c r="A578" s="237"/>
    </row>
    <row r="579" spans="1:3" ht="12.6">
      <c r="C579" s="239"/>
    </row>
    <row r="580" spans="1:3" ht="12.6">
      <c r="C580" s="239"/>
    </row>
    <row r="581" spans="1:3" ht="12.6">
      <c r="C581" s="239"/>
    </row>
    <row r="582" spans="1:3" ht="12.6">
      <c r="C582" s="239"/>
    </row>
    <row r="587" spans="1:3" ht="12.6">
      <c r="C587" s="239"/>
    </row>
    <row r="588" spans="1:3">
      <c r="A588" s="238"/>
    </row>
    <row r="589" spans="1:3">
      <c r="A589" s="237"/>
    </row>
    <row r="592" spans="1:3" ht="12.6">
      <c r="C592" s="239"/>
    </row>
    <row r="593" spans="1:3">
      <c r="A593" s="237"/>
    </row>
    <row r="594" spans="1:3" ht="12.6">
      <c r="C594" s="239"/>
    </row>
    <row r="595" spans="1:3" ht="12.6">
      <c r="C595" s="239"/>
    </row>
    <row r="596" spans="1:3" ht="12.6">
      <c r="C596" s="239"/>
    </row>
    <row r="598" spans="1:3">
      <c r="A598" s="237"/>
    </row>
    <row r="599" spans="1:3" ht="12.6">
      <c r="C599" s="239"/>
    </row>
    <row r="600" spans="1:3" ht="12.6">
      <c r="C600" s="239"/>
    </row>
    <row r="601" spans="1:3" ht="12.6">
      <c r="C601" s="239"/>
    </row>
    <row r="602" spans="1:3" ht="12.6">
      <c r="C602" s="239"/>
    </row>
    <row r="603" spans="1:3" ht="12.6">
      <c r="C603" s="239"/>
    </row>
    <row r="604" spans="1:3" ht="12.6">
      <c r="C604" s="239"/>
    </row>
    <row r="605" spans="1:3" ht="12.6">
      <c r="C605" s="239"/>
    </row>
    <row r="606" spans="1:3" ht="12.6">
      <c r="C606" s="239"/>
    </row>
    <row r="607" spans="1:3">
      <c r="A607" s="237"/>
    </row>
    <row r="608" spans="1:3" ht="12.6">
      <c r="C608" s="239"/>
    </row>
    <row r="609" spans="1:3" ht="12.6">
      <c r="C609" s="239"/>
    </row>
    <row r="610" spans="1:3">
      <c r="A610" s="237"/>
    </row>
    <row r="611" spans="1:3" ht="12.6">
      <c r="C611" s="239"/>
    </row>
    <row r="612" spans="1:3" ht="12.6">
      <c r="C612" s="239"/>
    </row>
    <row r="613" spans="1:3" ht="12.6">
      <c r="C613" s="239"/>
    </row>
    <row r="638" spans="1:3">
      <c r="A638" s="237"/>
    </row>
    <row r="639" spans="1:3" ht="12.6">
      <c r="C639" s="239"/>
    </row>
    <row r="640" spans="1:3" ht="12.6">
      <c r="C640" s="239"/>
    </row>
    <row r="641" spans="1:3" ht="12.6">
      <c r="C641" s="239"/>
    </row>
    <row r="643" spans="1:3">
      <c r="A643" s="237"/>
    </row>
    <row r="644" spans="1:3" ht="12.6">
      <c r="C644" s="239"/>
    </row>
    <row r="645" spans="1:3" ht="12.6">
      <c r="C645" s="239"/>
    </row>
    <row r="646" spans="1:3" ht="12.6">
      <c r="C646" s="239"/>
    </row>
    <row r="647" spans="1:3" ht="12.6">
      <c r="C647" s="239"/>
    </row>
    <row r="648" spans="1:3">
      <c r="A648" s="237"/>
    </row>
    <row r="649" spans="1:3" ht="12.6">
      <c r="C649" s="239"/>
    </row>
    <row r="650" spans="1:3" ht="12.6">
      <c r="C650" s="239"/>
    </row>
    <row r="651" spans="1:3" ht="12.6">
      <c r="C651" s="239"/>
    </row>
    <row r="652" spans="1:3">
      <c r="A652" s="238"/>
    </row>
    <row r="653" spans="1:3">
      <c r="A653" s="237"/>
    </row>
    <row r="654" spans="1:3" ht="12.6">
      <c r="C654" s="239"/>
    </row>
    <row r="655" spans="1:3" ht="12.6">
      <c r="C655" s="239"/>
    </row>
    <row r="656" spans="1:3" ht="12.6">
      <c r="C656" s="239"/>
    </row>
    <row r="658" spans="1:3">
      <c r="A658" s="237"/>
    </row>
    <row r="659" spans="1:3" ht="12.6">
      <c r="C659" s="239"/>
    </row>
    <row r="660" spans="1:3" ht="12.6">
      <c r="C660" s="239"/>
    </row>
    <row r="661" spans="1:3" ht="12.6">
      <c r="C661" s="239"/>
    </row>
    <row r="662" spans="1:3" ht="12.6">
      <c r="C662" s="239"/>
    </row>
    <row r="663" spans="1:3">
      <c r="A663" s="237"/>
    </row>
    <row r="664" spans="1:3" ht="12.6">
      <c r="C664" s="239"/>
    </row>
    <row r="665" spans="1:3" ht="12.6">
      <c r="C665" s="239"/>
    </row>
    <row r="666" spans="1:3">
      <c r="A666" s="237"/>
    </row>
    <row r="667" spans="1:3" ht="12.6">
      <c r="C667" s="239"/>
    </row>
    <row r="668" spans="1:3" ht="12.6">
      <c r="C668" s="239"/>
    </row>
    <row r="669" spans="1:3" ht="12.6">
      <c r="C669" s="239"/>
    </row>
    <row r="670" spans="1:3" ht="12.6">
      <c r="C670" s="239"/>
    </row>
    <row r="671" spans="1:3" ht="12.6">
      <c r="C671" s="239"/>
    </row>
    <row r="672" spans="1:3" ht="12.6">
      <c r="C672" s="239"/>
    </row>
    <row r="673" spans="1:3">
      <c r="A673" s="237"/>
      <c r="C673" s="239"/>
    </row>
    <row r="674" spans="1:3" ht="12.6">
      <c r="C674" s="239"/>
    </row>
    <row r="675" spans="1:3" ht="12.6">
      <c r="C675" s="239"/>
    </row>
    <row r="676" spans="1:3" ht="12.6">
      <c r="C676" s="239"/>
    </row>
    <row r="677" spans="1:3">
      <c r="A677" s="238"/>
    </row>
    <row r="678" spans="1:3">
      <c r="A678" s="237"/>
    </row>
    <row r="679" spans="1:3" ht="12.6">
      <c r="C679" s="239"/>
    </row>
    <row r="680" spans="1:3" ht="12.6">
      <c r="C680" s="239"/>
    </row>
    <row r="681" spans="1:3" ht="12.6">
      <c r="C681" s="239"/>
    </row>
    <row r="683" spans="1:3">
      <c r="A683" s="237"/>
    </row>
    <row r="684" spans="1:3" ht="12.6">
      <c r="C684" s="239"/>
    </row>
    <row r="685" spans="1:3" ht="12.6">
      <c r="C685" s="239"/>
    </row>
    <row r="686" spans="1:3" ht="12.6">
      <c r="C686" s="239"/>
    </row>
    <row r="687" spans="1:3">
      <c r="A687" s="238"/>
    </row>
    <row r="688" spans="1:3">
      <c r="A688" s="237"/>
    </row>
    <row r="689" spans="1:3" ht="12.6">
      <c r="C689" s="239"/>
    </row>
    <row r="690" spans="1:3" ht="12.6">
      <c r="C690" s="239"/>
    </row>
    <row r="691" spans="1:3" ht="12.6">
      <c r="C691" s="239"/>
    </row>
    <row r="693" spans="1:3">
      <c r="A693" s="237"/>
    </row>
    <row r="694" spans="1:3">
      <c r="A694" s="237"/>
    </row>
    <row r="695" spans="1:3" ht="12.6">
      <c r="C695" s="239"/>
    </row>
    <row r="696" spans="1:3" ht="12.6">
      <c r="C696" s="239"/>
    </row>
    <row r="697" spans="1:3" ht="12.6">
      <c r="C697" s="239"/>
    </row>
    <row r="699" spans="1:3">
      <c r="A699" s="237"/>
    </row>
    <row r="700" spans="1:3" ht="12.6">
      <c r="C700" s="239"/>
    </row>
    <row r="701" spans="1:3" ht="12.6">
      <c r="C701" s="239"/>
    </row>
    <row r="702" spans="1:3" ht="12.6">
      <c r="C702" s="239"/>
    </row>
    <row r="703" spans="1:3" ht="12.6">
      <c r="C703" s="239"/>
    </row>
    <row r="704" spans="1:3">
      <c r="A704" s="237"/>
    </row>
    <row r="705" spans="1:3" ht="12.6">
      <c r="C705" s="239"/>
    </row>
    <row r="706" spans="1:3" ht="12.6">
      <c r="C706" s="239"/>
    </row>
    <row r="707" spans="1:3" ht="12.6">
      <c r="C707" s="239"/>
    </row>
    <row r="708" spans="1:3">
      <c r="A708" s="238"/>
    </row>
    <row r="709" spans="1:3">
      <c r="A709" s="237"/>
    </row>
    <row r="710" spans="1:3" ht="12.6">
      <c r="C710" s="239"/>
    </row>
    <row r="711" spans="1:3" ht="12.6">
      <c r="C711" s="239"/>
    </row>
    <row r="712" spans="1:3" ht="12.6">
      <c r="C712" s="239"/>
    </row>
    <row r="714" spans="1:3">
      <c r="A714" s="237"/>
    </row>
    <row r="715" spans="1:3" ht="12.6">
      <c r="C715" s="239"/>
    </row>
    <row r="716" spans="1:3" ht="12.6">
      <c r="C716" s="239"/>
    </row>
    <row r="717" spans="1:3" ht="12.6">
      <c r="C717" s="239"/>
    </row>
    <row r="718" spans="1:3" ht="12.6">
      <c r="C718" s="239"/>
    </row>
    <row r="719" spans="1:3">
      <c r="A719" s="237"/>
    </row>
    <row r="720" spans="1:3" ht="12.6">
      <c r="C720" s="239"/>
    </row>
    <row r="721" spans="1:3" ht="12.6">
      <c r="C721" s="239"/>
    </row>
    <row r="722" spans="1:3">
      <c r="A722" s="237"/>
    </row>
    <row r="723" spans="1:3" ht="12.6">
      <c r="C723" s="239"/>
    </row>
    <row r="724" spans="1:3" ht="12.6">
      <c r="C724" s="239"/>
    </row>
    <row r="725" spans="1:3" ht="12.6">
      <c r="C725" s="239"/>
    </row>
    <row r="726" spans="1:3" ht="12.6">
      <c r="C726" s="239"/>
    </row>
    <row r="728" spans="1:3">
      <c r="A728" s="237"/>
    </row>
    <row r="729" spans="1:3" ht="12.6">
      <c r="C729" s="239"/>
    </row>
    <row r="730" spans="1:3" ht="12.6">
      <c r="C730" s="239"/>
    </row>
    <row r="731" spans="1:3" ht="12.6">
      <c r="C731" s="239"/>
    </row>
    <row r="732" spans="1:3">
      <c r="A732" s="238"/>
    </row>
    <row r="733" spans="1:3">
      <c r="A733" s="237"/>
    </row>
    <row r="734" spans="1:3" ht="12.6">
      <c r="C734" s="239"/>
    </row>
    <row r="735" spans="1:3" ht="12.6">
      <c r="C735" s="239"/>
    </row>
    <row r="736" spans="1:3" ht="12.6">
      <c r="C736" s="239"/>
    </row>
    <row r="738" spans="1:3">
      <c r="A738" s="237"/>
    </row>
    <row r="739" spans="1:3" ht="12.6">
      <c r="C739" s="239"/>
    </row>
    <row r="740" spans="1:3" ht="12.6">
      <c r="C740" s="239"/>
    </row>
    <row r="741" spans="1:3" ht="12.6">
      <c r="C741" s="239"/>
    </row>
    <row r="743" spans="1:3">
      <c r="A743" s="237"/>
    </row>
    <row r="744" spans="1:3" ht="12.6">
      <c r="C744" s="239"/>
    </row>
    <row r="745" spans="1:3" ht="12.6">
      <c r="C745" s="239"/>
    </row>
    <row r="746" spans="1:3" ht="12.6">
      <c r="C746" s="239"/>
    </row>
    <row r="747" spans="1:3" ht="12.6">
      <c r="C747" s="239"/>
    </row>
    <row r="748" spans="1:3">
      <c r="A748" s="237"/>
    </row>
    <row r="749" spans="1:3" ht="12.6">
      <c r="C749" s="239"/>
    </row>
    <row r="750" spans="1:3">
      <c r="A750" s="237"/>
    </row>
    <row r="751" spans="1:3" ht="12.6">
      <c r="C751" s="239"/>
    </row>
    <row r="752" spans="1:3" ht="12.6">
      <c r="C752" s="239"/>
    </row>
    <row r="753" spans="1:3" ht="12.6">
      <c r="C753" s="239"/>
    </row>
    <row r="755" spans="1:3">
      <c r="A755" s="237"/>
    </row>
    <row r="756" spans="1:3" ht="12.6">
      <c r="C756" s="239"/>
    </row>
    <row r="757" spans="1:3" ht="12.6">
      <c r="C757" s="239"/>
    </row>
    <row r="758" spans="1:3" ht="12.6">
      <c r="C758" s="239"/>
    </row>
    <row r="759" spans="1:3" ht="12.6">
      <c r="C759" s="239"/>
    </row>
    <row r="760" spans="1:3">
      <c r="A760" s="237"/>
    </row>
    <row r="761" spans="1:3" ht="12.6">
      <c r="C761" s="239"/>
    </row>
    <row r="762" spans="1:3" ht="12.6">
      <c r="C762" s="239"/>
    </row>
    <row r="763" spans="1:3" ht="12.6">
      <c r="C763" s="239"/>
    </row>
    <row r="764" spans="1:3">
      <c r="A764" s="238"/>
    </row>
    <row r="765" spans="1:3">
      <c r="A765" s="237"/>
    </row>
    <row r="766" spans="1:3" ht="12.6">
      <c r="C766" s="239"/>
    </row>
    <row r="767" spans="1:3" ht="12.6">
      <c r="C767" s="239"/>
    </row>
    <row r="768" spans="1:3" ht="12.6">
      <c r="C768" s="239"/>
    </row>
    <row r="770" spans="1:3">
      <c r="A770" s="237"/>
    </row>
    <row r="771" spans="1:3" ht="12.6">
      <c r="C771" s="239"/>
    </row>
    <row r="772" spans="1:3" ht="12.6">
      <c r="C772" s="239"/>
    </row>
    <row r="773" spans="1:3" ht="12.6">
      <c r="C773" s="239"/>
    </row>
    <row r="774" spans="1:3" ht="12.6">
      <c r="C774" s="239"/>
    </row>
    <row r="775" spans="1:3">
      <c r="A775" s="237"/>
    </row>
    <row r="776" spans="1:3" ht="12.6">
      <c r="C776" s="239"/>
    </row>
    <row r="777" spans="1:3" ht="12.6">
      <c r="C777" s="239"/>
    </row>
    <row r="778" spans="1:3">
      <c r="A778" s="237"/>
    </row>
    <row r="779" spans="1:3" ht="12.6">
      <c r="C779" s="239"/>
    </row>
    <row r="780" spans="1:3" ht="12.6">
      <c r="C780" s="239"/>
    </row>
    <row r="781" spans="1:3" ht="12.6">
      <c r="C781" s="239"/>
    </row>
    <row r="782" spans="1:3" ht="12.6">
      <c r="C782" s="239"/>
    </row>
    <row r="783" spans="1:3" ht="12.6">
      <c r="C783" s="239"/>
    </row>
    <row r="784" spans="1:3" ht="12.6">
      <c r="C784" s="239"/>
    </row>
    <row r="785" spans="1:3">
      <c r="A785" s="237"/>
      <c r="C785" s="239"/>
    </row>
    <row r="786" spans="1:3" ht="12.6">
      <c r="C786" s="239"/>
    </row>
    <row r="787" spans="1:3" ht="12.6">
      <c r="C787" s="239"/>
    </row>
    <row r="788" spans="1:3" ht="12.6">
      <c r="C788" s="239"/>
    </row>
    <row r="789" spans="1:3">
      <c r="A789" s="238"/>
    </row>
    <row r="790" spans="1:3">
      <c r="A790" s="237"/>
    </row>
    <row r="791" spans="1:3" ht="12.6">
      <c r="C791" s="239"/>
    </row>
    <row r="792" spans="1:3" ht="12.6">
      <c r="C792" s="239"/>
    </row>
    <row r="793" spans="1:3" ht="12.6">
      <c r="C793" s="239"/>
    </row>
    <row r="795" spans="1:3">
      <c r="A795" s="237"/>
    </row>
    <row r="796" spans="1:3" ht="12.6">
      <c r="C796" s="239"/>
    </row>
    <row r="797" spans="1:3" ht="12.6">
      <c r="C797" s="239"/>
    </row>
    <row r="798" spans="1:3" ht="12.6">
      <c r="C798" s="239"/>
    </row>
    <row r="799" spans="1:3">
      <c r="A799" s="238"/>
    </row>
    <row r="800" spans="1:3">
      <c r="A800" s="237"/>
    </row>
    <row r="801" spans="1:3" ht="12.6">
      <c r="C801" s="239"/>
    </row>
    <row r="802" spans="1:3" ht="12.6">
      <c r="C802" s="239"/>
    </row>
    <row r="803" spans="1:3" ht="12.6">
      <c r="C803" s="239"/>
    </row>
    <row r="805" spans="1:3">
      <c r="A805" s="237"/>
    </row>
    <row r="806" spans="1:3">
      <c r="A806" s="237"/>
    </row>
    <row r="807" spans="1:3" ht="12.6">
      <c r="C807" s="239"/>
    </row>
    <row r="808" spans="1:3" ht="12.6">
      <c r="C808" s="239"/>
    </row>
    <row r="809" spans="1:3" ht="12.6">
      <c r="C809" s="239"/>
    </row>
    <row r="811" spans="1:3">
      <c r="A811" s="237"/>
    </row>
    <row r="812" spans="1:3" ht="12.6">
      <c r="C812" s="239"/>
    </row>
    <row r="813" spans="1:3" ht="12.6">
      <c r="C813" s="239"/>
    </row>
    <row r="814" spans="1:3" ht="12.6">
      <c r="C814" s="239"/>
    </row>
    <row r="815" spans="1:3" ht="12.6">
      <c r="C815" s="239"/>
    </row>
    <row r="816" spans="1:3">
      <c r="A816" s="237"/>
    </row>
    <row r="817" spans="1:3" ht="12.6">
      <c r="C817" s="239"/>
    </row>
    <row r="818" spans="1:3" ht="12.6">
      <c r="C818" s="239"/>
    </row>
    <row r="819" spans="1:3" ht="12.6">
      <c r="C819" s="239"/>
    </row>
    <row r="820" spans="1:3">
      <c r="A820" s="238"/>
    </row>
    <row r="821" spans="1:3">
      <c r="A821" s="237"/>
    </row>
    <row r="822" spans="1:3" ht="12.6">
      <c r="C822" s="239"/>
    </row>
    <row r="823" spans="1:3" ht="12.6">
      <c r="C823" s="239"/>
    </row>
    <row r="824" spans="1:3" ht="12.6">
      <c r="C824" s="239"/>
    </row>
    <row r="826" spans="1:3">
      <c r="A826" s="237"/>
    </row>
    <row r="827" spans="1:3" ht="12.6">
      <c r="C827" s="239"/>
    </row>
    <row r="828" spans="1:3" ht="12.6">
      <c r="C828" s="239"/>
    </row>
    <row r="829" spans="1:3" ht="12.6">
      <c r="C829" s="239"/>
    </row>
    <row r="830" spans="1:3" ht="12.6">
      <c r="C830" s="239"/>
    </row>
    <row r="831" spans="1:3">
      <c r="A831" s="237"/>
    </row>
    <row r="832" spans="1:3" ht="12.6">
      <c r="C832" s="239"/>
    </row>
    <row r="833" spans="1:25" ht="12.6">
      <c r="C833" s="239"/>
    </row>
    <row r="834" spans="1:25">
      <c r="A834" s="237"/>
    </row>
    <row r="835" spans="1:25" ht="12.6">
      <c r="C835" s="239"/>
    </row>
    <row r="836" spans="1:25" ht="12.6">
      <c r="C836" s="239"/>
    </row>
    <row r="837" spans="1:25" ht="12.6">
      <c r="C837" s="239"/>
    </row>
    <row r="838" spans="1:25">
      <c r="A838" s="237"/>
    </row>
    <row r="839" spans="1:25" ht="12.6">
      <c r="C839" s="239"/>
    </row>
    <row r="840" spans="1:25" ht="12.6">
      <c r="C840" s="239"/>
    </row>
    <row r="841" spans="1:25" ht="12.6">
      <c r="A841" s="240"/>
      <c r="B841" s="286"/>
      <c r="C841" s="286"/>
      <c r="D841" s="286"/>
      <c r="E841" s="286"/>
      <c r="F841" s="286"/>
      <c r="G841" s="286"/>
      <c r="H841" s="286"/>
      <c r="I841" s="286"/>
      <c r="J841" s="286"/>
      <c r="K841" s="286"/>
      <c r="L841" s="286"/>
      <c r="M841" s="286"/>
      <c r="N841" s="286"/>
      <c r="O841" s="286"/>
      <c r="P841" s="286"/>
      <c r="Q841" s="286"/>
      <c r="R841" s="286"/>
      <c r="S841" s="286"/>
      <c r="T841" s="286"/>
      <c r="U841" s="286"/>
      <c r="V841" s="286"/>
      <c r="W841" s="286"/>
      <c r="X841" s="286"/>
      <c r="Y841" s="286"/>
    </row>
    <row r="842" spans="1:25">
      <c r="A842" s="238"/>
    </row>
    <row r="843" spans="1:25">
      <c r="A843" s="237"/>
    </row>
    <row r="844" spans="1:25" ht="12.6">
      <c r="C844" s="239"/>
    </row>
    <row r="845" spans="1:25" ht="12.6">
      <c r="C845" s="239"/>
    </row>
    <row r="846" spans="1:25" ht="12.6">
      <c r="A846" s="240"/>
      <c r="B846" s="286"/>
      <c r="C846" s="286"/>
      <c r="D846" s="286"/>
      <c r="E846" s="286"/>
      <c r="F846" s="286"/>
      <c r="G846" s="286"/>
      <c r="H846" s="286"/>
      <c r="I846" s="286"/>
      <c r="J846" s="286"/>
      <c r="K846" s="286"/>
      <c r="L846" s="286"/>
      <c r="M846" s="286"/>
      <c r="N846" s="286"/>
      <c r="O846" s="286"/>
      <c r="P846" s="286"/>
      <c r="Q846" s="286"/>
      <c r="R846" s="286"/>
      <c r="S846" s="286"/>
      <c r="T846" s="286"/>
      <c r="U846" s="286"/>
      <c r="V846" s="286"/>
      <c r="W846" s="286"/>
      <c r="X846" s="286"/>
      <c r="Y846" s="286"/>
    </row>
    <row r="847" spans="1:25">
      <c r="A847" s="238"/>
    </row>
    <row r="848" spans="1:25">
      <c r="A848" s="237"/>
    </row>
    <row r="849" spans="1:3" ht="12.6">
      <c r="C849" s="239"/>
    </row>
    <row r="850" spans="1:3" ht="12.6">
      <c r="C850" s="239"/>
    </row>
    <row r="851" spans="1:3" ht="12.6">
      <c r="C851" s="239"/>
    </row>
    <row r="853" spans="1:3">
      <c r="A853" s="237"/>
    </row>
    <row r="854" spans="1:3" ht="12.6">
      <c r="C854" s="239"/>
    </row>
    <row r="855" spans="1:3" ht="12.6">
      <c r="C855" s="239"/>
    </row>
    <row r="856" spans="1:3" ht="12.6">
      <c r="C856" s="239"/>
    </row>
    <row r="857" spans="1:3" ht="12.6">
      <c r="C857" s="239"/>
    </row>
    <row r="858" spans="1:3">
      <c r="A858" s="237"/>
    </row>
    <row r="859" spans="1:3" ht="12.6">
      <c r="C859" s="239"/>
    </row>
    <row r="860" spans="1:3" ht="12.6">
      <c r="C860" s="239"/>
    </row>
    <row r="861" spans="1:3" ht="12.6">
      <c r="C861" s="239"/>
    </row>
    <row r="862" spans="1:3">
      <c r="A862" s="237"/>
    </row>
    <row r="863" spans="1:3" ht="12.6">
      <c r="C863" s="239"/>
    </row>
    <row r="864" spans="1:3" ht="12.6">
      <c r="C864" s="239"/>
    </row>
    <row r="865" spans="1:3" ht="12.6">
      <c r="C865" s="239"/>
    </row>
    <row r="867" spans="1:3">
      <c r="A867" s="237"/>
    </row>
    <row r="868" spans="1:3" ht="12.6">
      <c r="C868" s="239"/>
    </row>
    <row r="869" spans="1:3" ht="12.6">
      <c r="C869" s="239"/>
    </row>
    <row r="870" spans="1:3" ht="12.6">
      <c r="C870" s="239"/>
    </row>
    <row r="871" spans="1:3" ht="12.6">
      <c r="C871" s="239"/>
    </row>
    <row r="872" spans="1:3">
      <c r="A872" s="237"/>
    </row>
    <row r="873" spans="1:3" ht="12.6">
      <c r="C873" s="239"/>
    </row>
    <row r="874" spans="1:3" ht="12.6">
      <c r="C874" s="239"/>
    </row>
    <row r="875" spans="1:3" ht="12.6">
      <c r="C875" s="239"/>
    </row>
    <row r="876" spans="1:3">
      <c r="A876" s="238"/>
    </row>
    <row r="877" spans="1:3">
      <c r="A877" s="237"/>
    </row>
    <row r="878" spans="1:3" ht="12.6">
      <c r="C878" s="239"/>
    </row>
    <row r="879" spans="1:3" ht="12.6">
      <c r="C879" s="239"/>
    </row>
    <row r="880" spans="1:3" ht="12.6">
      <c r="C880" s="239"/>
    </row>
    <row r="882" spans="1:3">
      <c r="A882" s="237"/>
    </row>
    <row r="883" spans="1:3" ht="12.6">
      <c r="C883" s="239"/>
    </row>
    <row r="884" spans="1:3" ht="12.6">
      <c r="C884" s="239"/>
    </row>
    <row r="885" spans="1:3" ht="12.6">
      <c r="C885" s="239"/>
    </row>
    <row r="886" spans="1:3" ht="12.6">
      <c r="C886" s="239"/>
    </row>
    <row r="887" spans="1:3">
      <c r="A887" s="237"/>
    </row>
    <row r="888" spans="1:3" ht="12.6">
      <c r="C888" s="239"/>
    </row>
    <row r="889" spans="1:3" ht="12.6">
      <c r="C889" s="239"/>
    </row>
    <row r="890" spans="1:3">
      <c r="A890" s="237"/>
    </row>
    <row r="891" spans="1:3" ht="12.6">
      <c r="C891" s="239"/>
    </row>
    <row r="892" spans="1:3" ht="12.6">
      <c r="C892" s="239"/>
    </row>
    <row r="893" spans="1:3" ht="12.6">
      <c r="C893" s="239"/>
    </row>
    <row r="894" spans="1:3" ht="12.6">
      <c r="C894" s="239"/>
    </row>
    <row r="895" spans="1:3" ht="12.6">
      <c r="C895" s="239"/>
    </row>
    <row r="896" spans="1:3" ht="12.6">
      <c r="C896" s="239"/>
    </row>
    <row r="897" spans="1:3">
      <c r="A897" s="237"/>
      <c r="C897" s="239"/>
    </row>
    <row r="898" spans="1:3" ht="12.6">
      <c r="C898" s="239"/>
    </row>
    <row r="899" spans="1:3" ht="12.6">
      <c r="C899" s="239"/>
    </row>
    <row r="900" spans="1:3" ht="12.6">
      <c r="C900" s="239"/>
    </row>
    <row r="901" spans="1:3">
      <c r="A901" s="238"/>
    </row>
    <row r="902" spans="1:3">
      <c r="A902" s="237"/>
    </row>
    <row r="903" spans="1:3" ht="12.6">
      <c r="C903" s="239"/>
    </row>
    <row r="904" spans="1:3" ht="12.6">
      <c r="C904" s="239"/>
    </row>
    <row r="905" spans="1:3" ht="12.6">
      <c r="C905" s="239"/>
    </row>
    <row r="907" spans="1:3">
      <c r="A907" s="237"/>
    </row>
    <row r="908" spans="1:3" ht="12.6">
      <c r="C908" s="239"/>
    </row>
    <row r="909" spans="1:3" ht="12.6">
      <c r="C909" s="239"/>
    </row>
    <row r="910" spans="1:3" ht="12.6">
      <c r="C910" s="239"/>
    </row>
    <row r="911" spans="1:3">
      <c r="A911" s="238"/>
    </row>
    <row r="912" spans="1:3">
      <c r="A912" s="237"/>
    </row>
    <row r="913" spans="1:3" ht="12.6">
      <c r="C913" s="239"/>
    </row>
    <row r="914" spans="1:3" ht="12.6">
      <c r="C914" s="239"/>
    </row>
    <row r="915" spans="1:3" ht="12.6">
      <c r="C915" s="239"/>
    </row>
    <row r="917" spans="1:3">
      <c r="A917" s="237"/>
    </row>
    <row r="918" spans="1:3">
      <c r="A918" s="237"/>
    </row>
    <row r="919" spans="1:3" ht="12.6">
      <c r="C919" s="239"/>
    </row>
    <row r="920" spans="1:3" ht="12.6">
      <c r="C920" s="239"/>
    </row>
    <row r="921" spans="1:3" ht="12.6">
      <c r="C921" s="239"/>
    </row>
    <row r="923" spans="1:3">
      <c r="A923" s="237"/>
    </row>
    <row r="924" spans="1:3" ht="12.6">
      <c r="C924" s="239"/>
    </row>
    <row r="925" spans="1:3" ht="12.6">
      <c r="C925" s="239"/>
    </row>
    <row r="926" spans="1:3" ht="12.6">
      <c r="C926" s="239"/>
    </row>
    <row r="927" spans="1:3" ht="12.6">
      <c r="C927" s="239"/>
    </row>
    <row r="928" spans="1:3">
      <c r="A928" s="237"/>
    </row>
    <row r="929" spans="1:3" ht="12.6">
      <c r="C929" s="239"/>
    </row>
    <row r="930" spans="1:3" ht="12.6">
      <c r="C930" s="239"/>
    </row>
    <row r="931" spans="1:3" ht="12.6">
      <c r="C931" s="239"/>
    </row>
    <row r="932" spans="1:3">
      <c r="A932" s="238"/>
    </row>
    <row r="933" spans="1:3">
      <c r="A933" s="237"/>
    </row>
    <row r="934" spans="1:3" ht="12.6">
      <c r="C934" s="239"/>
    </row>
    <row r="935" spans="1:3" ht="12.6">
      <c r="C935" s="239"/>
    </row>
    <row r="936" spans="1:3" ht="12.6">
      <c r="C936" s="239"/>
    </row>
    <row r="938" spans="1:3">
      <c r="A938" s="237"/>
    </row>
    <row r="939" spans="1:3" ht="12.6">
      <c r="C939" s="239"/>
    </row>
    <row r="940" spans="1:3" ht="12.6">
      <c r="C940" s="239"/>
    </row>
    <row r="941" spans="1:3" ht="12.6">
      <c r="C941" s="239"/>
    </row>
    <row r="942" spans="1:3" ht="12.6">
      <c r="C942" s="239"/>
    </row>
    <row r="943" spans="1:3">
      <c r="A943" s="237"/>
    </row>
    <row r="944" spans="1:3" ht="12.6">
      <c r="C944" s="239"/>
    </row>
    <row r="945" spans="1:3" ht="12.6">
      <c r="C945" s="239"/>
    </row>
    <row r="946" spans="1:3">
      <c r="A946" s="237"/>
    </row>
    <row r="947" spans="1:3" ht="12.6">
      <c r="C947" s="239"/>
    </row>
    <row r="948" spans="1:3" ht="12.6">
      <c r="C948" s="239"/>
    </row>
    <row r="949" spans="1:3" ht="12.6">
      <c r="C949" s="239"/>
    </row>
    <row r="950" spans="1:3" ht="12.6">
      <c r="C950" s="239"/>
    </row>
    <row r="952" spans="1:3">
      <c r="A952" s="237"/>
    </row>
    <row r="953" spans="1:3" ht="12.6">
      <c r="C953" s="239"/>
    </row>
    <row r="954" spans="1:3" ht="12.6">
      <c r="C954" s="239"/>
    </row>
    <row r="955" spans="1:3" ht="12.6">
      <c r="C955" s="239"/>
    </row>
    <row r="956" spans="1:3">
      <c r="A956" s="238"/>
    </row>
    <row r="957" spans="1:3">
      <c r="A957" s="237"/>
    </row>
    <row r="958" spans="1:3" ht="12.6">
      <c r="C958" s="239"/>
    </row>
    <row r="959" spans="1:3" ht="12.6">
      <c r="C959" s="239"/>
    </row>
    <row r="960" spans="1:3" ht="12.6">
      <c r="C960" s="239"/>
    </row>
    <row r="962" spans="1:3">
      <c r="A962" s="237"/>
    </row>
    <row r="963" spans="1:3" ht="12.6">
      <c r="C963" s="239"/>
    </row>
    <row r="964" spans="1:3" ht="12.6">
      <c r="C964" s="239"/>
    </row>
    <row r="965" spans="1:3" ht="12.6">
      <c r="C965" s="239"/>
    </row>
    <row r="967" spans="1:3">
      <c r="A967" s="237"/>
    </row>
    <row r="968" spans="1:3" ht="12.6">
      <c r="C968" s="239"/>
    </row>
    <row r="969" spans="1:3" ht="12.6">
      <c r="C969" s="239"/>
    </row>
    <row r="970" spans="1:3" ht="12.6">
      <c r="C970" s="239"/>
    </row>
    <row r="971" spans="1:3" ht="12.6">
      <c r="C971" s="239"/>
    </row>
    <row r="972" spans="1:3">
      <c r="A972" s="237"/>
    </row>
    <row r="973" spans="1:3" ht="12.6">
      <c r="C973" s="239"/>
    </row>
    <row r="974" spans="1:3">
      <c r="A974" s="237"/>
    </row>
    <row r="975" spans="1:3" ht="12.6">
      <c r="C975" s="239"/>
    </row>
    <row r="976" spans="1:3" ht="12.6">
      <c r="C976" s="239"/>
    </row>
    <row r="977" spans="1:3" ht="12.6">
      <c r="C977" s="239"/>
    </row>
    <row r="979" spans="1:3">
      <c r="A979" s="237"/>
    </row>
    <row r="980" spans="1:3" ht="12.6">
      <c r="C980" s="239"/>
    </row>
    <row r="981" spans="1:3" ht="12.6">
      <c r="C981" s="239"/>
    </row>
    <row r="982" spans="1:3" ht="12.6">
      <c r="C982" s="239"/>
    </row>
    <row r="983" spans="1:3" ht="12.6">
      <c r="C983" s="239"/>
    </row>
    <row r="984" spans="1:3">
      <c r="A984" s="237"/>
    </row>
    <row r="985" spans="1:3" ht="12.6">
      <c r="C985" s="239"/>
    </row>
    <row r="986" spans="1:3" ht="12.6">
      <c r="C986" s="239"/>
    </row>
    <row r="987" spans="1:3" ht="12.6">
      <c r="C987" s="239"/>
    </row>
    <row r="988" spans="1:3">
      <c r="A988" s="238"/>
    </row>
    <row r="989" spans="1:3">
      <c r="A989" s="237"/>
    </row>
    <row r="990" spans="1:3" ht="12.6">
      <c r="C990" s="239"/>
    </row>
    <row r="991" spans="1:3" ht="12.6">
      <c r="C991" s="239"/>
    </row>
    <row r="992" spans="1:3" ht="12.6">
      <c r="C992" s="239"/>
    </row>
    <row r="994" spans="1:3">
      <c r="A994" s="237"/>
    </row>
    <row r="995" spans="1:3" ht="12.6">
      <c r="C995" s="239"/>
    </row>
    <row r="996" spans="1:3" ht="12.6">
      <c r="C996" s="239"/>
    </row>
    <row r="997" spans="1:3" ht="12.6">
      <c r="C997" s="239"/>
    </row>
    <row r="998" spans="1:3" ht="12.6">
      <c r="C998" s="239"/>
    </row>
    <row r="999" spans="1:3">
      <c r="A999" s="237"/>
    </row>
    <row r="1000" spans="1:3" ht="12.6">
      <c r="C1000" s="239"/>
    </row>
    <row r="1001" spans="1:3" ht="12.6">
      <c r="C1001" s="239"/>
    </row>
    <row r="1002" spans="1:3">
      <c r="A1002" s="237"/>
    </row>
    <row r="1003" spans="1:3" ht="12.6">
      <c r="C1003" s="239"/>
    </row>
    <row r="1004" spans="1:3" ht="12.6">
      <c r="C1004" s="239"/>
    </row>
    <row r="1005" spans="1:3" ht="12.6">
      <c r="C1005" s="239"/>
    </row>
    <row r="1006" spans="1:3" ht="12.6">
      <c r="C1006" s="239"/>
    </row>
    <row r="1007" spans="1:3" ht="12.6">
      <c r="C1007" s="239"/>
    </row>
    <row r="1008" spans="1:3" ht="12.6">
      <c r="C1008" s="239"/>
    </row>
    <row r="1009" spans="1:3">
      <c r="A1009" s="237"/>
      <c r="C1009" s="239"/>
    </row>
    <row r="1010" spans="1:3" ht="12.6">
      <c r="C1010" s="239"/>
    </row>
    <row r="1011" spans="1:3" ht="12.6">
      <c r="C1011" s="239"/>
    </row>
    <row r="1012" spans="1:3" ht="12.6">
      <c r="C1012" s="239"/>
    </row>
    <row r="1013" spans="1:3">
      <c r="A1013" s="238"/>
    </row>
    <row r="1014" spans="1:3">
      <c r="A1014" s="237"/>
    </row>
    <row r="1015" spans="1:3" ht="12.6">
      <c r="C1015" s="239"/>
    </row>
    <row r="1016" spans="1:3" ht="12.6">
      <c r="C1016" s="239"/>
    </row>
    <row r="1017" spans="1:3" ht="12.6">
      <c r="C1017" s="239"/>
    </row>
    <row r="1019" spans="1:3">
      <c r="A1019" s="237"/>
    </row>
    <row r="1020" spans="1:3" ht="12.6">
      <c r="C1020" s="239"/>
    </row>
    <row r="1021" spans="1:3" ht="12.6">
      <c r="C1021" s="239"/>
    </row>
    <row r="1022" spans="1:3" ht="12.6">
      <c r="C1022" s="239"/>
    </row>
    <row r="1023" spans="1:3">
      <c r="A1023" s="238"/>
    </row>
    <row r="1024" spans="1:3">
      <c r="A1024" s="237"/>
    </row>
    <row r="1025" spans="1:3" ht="12.6">
      <c r="C1025" s="239"/>
    </row>
    <row r="1026" spans="1:3" ht="12.6">
      <c r="C1026" s="239"/>
    </row>
    <row r="1027" spans="1:3" ht="12.6">
      <c r="C1027" s="239"/>
    </row>
    <row r="1029" spans="1:3">
      <c r="A1029" s="237"/>
    </row>
    <row r="1030" spans="1:3">
      <c r="A1030" s="237"/>
    </row>
    <row r="1031" spans="1:3" ht="12.6">
      <c r="C1031" s="239"/>
    </row>
    <row r="1032" spans="1:3" ht="12.6">
      <c r="C1032" s="239"/>
    </row>
    <row r="1033" spans="1:3" ht="12.6">
      <c r="C1033" s="239"/>
    </row>
    <row r="1035" spans="1:3">
      <c r="A1035" s="237"/>
    </row>
    <row r="1036" spans="1:3" ht="12.6">
      <c r="C1036" s="239"/>
    </row>
    <row r="1037" spans="1:3" ht="12.6">
      <c r="C1037" s="239"/>
    </row>
    <row r="1038" spans="1:3" ht="12.6">
      <c r="C1038" s="239"/>
    </row>
    <row r="1039" spans="1:3" ht="12.6">
      <c r="C1039" s="239"/>
    </row>
    <row r="1040" spans="1:3">
      <c r="A1040" s="237"/>
    </row>
    <row r="1041" spans="1:3" ht="12.6">
      <c r="C1041" s="239"/>
    </row>
    <row r="1042" spans="1:3" ht="12.6">
      <c r="C1042" s="239"/>
    </row>
    <row r="1043" spans="1:3" ht="12.6">
      <c r="C1043" s="239"/>
    </row>
    <row r="1044" spans="1:3">
      <c r="A1044" s="238"/>
    </row>
    <row r="1045" spans="1:3">
      <c r="A1045" s="237"/>
    </row>
    <row r="1046" spans="1:3" ht="12.6">
      <c r="C1046" s="239"/>
    </row>
    <row r="1047" spans="1:3" ht="12.6">
      <c r="C1047" s="239"/>
    </row>
    <row r="1048" spans="1:3" ht="12.6">
      <c r="C1048" s="239"/>
    </row>
    <row r="1050" spans="1:3">
      <c r="A1050" s="237"/>
    </row>
    <row r="1051" spans="1:3" ht="12.6">
      <c r="C1051" s="239"/>
    </row>
    <row r="1052" spans="1:3" ht="12.6">
      <c r="C1052" s="239"/>
    </row>
    <row r="1053" spans="1:3" ht="12.6">
      <c r="C1053" s="239"/>
    </row>
    <row r="1054" spans="1:3" ht="12.6">
      <c r="C1054" s="239"/>
    </row>
    <row r="1055" spans="1:3">
      <c r="A1055" s="237"/>
    </row>
    <row r="1056" spans="1:3" ht="12.6">
      <c r="C1056" s="239"/>
    </row>
    <row r="1057" spans="1:3" ht="12.6">
      <c r="C1057" s="239"/>
    </row>
    <row r="1058" spans="1:3">
      <c r="A1058" s="237"/>
    </row>
    <row r="1059" spans="1:3" ht="12.6">
      <c r="C1059" s="239"/>
    </row>
    <row r="1060" spans="1:3" ht="12.6">
      <c r="C1060" s="239"/>
    </row>
    <row r="1061" spans="1:3" ht="12.6">
      <c r="C1061" s="239"/>
    </row>
  </sheetData>
  <mergeCells count="110"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6"/>
  <cols>
    <col min="1" max="1" width="11" style="62" bestFit="1" customWidth="1"/>
    <col min="2" max="9" width="9.140625" style="62"/>
    <col min="10" max="10" width="17.5703125" style="62" customWidth="1"/>
    <col min="11" max="11" width="8.28515625" style="62" customWidth="1"/>
    <col min="12" max="12" width="28.140625" customWidth="1"/>
    <col min="13" max="14" width="10.140625" customWidth="1"/>
  </cols>
  <sheetData>
    <row r="1" spans="1:16" ht="15.6">
      <c r="A1" s="61" t="str">
        <f>CONCATENATE("Industry Figure 1  Growth in Employment by Industry Group (SIC 2007), ",M6," and ",N6,", ",Info!B5)</f>
        <v>Industry Figure 1  Growth in Employment by Industry Group (SIC 2007), 2015-2020 and 2020-2035, England</v>
      </c>
    </row>
    <row r="2" spans="1:16" ht="12.95">
      <c r="A2" s="158" t="s">
        <v>129</v>
      </c>
    </row>
    <row r="3" spans="1:16" ht="12.95">
      <c r="L3" s="35" t="s">
        <v>163</v>
      </c>
    </row>
    <row r="5" spans="1:16" ht="12.95">
      <c r="L5" s="24" t="s">
        <v>164</v>
      </c>
    </row>
    <row r="6" spans="1:16">
      <c r="L6" s="64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ht="12.95">
      <c r="L7" s="1" t="str">
        <f>'Ind T4'!A83</f>
        <v>All industries</v>
      </c>
      <c r="M7">
        <f>'Ind T4'!B122</f>
        <v>0.82619957207434869</v>
      </c>
      <c r="N7">
        <f>'Ind T4'!C122</f>
        <v>0.47723343115717576</v>
      </c>
    </row>
    <row r="8" spans="1:16">
      <c r="L8" s="64"/>
    </row>
    <row r="9" spans="1:16">
      <c r="L9" s="64" t="str">
        <f>'Ind T4'!A81</f>
        <v>Health and social work</v>
      </c>
      <c r="M9">
        <f>'Ind T4'!B120</f>
        <v>0.99841008281351673</v>
      </c>
      <c r="N9">
        <f>'Ind T4'!C120</f>
        <v>0.8469895975561359</v>
      </c>
    </row>
    <row r="10" spans="1:16">
      <c r="L10" s="64" t="str">
        <f>'Ind T4'!A80</f>
        <v>Education</v>
      </c>
      <c r="M10">
        <f>'Ind T4'!B119</f>
        <v>3.5301081958238889E-2</v>
      </c>
      <c r="N10">
        <f>'Ind T4'!C119</f>
        <v>0.26227504797926571</v>
      </c>
    </row>
    <row r="11" spans="1:16">
      <c r="L11" s="64" t="str">
        <f>'Ind T4'!A79</f>
        <v>Public admin. and defence</v>
      </c>
      <c r="M11">
        <f>'Ind T4'!B118</f>
        <v>1.0388823568234118</v>
      </c>
      <c r="N11">
        <f>'Ind T4'!C118</f>
        <v>0.30442578158296207</v>
      </c>
    </row>
    <row r="12" spans="1:16" ht="12.95">
      <c r="L12" s="1" t="str">
        <f>CONCATENATE("[",'Ind T4'!A78,"]")</f>
        <v>[Non-marketed services]</v>
      </c>
      <c r="M12">
        <f>'Ind T4'!B117</f>
        <v>0.6634612852280064</v>
      </c>
      <c r="N12">
        <f>'Ind T4'!C117</f>
        <v>0.56712980146322867</v>
      </c>
    </row>
    <row r="13" spans="1:16">
      <c r="L13" s="64"/>
    </row>
    <row r="14" spans="1:16">
      <c r="L14" s="64" t="str">
        <f>'Ind T4'!A76</f>
        <v>Other services</v>
      </c>
      <c r="M14" s="64">
        <f>'Ind T4'!B115</f>
        <v>0.49498804030321253</v>
      </c>
      <c r="N14" s="64">
        <f>'Ind T4'!C115</f>
        <v>-1.7441336366053051E-3</v>
      </c>
    </row>
    <row r="15" spans="1:16">
      <c r="L15" s="64" t="str">
        <f>'Ind T4'!A75</f>
        <v>Arts and entertainment</v>
      </c>
      <c r="M15" s="64">
        <f>'Ind T4'!B114</f>
        <v>0.68578943588668562</v>
      </c>
      <c r="N15" s="64">
        <f>'Ind T4'!C114</f>
        <v>0.68216606570450367</v>
      </c>
    </row>
    <row r="16" spans="1:16">
      <c r="L16" s="64" t="str">
        <f>'Ind T4'!A74</f>
        <v>Support services</v>
      </c>
      <c r="M16" s="64">
        <f>'Ind T4'!B113</f>
        <v>-0.1367257693040691</v>
      </c>
      <c r="N16" s="64">
        <f>'Ind T4'!C113</f>
        <v>0.83342781413744405</v>
      </c>
    </row>
    <row r="17" spans="12:14">
      <c r="L17" s="64" t="str">
        <f>'Ind T4'!A73</f>
        <v>Professional services</v>
      </c>
      <c r="M17" s="64">
        <f>'Ind T4'!B112</f>
        <v>1.4832503936236474</v>
      </c>
      <c r="N17" s="64">
        <f>'Ind T4'!C112</f>
        <v>0.75154407975916993</v>
      </c>
    </row>
    <row r="18" spans="12:14">
      <c r="L18" s="64" t="str">
        <f>'Ind T4'!A72</f>
        <v>Real estate</v>
      </c>
      <c r="M18" s="64">
        <f>'Ind T4'!B111</f>
        <v>2.5257358893955528</v>
      </c>
      <c r="N18" s="64">
        <f>'Ind T4'!C111</f>
        <v>0.36479081293476767</v>
      </c>
    </row>
    <row r="19" spans="12:14">
      <c r="L19" t="str">
        <f>'Ind T4'!A71</f>
        <v>Finance and insurance</v>
      </c>
      <c r="M19">
        <f>'Ind T4'!B110</f>
        <v>0.62634354624477862</v>
      </c>
      <c r="N19">
        <f>'Ind T4'!C110</f>
        <v>-0.15680833862264931</v>
      </c>
    </row>
    <row r="20" spans="12:14">
      <c r="L20" t="str">
        <f>'Ind T4'!A70</f>
        <v>Information technology</v>
      </c>
      <c r="M20">
        <f>'Ind T4'!B109</f>
        <v>1.3563142447179377</v>
      </c>
      <c r="N20">
        <f>'Ind T4'!C109</f>
        <v>0.99807042342914265</v>
      </c>
    </row>
    <row r="21" spans="12:14">
      <c r="L21" t="str">
        <f>'Ind T4'!A69</f>
        <v>Media</v>
      </c>
      <c r="M21">
        <f>'Ind T4'!B108</f>
        <v>0.52053197283590258</v>
      </c>
      <c r="N21">
        <f>'Ind T4'!C108</f>
        <v>0.15606589056480491</v>
      </c>
    </row>
    <row r="22" spans="12:14" ht="12.95">
      <c r="L22" s="1" t="str">
        <f>CONCATENATE("[",'Ind T4'!A68,"]")</f>
        <v>[Business and other services]</v>
      </c>
      <c r="M22">
        <f>'Ind T4'!B107</f>
        <v>0.83299606432851725</v>
      </c>
      <c r="N22">
        <f>'Ind T4'!C107</f>
        <v>0.60031664774355953</v>
      </c>
    </row>
    <row r="23" spans="12:14">
      <c r="L23" s="64"/>
    </row>
    <row r="24" spans="12:14">
      <c r="L24" s="64" t="str">
        <f>'Ind T4'!A66</f>
        <v>Accommodation and food</v>
      </c>
      <c r="M24">
        <f>'Ind T4'!B105</f>
        <v>1.5713701741672637</v>
      </c>
      <c r="N24">
        <f>'Ind T4'!C105</f>
        <v>1.2174819602314813</v>
      </c>
    </row>
    <row r="25" spans="12:14">
      <c r="L25" s="64" t="str">
        <f>'Ind T4'!A65</f>
        <v>Transport and storage</v>
      </c>
      <c r="M25">
        <f>'Ind T4'!B104</f>
        <v>2.4897454361838767</v>
      </c>
      <c r="N25">
        <f>'Ind T4'!C104</f>
        <v>0.55958773798108208</v>
      </c>
    </row>
    <row r="26" spans="12:14">
      <c r="L26" s="64" t="str">
        <f>'Ind T4'!A64</f>
        <v>Wholesale and retail trade</v>
      </c>
      <c r="M26">
        <f>'Ind T4'!B103</f>
        <v>8.2917327349796288E-2</v>
      </c>
      <c r="N26">
        <f>'Ind T4'!C103</f>
        <v>0.10693761109610289</v>
      </c>
    </row>
    <row r="27" spans="12:14" ht="12.95">
      <c r="L27" s="1" t="str">
        <f>CONCATENATE("[",'Ind T4'!A63,"]")</f>
        <v>[Trade, accomod. and transport]</v>
      </c>
      <c r="M27">
        <f>'Ind T4'!B102</f>
        <v>0.92222477880190556</v>
      </c>
      <c r="N27">
        <f>'Ind T4'!C102</f>
        <v>0.50021003051778923</v>
      </c>
    </row>
    <row r="28" spans="12:14">
      <c r="L28" s="64"/>
    </row>
    <row r="29" spans="12:14" ht="12.95">
      <c r="L29" s="1" t="str">
        <f>CONCATENATE("[",'Ind T4'!A61,"]")</f>
        <v>[Construction]</v>
      </c>
      <c r="M29">
        <f>'Ind T4'!B100</f>
        <v>2.1234584778490717</v>
      </c>
      <c r="N29">
        <f>'Ind T4'!C100</f>
        <v>0.7947224746771564</v>
      </c>
    </row>
    <row r="30" spans="12:14">
      <c r="L30" s="64"/>
    </row>
    <row r="31" spans="12:14">
      <c r="L31" s="64" t="str">
        <f>'Ind T4'!A59</f>
        <v>Rest of manufacturing</v>
      </c>
      <c r="M31">
        <f>'Ind T4'!B98</f>
        <v>-0.1196134386245884</v>
      </c>
      <c r="N31">
        <f>'Ind T4'!C98</f>
        <v>-0.99524754165890572</v>
      </c>
    </row>
    <row r="32" spans="12:14">
      <c r="L32" s="64" t="str">
        <f>'Ind T4'!A58</f>
        <v>Engineering</v>
      </c>
      <c r="M32">
        <f>'Ind T4'!B97</f>
        <v>-0.51864643088121998</v>
      </c>
      <c r="N32">
        <f>'Ind T4'!C97</f>
        <v>-0.70483169270012525</v>
      </c>
    </row>
    <row r="33" spans="12:14">
      <c r="L33" s="64" t="str">
        <f>'Ind T4'!A57</f>
        <v>Food drink and tobacco</v>
      </c>
      <c r="M33">
        <f>'Ind T4'!B96</f>
        <v>1.6213182094422018</v>
      </c>
      <c r="N33">
        <f>'Ind T4'!C96</f>
        <v>-9.530369539735295E-2</v>
      </c>
    </row>
    <row r="34" spans="12:14" ht="12.95">
      <c r="L34" s="1" t="str">
        <f>CONCATENATE("[",'Ind T4'!A56,"]")</f>
        <v>[Manufacturing]</v>
      </c>
      <c r="M34">
        <f>'Ind T4'!B95</f>
        <v>9.7804441517013174E-2</v>
      </c>
      <c r="N34">
        <f>'Ind T4'!C95</f>
        <v>-0.79519796718666713</v>
      </c>
    </row>
    <row r="35" spans="12:14">
      <c r="L35" s="64"/>
    </row>
    <row r="36" spans="12:14">
      <c r="L36" s="64" t="str">
        <f>'Ind T4'!A54</f>
        <v>Water and sewerage</v>
      </c>
      <c r="M36">
        <f>'Ind T4'!B93</f>
        <v>0.99169869949204958</v>
      </c>
      <c r="N36">
        <f>'Ind T4'!C93</f>
        <v>0.83615818439963796</v>
      </c>
    </row>
    <row r="37" spans="12:14">
      <c r="L37" s="64" t="str">
        <f>'Ind T4'!A53</f>
        <v>Electricity and gas</v>
      </c>
      <c r="M37">
        <f>'Ind T4'!B92</f>
        <v>3.7465694631855007</v>
      </c>
      <c r="N37">
        <f>'Ind T4'!C92</f>
        <v>-0.30028462788562749</v>
      </c>
    </row>
    <row r="38" spans="12:14">
      <c r="L38" s="64" t="str">
        <f>'Ind T4'!A52</f>
        <v>Mining and quarrying</v>
      </c>
      <c r="M38">
        <f>'Ind T4'!B91</f>
        <v>-4.2157603060086535</v>
      </c>
      <c r="N38">
        <f>'Ind T4'!C91</f>
        <v>-3.3506240374576501</v>
      </c>
    </row>
    <row r="39" spans="12:14">
      <c r="L39" s="341" t="str">
        <f>'Ind T4'!A51</f>
        <v>Agriculture</v>
      </c>
      <c r="M39">
        <f>'Ind T4'!B90</f>
        <v>-1.8136034085011188</v>
      </c>
      <c r="N39">
        <f>'Ind T4'!C90</f>
        <v>0.2582529080175755</v>
      </c>
    </row>
    <row r="40" spans="12:14" ht="12.95">
      <c r="L40" s="1" t="str">
        <f>CONCATENATE("[",'Ind T4'!A50,"]")</f>
        <v>[Primary sector and utilities]</v>
      </c>
      <c r="M40">
        <f>'Ind T4'!B89</f>
        <v>-2.3498241757269334E-2</v>
      </c>
      <c r="N40">
        <f>'Ind T4'!C89</f>
        <v>0.20432106620318358</v>
      </c>
    </row>
    <row r="43" spans="12:14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tabSelected="1" topLeftCell="L1" zoomScale="75" zoomScaleNormal="75" workbookViewId="0">
      <selection activeCell="N39" sqref="N39"/>
    </sheetView>
  </sheetViews>
  <sheetFormatPr defaultRowHeight="12.6"/>
  <cols>
    <col min="1" max="1" width="17" style="62" customWidth="1"/>
    <col min="2" max="10" width="9.140625" style="62"/>
    <col min="11" max="11" width="23.28515625" style="62" customWidth="1"/>
    <col min="12" max="12" width="25.5703125" customWidth="1"/>
    <col min="13" max="13" width="8.7109375" bestFit="1" customWidth="1"/>
    <col min="14" max="15" width="9.140625" bestFit="1" customWidth="1"/>
    <col min="16" max="16" width="8.7109375" bestFit="1" customWidth="1"/>
    <col min="17" max="18" width="9.140625" bestFit="1" customWidth="1"/>
    <col min="19" max="19" width="8.7109375" bestFit="1" customWidth="1"/>
    <col min="20" max="21" width="9.140625" bestFit="1" customWidth="1"/>
    <col min="22" max="22" width="8.7109375" bestFit="1" customWidth="1"/>
    <col min="23" max="23" width="9.140625" bestFit="1" customWidth="1"/>
    <col min="24" max="25" width="8.7109375" bestFit="1" customWidth="1"/>
    <col min="26" max="29" width="9.140625" bestFit="1" customWidth="1"/>
    <col min="30" max="31" width="8.28515625" bestFit="1" customWidth="1"/>
    <col min="32" max="37" width="8.7109375" bestFit="1" customWidth="1"/>
    <col min="38" max="38" width="9.14062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6">
      <c r="A1" s="61" t="str">
        <f>CONCATENATE("Industry Figure 2  Employment by Industry (SIC 2007), ",$M$2,"-",$O$2,", ",Info!B5)</f>
        <v>Industry Figure 2  Employment by Industry (SIC 2007), 2010-2035, England</v>
      </c>
      <c r="L1" s="35"/>
    </row>
    <row r="2" spans="1:96" ht="12.95">
      <c r="A2" s="158" t="s">
        <v>129</v>
      </c>
      <c r="L2" s="15" t="s">
        <v>165</v>
      </c>
      <c r="M2" s="37">
        <f>M4</f>
        <v>2010</v>
      </c>
      <c r="N2" s="36" t="s">
        <v>166</v>
      </c>
      <c r="O2" s="37">
        <f>MAX(Q4:BQ4)</f>
        <v>2035</v>
      </c>
    </row>
    <row r="3" spans="1:96">
      <c r="L3" s="15"/>
      <c r="M3" s="15"/>
      <c r="N3" s="36"/>
      <c r="O3" s="15"/>
    </row>
    <row r="4" spans="1:96">
      <c r="L4" s="64"/>
      <c r="M4" s="37">
        <v>2010</v>
      </c>
      <c r="N4" s="37">
        <v>2011</v>
      </c>
      <c r="O4" s="37">
        <v>2012</v>
      </c>
      <c r="P4" s="37">
        <v>2013</v>
      </c>
      <c r="Q4" s="37">
        <v>2014</v>
      </c>
      <c r="R4" s="37">
        <v>2015</v>
      </c>
      <c r="S4" s="37">
        <v>2016</v>
      </c>
      <c r="T4" s="37">
        <v>2017</v>
      </c>
      <c r="U4" s="37">
        <v>2018</v>
      </c>
      <c r="V4" s="37">
        <v>2019</v>
      </c>
      <c r="W4" s="37">
        <v>2020</v>
      </c>
      <c r="X4" s="37">
        <v>2021</v>
      </c>
      <c r="Y4" s="37">
        <v>2022</v>
      </c>
      <c r="Z4" s="37">
        <v>2023</v>
      </c>
      <c r="AA4" s="37">
        <v>2024</v>
      </c>
      <c r="AB4" s="37">
        <v>2025</v>
      </c>
      <c r="AC4" s="37">
        <v>2026</v>
      </c>
      <c r="AD4" s="37">
        <v>2027</v>
      </c>
      <c r="AE4" s="37">
        <v>2028</v>
      </c>
      <c r="AF4" s="37">
        <v>2029</v>
      </c>
      <c r="AG4" s="37">
        <v>2030</v>
      </c>
      <c r="AH4" s="37">
        <v>2031</v>
      </c>
      <c r="AI4" s="37">
        <v>2032</v>
      </c>
      <c r="AJ4" s="37">
        <v>2033</v>
      </c>
      <c r="AK4" s="37">
        <v>2034</v>
      </c>
      <c r="AL4" s="37">
        <v>2035</v>
      </c>
      <c r="AM4" s="37">
        <f t="shared" ref="AM4" si="0">BP4</f>
        <v>0</v>
      </c>
      <c r="AN4" s="10"/>
      <c r="AO4" s="10"/>
      <c r="AP4" s="10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10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</row>
    <row r="5" spans="1:96" ht="12.95">
      <c r="L5" s="1" t="str">
        <f>'Ind T4'!A7</f>
        <v>Primary sector and utilities</v>
      </c>
      <c r="M5" s="68">
        <f>SUM(M6:M9)</f>
        <v>565.11799999881123</v>
      </c>
      <c r="N5" s="68">
        <f t="shared" ref="N5:AL5" si="1">SUM(N6:N9)</f>
        <v>560.15399999951967</v>
      </c>
      <c r="O5" s="68">
        <f t="shared" si="1"/>
        <v>590.72799999853271</v>
      </c>
      <c r="P5" s="68">
        <f t="shared" si="1"/>
        <v>537.18899999782388</v>
      </c>
      <c r="Q5" s="68">
        <f t="shared" si="1"/>
        <v>575.92199999819218</v>
      </c>
      <c r="R5" s="68">
        <f t="shared" si="1"/>
        <v>555.19600000041191</v>
      </c>
      <c r="S5" s="68">
        <f t="shared" si="1"/>
        <v>553.72499999804052</v>
      </c>
      <c r="T5" s="68">
        <f t="shared" si="1"/>
        <v>577.50600000218344</v>
      </c>
      <c r="U5" s="68">
        <f t="shared" si="1"/>
        <v>611.30000000292409</v>
      </c>
      <c r="V5" s="68">
        <f t="shared" si="1"/>
        <v>598.95700000140323</v>
      </c>
      <c r="W5" s="68">
        <f t="shared" si="1"/>
        <v>554.5439999979626</v>
      </c>
      <c r="X5" s="68">
        <f t="shared" si="1"/>
        <v>550.1529999993669</v>
      </c>
      <c r="Y5" s="68">
        <f t="shared" si="1"/>
        <v>548.11500000063131</v>
      </c>
      <c r="Z5" s="68">
        <f t="shared" si="1"/>
        <v>551.07500000039818</v>
      </c>
      <c r="AA5" s="68">
        <f t="shared" si="1"/>
        <v>558.34200000062253</v>
      </c>
      <c r="AB5" s="68">
        <f t="shared" si="1"/>
        <v>561.28600000016547</v>
      </c>
      <c r="AC5" s="68">
        <f t="shared" si="1"/>
        <v>563.5140000002873</v>
      </c>
      <c r="AD5" s="68">
        <f t="shared" si="1"/>
        <v>565.01299999937385</v>
      </c>
      <c r="AE5" s="68">
        <f t="shared" si="1"/>
        <v>566.0129999994698</v>
      </c>
      <c r="AF5" s="68">
        <f t="shared" si="1"/>
        <v>566.78899999994508</v>
      </c>
      <c r="AG5" s="68">
        <f t="shared" si="1"/>
        <v>567.77899999925057</v>
      </c>
      <c r="AH5" s="68">
        <f t="shared" si="1"/>
        <v>568.6249999994003</v>
      </c>
      <c r="AI5" s="68">
        <f t="shared" si="1"/>
        <v>569.43899999966925</v>
      </c>
      <c r="AJ5" s="68">
        <f t="shared" si="1"/>
        <v>570.21899999976222</v>
      </c>
      <c r="AK5" s="68">
        <f t="shared" si="1"/>
        <v>571.00799999914159</v>
      </c>
      <c r="AL5" s="68">
        <f t="shared" si="1"/>
        <v>571.78500000015674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>
      <c r="L6" s="64" t="str">
        <f>'Ind T4'!A8</f>
        <v>Agriculture</v>
      </c>
      <c r="M6" s="11">
        <v>286.70399999839151</v>
      </c>
      <c r="N6" s="11">
        <v>284.09400000045702</v>
      </c>
      <c r="O6" s="11">
        <v>299.12999999941445</v>
      </c>
      <c r="P6" s="11">
        <v>254.50799999888875</v>
      </c>
      <c r="Q6" s="11">
        <v>301.21199999913404</v>
      </c>
      <c r="R6" s="11">
        <v>262.66400000087748</v>
      </c>
      <c r="S6" s="11">
        <v>255.64999999879652</v>
      </c>
      <c r="T6" s="11">
        <v>261.23800000146286</v>
      </c>
      <c r="U6" s="11">
        <v>275.73600000205238</v>
      </c>
      <c r="V6" s="11">
        <v>270.40100000186811</v>
      </c>
      <c r="W6" s="11">
        <v>239.69399999867431</v>
      </c>
      <c r="X6" s="11">
        <v>241.42999999902113</v>
      </c>
      <c r="Y6" s="11">
        <v>243.09199999940782</v>
      </c>
      <c r="Z6" s="11">
        <v>245.35799999882255</v>
      </c>
      <c r="AA6" s="11">
        <v>246.86999999902062</v>
      </c>
      <c r="AB6" s="11">
        <v>246.89799999842333</v>
      </c>
      <c r="AC6" s="11">
        <v>247.11899999848387</v>
      </c>
      <c r="AD6" s="11">
        <v>247.29799999777569</v>
      </c>
      <c r="AE6" s="11">
        <v>247.40299999794564</v>
      </c>
      <c r="AF6" s="11">
        <v>247.49199999830671</v>
      </c>
      <c r="AG6" s="11">
        <v>247.8289999976071</v>
      </c>
      <c r="AH6" s="11">
        <v>248.14099999809076</v>
      </c>
      <c r="AI6" s="11">
        <v>248.43099999804389</v>
      </c>
      <c r="AJ6" s="11">
        <v>248.69599999807892</v>
      </c>
      <c r="AK6" s="149">
        <v>248.92499999753591</v>
      </c>
      <c r="AL6" s="11">
        <v>249.14899999814918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>
      <c r="L7" s="64" t="str">
        <f>'Ind T4'!A9</f>
        <v>Mining and quarrying</v>
      </c>
      <c r="M7" s="11">
        <v>26.950000000087382</v>
      </c>
      <c r="N7" s="11">
        <v>28.058999999963298</v>
      </c>
      <c r="O7" s="11">
        <v>37.004999999853375</v>
      </c>
      <c r="P7" s="11">
        <v>30.044999999842194</v>
      </c>
      <c r="Q7" s="11">
        <v>24.059999999907763</v>
      </c>
      <c r="R7" s="11">
        <v>30.394999999857788</v>
      </c>
      <c r="S7" s="11">
        <v>25.559999999920787</v>
      </c>
      <c r="T7" s="11">
        <v>21.857000000057113</v>
      </c>
      <c r="U7" s="11">
        <v>26.380000000058949</v>
      </c>
      <c r="V7" s="11">
        <v>23.97399999997727</v>
      </c>
      <c r="W7" s="11">
        <v>24.505999999997162</v>
      </c>
      <c r="X7" s="11">
        <v>23.251000000001365</v>
      </c>
      <c r="Y7" s="11">
        <v>22.767000000055361</v>
      </c>
      <c r="Z7" s="11">
        <v>21.690000000061517</v>
      </c>
      <c r="AA7" s="11">
        <v>20.606000000093264</v>
      </c>
      <c r="AB7" s="11">
        <v>19.748000000056614</v>
      </c>
      <c r="AC7" s="11">
        <v>19.074000000062579</v>
      </c>
      <c r="AD7" s="11">
        <v>18.412000000051442</v>
      </c>
      <c r="AE7" s="11">
        <v>17.822000000051585</v>
      </c>
      <c r="AF7" s="11">
        <v>17.282000000081091</v>
      </c>
      <c r="AG7" s="11">
        <v>16.814000000053962</v>
      </c>
      <c r="AH7" s="11">
        <v>16.308000000052456</v>
      </c>
      <c r="AI7" s="11">
        <v>15.853000000064167</v>
      </c>
      <c r="AJ7" s="11">
        <v>15.429000000047319</v>
      </c>
      <c r="AK7" s="149">
        <v>15.046000000045982</v>
      </c>
      <c r="AL7" s="11">
        <v>14.698000000068012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>
      <c r="L8" s="64" t="str">
        <f>'Ind T4'!A10</f>
        <v>Electricity and gas</v>
      </c>
      <c r="M8" s="11">
        <v>103.08400000010815</v>
      </c>
      <c r="N8" s="11">
        <v>90.741999999640271</v>
      </c>
      <c r="O8" s="11">
        <v>96.360999999529469</v>
      </c>
      <c r="P8" s="11">
        <v>97.576999999774685</v>
      </c>
      <c r="Q8" s="11">
        <v>86.457999999785187</v>
      </c>
      <c r="R8" s="11">
        <v>98.785999999564481</v>
      </c>
      <c r="S8" s="11">
        <v>108.59199999950371</v>
      </c>
      <c r="T8" s="11">
        <v>115.72599999997598</v>
      </c>
      <c r="U8" s="11">
        <v>122.19699999991163</v>
      </c>
      <c r="V8" s="11">
        <v>119.00299999947048</v>
      </c>
      <c r="W8" s="11">
        <v>118.73099999947034</v>
      </c>
      <c r="X8" s="11">
        <v>117.33100000010994</v>
      </c>
      <c r="Y8" s="11">
        <v>115.17100000055676</v>
      </c>
      <c r="Z8" s="11">
        <v>114.60300000063367</v>
      </c>
      <c r="AA8" s="11">
        <v>114.42200000051714</v>
      </c>
      <c r="AB8" s="11">
        <v>114.24900000075205</v>
      </c>
      <c r="AC8" s="11">
        <v>114.03400000059546</v>
      </c>
      <c r="AD8" s="11">
        <v>113.88900000052216</v>
      </c>
      <c r="AE8" s="11">
        <v>113.72200000031111</v>
      </c>
      <c r="AF8" s="11">
        <v>113.60900000017622</v>
      </c>
      <c r="AG8" s="11">
        <v>113.55400000031247</v>
      </c>
      <c r="AH8" s="11">
        <v>113.51800000017963</v>
      </c>
      <c r="AI8" s="11">
        <v>113.49400000054359</v>
      </c>
      <c r="AJ8" s="11">
        <v>113.48600000029936</v>
      </c>
      <c r="AK8" s="149">
        <v>113.48500000032499</v>
      </c>
      <c r="AL8" s="11">
        <v>113.49400000051151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>
      <c r="L9" s="64" t="str">
        <f>'Ind T4'!A11</f>
        <v>Water and sewerage</v>
      </c>
      <c r="M9" s="11">
        <v>148.38000000022421</v>
      </c>
      <c r="N9" s="11">
        <v>157.25899999945906</v>
      </c>
      <c r="O9" s="11">
        <v>158.23199999973539</v>
      </c>
      <c r="P9" s="11">
        <v>155.05899999931822</v>
      </c>
      <c r="Q9" s="11">
        <v>164.19199999936515</v>
      </c>
      <c r="R9" s="11">
        <v>163.35100000011209</v>
      </c>
      <c r="S9" s="11">
        <v>163.9229999998195</v>
      </c>
      <c r="T9" s="11">
        <v>178.68500000068755</v>
      </c>
      <c r="U9" s="11">
        <v>186.98700000090119</v>
      </c>
      <c r="V9" s="11">
        <v>185.5790000000874</v>
      </c>
      <c r="W9" s="11">
        <v>171.61299999982074</v>
      </c>
      <c r="X9" s="11">
        <v>168.14100000023447</v>
      </c>
      <c r="Y9" s="11">
        <v>167.08500000061136</v>
      </c>
      <c r="Z9" s="11">
        <v>169.42400000088051</v>
      </c>
      <c r="AA9" s="11">
        <v>176.44400000099157</v>
      </c>
      <c r="AB9" s="11">
        <v>180.39100000093342</v>
      </c>
      <c r="AC9" s="11">
        <v>183.2870000011454</v>
      </c>
      <c r="AD9" s="11">
        <v>185.41400000102456</v>
      </c>
      <c r="AE9" s="11">
        <v>187.06600000116148</v>
      </c>
      <c r="AF9" s="11">
        <v>188.40600000138105</v>
      </c>
      <c r="AG9" s="11">
        <v>189.58200000127704</v>
      </c>
      <c r="AH9" s="11">
        <v>190.65800000107743</v>
      </c>
      <c r="AI9" s="11">
        <v>191.66100000101756</v>
      </c>
      <c r="AJ9" s="11">
        <v>192.60800000133668</v>
      </c>
      <c r="AK9" s="149">
        <v>193.55200000123475</v>
      </c>
      <c r="AL9" s="11">
        <v>194.44400000142807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>
      <c r="L10" s="64"/>
      <c r="AK10" s="149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2.95">
      <c r="L11" s="1" t="str">
        <f>'Ind T4'!A13</f>
        <v>Manufacturing</v>
      </c>
      <c r="M11" s="68">
        <f t="shared" ref="M11:P11" si="2">SUM(M12:M14)</f>
        <v>2166.6589999965036</v>
      </c>
      <c r="N11" s="68">
        <f t="shared" si="2"/>
        <v>2149.8609999941</v>
      </c>
      <c r="O11" s="68">
        <f t="shared" si="2"/>
        <v>2181.4089999949815</v>
      </c>
      <c r="P11" s="68">
        <f t="shared" si="2"/>
        <v>2135.4549999885012</v>
      </c>
      <c r="Q11" s="68">
        <f>SUM(Q12:Q14)</f>
        <v>2178.5729999917303</v>
      </c>
      <c r="R11" s="68">
        <f t="shared" ref="R11" si="3">SUM(R12:R14)</f>
        <v>2197.6419999990994</v>
      </c>
      <c r="S11" s="68">
        <f t="shared" ref="S11" si="4">SUM(S12:S14)</f>
        <v>2214.8859999942242</v>
      </c>
      <c r="T11" s="68">
        <f t="shared" ref="T11" si="5">SUM(T12:T14)</f>
        <v>2248.3400000089423</v>
      </c>
      <c r="U11" s="68">
        <f t="shared" ref="U11" si="6">SUM(U12:U14)</f>
        <v>2285.5660000079929</v>
      </c>
      <c r="V11" s="68">
        <f t="shared" ref="V11" si="7">SUM(V12:V14)</f>
        <v>2254.4499999968248</v>
      </c>
      <c r="W11" s="68">
        <f t="shared" ref="W11" si="8">SUM(W12:W14)</f>
        <v>2208.4099999961973</v>
      </c>
      <c r="X11" s="68">
        <f t="shared" ref="X11" si="9">SUM(X12:X14)</f>
        <v>2207.0890000017243</v>
      </c>
      <c r="Y11" s="68">
        <f t="shared" ref="Y11" si="10">SUM(Y12:Y14)</f>
        <v>2186.5910000103686</v>
      </c>
      <c r="Z11" s="68">
        <f t="shared" ref="Z11" si="11">SUM(Z12:Z14)</f>
        <v>2167.2190000121172</v>
      </c>
      <c r="AA11" s="68">
        <f t="shared" ref="AA11" si="12">SUM(AA12:AA14)</f>
        <v>2151.6340000122809</v>
      </c>
      <c r="AB11" s="68">
        <f t="shared" ref="AB11" si="13">SUM(AB12:AB14)</f>
        <v>2130.7230000112381</v>
      </c>
      <c r="AC11" s="68">
        <f t="shared" ref="AC11" si="14">SUM(AC12:AC14)</f>
        <v>2111.3650000129201</v>
      </c>
      <c r="AD11" s="68">
        <f>SUM(AD12:AD14)</f>
        <v>2091.6410000113437</v>
      </c>
      <c r="AE11" s="68">
        <f t="shared" ref="AE11" si="15">SUM(AE12:AE14)</f>
        <v>2072.582000010756</v>
      </c>
      <c r="AF11" s="68">
        <f t="shared" ref="AF11" si="16">SUM(AF12:AF14)</f>
        <v>2054.2060000127394</v>
      </c>
      <c r="AG11" s="68">
        <f t="shared" ref="AG11:AL11" si="17">SUM(AG12:AG14)</f>
        <v>2037.9850000112963</v>
      </c>
      <c r="AH11" s="68">
        <f t="shared" si="17"/>
        <v>2021.1760000090931</v>
      </c>
      <c r="AI11" s="68">
        <f t="shared" si="17"/>
        <v>2004.8630000102212</v>
      </c>
      <c r="AJ11" s="68">
        <f t="shared" si="17"/>
        <v>1989.0360000124626</v>
      </c>
      <c r="AK11" s="68">
        <f t="shared" si="17"/>
        <v>1973.6880000116291</v>
      </c>
      <c r="AL11" s="68">
        <f t="shared" si="17"/>
        <v>1959.1610000136034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>
      <c r="L12" s="64" t="str">
        <f>'Ind T4'!A14</f>
        <v>Food drink and tobacco</v>
      </c>
      <c r="M12" s="11">
        <v>331.09099999781671</v>
      </c>
      <c r="N12" s="11">
        <v>317.62199999875878</v>
      </c>
      <c r="O12" s="11">
        <v>321.97899999966444</v>
      </c>
      <c r="P12" s="11">
        <v>329.81699999764129</v>
      </c>
      <c r="Q12" s="11">
        <v>330.73099999844521</v>
      </c>
      <c r="R12" s="11">
        <v>338.92800000130183</v>
      </c>
      <c r="S12" s="11">
        <v>361.15799999964122</v>
      </c>
      <c r="T12" s="11">
        <v>365.47600000279732</v>
      </c>
      <c r="U12" s="11">
        <v>356.77400000219558</v>
      </c>
      <c r="V12" s="11">
        <v>366.44100000040521</v>
      </c>
      <c r="W12" s="11">
        <v>367.30900000022467</v>
      </c>
      <c r="X12" s="11">
        <v>368.71800000204507</v>
      </c>
      <c r="Y12" s="11">
        <v>370.76500000416479</v>
      </c>
      <c r="Z12" s="11">
        <v>372.89500000449482</v>
      </c>
      <c r="AA12" s="11">
        <v>372.9770000040474</v>
      </c>
      <c r="AB12" s="11">
        <v>371.81200000401651</v>
      </c>
      <c r="AC12" s="11">
        <v>370.96300000442494</v>
      </c>
      <c r="AD12" s="11">
        <v>369.960000004032</v>
      </c>
      <c r="AE12" s="11">
        <v>368.88000000372881</v>
      </c>
      <c r="AF12" s="11">
        <v>367.78100000408074</v>
      </c>
      <c r="AG12" s="11">
        <v>366.8710000040511</v>
      </c>
      <c r="AH12" s="11">
        <v>365.97100000326537</v>
      </c>
      <c r="AI12" s="11">
        <v>365.05900000345025</v>
      </c>
      <c r="AJ12" s="11">
        <v>364.10200000425272</v>
      </c>
      <c r="AK12" s="149">
        <v>363.11500000389901</v>
      </c>
      <c r="AL12" s="11">
        <v>362.09300000434644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>
      <c r="L13" s="64" t="str">
        <f>'Ind T4'!A15</f>
        <v>Engineering</v>
      </c>
      <c r="M13" s="11">
        <v>332.9289999999616</v>
      </c>
      <c r="N13" s="11">
        <v>360.95499999896219</v>
      </c>
      <c r="O13" s="11">
        <v>359.70399999893226</v>
      </c>
      <c r="P13" s="11">
        <v>357.69299999877131</v>
      </c>
      <c r="Q13" s="11">
        <v>326.53999999890885</v>
      </c>
      <c r="R13" s="11">
        <v>331.15499999898395</v>
      </c>
      <c r="S13" s="11">
        <v>326.91799999889361</v>
      </c>
      <c r="T13" s="11">
        <v>344.77700000036958</v>
      </c>
      <c r="U13" s="11">
        <v>340.03500000037957</v>
      </c>
      <c r="V13" s="11">
        <v>338.70199999916076</v>
      </c>
      <c r="W13" s="11">
        <v>322.65599999907658</v>
      </c>
      <c r="X13" s="11">
        <v>331.84200000002653</v>
      </c>
      <c r="Y13" s="11">
        <v>329.82000000113658</v>
      </c>
      <c r="Z13" s="11">
        <v>330.83900000139681</v>
      </c>
      <c r="AA13" s="11">
        <v>330.50900000148641</v>
      </c>
      <c r="AB13" s="11">
        <v>328.98500000137847</v>
      </c>
      <c r="AC13" s="11">
        <v>324.78600000153887</v>
      </c>
      <c r="AD13" s="11">
        <v>320.59300000133561</v>
      </c>
      <c r="AE13" s="11">
        <v>316.44300000128663</v>
      </c>
      <c r="AF13" s="11">
        <v>312.38900000148885</v>
      </c>
      <c r="AG13" s="11">
        <v>308.75400000134493</v>
      </c>
      <c r="AH13" s="11">
        <v>305.0030000011933</v>
      </c>
      <c r="AI13" s="11">
        <v>301.26600000136546</v>
      </c>
      <c r="AJ13" s="11">
        <v>297.55000000149596</v>
      </c>
      <c r="AK13" s="149">
        <v>293.84600000139335</v>
      </c>
      <c r="AL13" s="11">
        <v>290.17600000162179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>
      <c r="L14" s="64" t="str">
        <f>'Ind T4'!A16</f>
        <v>Rest of manufacturing</v>
      </c>
      <c r="M14" s="11">
        <v>1502.638999998725</v>
      </c>
      <c r="N14" s="11">
        <v>1471.2839999963792</v>
      </c>
      <c r="O14" s="11">
        <v>1499.7259999963849</v>
      </c>
      <c r="P14" s="11">
        <v>1447.9449999920885</v>
      </c>
      <c r="Q14" s="11">
        <v>1521.3019999943765</v>
      </c>
      <c r="R14" s="11">
        <v>1527.5589999988135</v>
      </c>
      <c r="S14" s="11">
        <v>1526.8099999956894</v>
      </c>
      <c r="T14" s="11">
        <v>1538.0870000057755</v>
      </c>
      <c r="U14" s="11">
        <v>1588.7570000054177</v>
      </c>
      <c r="V14" s="11">
        <v>1549.3069999972586</v>
      </c>
      <c r="W14" s="11">
        <v>1518.4449999968963</v>
      </c>
      <c r="X14" s="11">
        <v>1506.5289999996526</v>
      </c>
      <c r="Y14" s="11">
        <v>1486.0060000050671</v>
      </c>
      <c r="Z14" s="11">
        <v>1463.4850000062254</v>
      </c>
      <c r="AA14" s="11">
        <v>1448.1480000067472</v>
      </c>
      <c r="AB14" s="11">
        <v>1429.9260000058432</v>
      </c>
      <c r="AC14" s="11">
        <v>1415.6160000069563</v>
      </c>
      <c r="AD14" s="11">
        <v>1401.0880000059763</v>
      </c>
      <c r="AE14" s="11">
        <v>1387.2590000057403</v>
      </c>
      <c r="AF14" s="11">
        <v>1374.0360000071696</v>
      </c>
      <c r="AG14" s="11">
        <v>1362.3600000059002</v>
      </c>
      <c r="AH14" s="11">
        <v>1350.2020000046343</v>
      </c>
      <c r="AI14" s="11">
        <v>1338.5380000054054</v>
      </c>
      <c r="AJ14" s="11">
        <v>1327.3840000067139</v>
      </c>
      <c r="AK14" s="149">
        <v>1316.7270000063368</v>
      </c>
      <c r="AL14" s="11">
        <v>1306.892000007635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>
      <c r="L15" s="64"/>
      <c r="AK15" s="149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2.95">
      <c r="L16" s="1" t="str">
        <f>'Ind T4'!A18</f>
        <v>Construction</v>
      </c>
      <c r="M16" s="68">
        <v>1762.2880000026482</v>
      </c>
      <c r="N16" s="68">
        <v>1726.0349999872142</v>
      </c>
      <c r="O16" s="68">
        <v>1744.3209999920221</v>
      </c>
      <c r="P16" s="68">
        <v>1730.5579999859331</v>
      </c>
      <c r="Q16" s="68">
        <v>1777.1559999742817</v>
      </c>
      <c r="R16" s="68">
        <v>1800.3539999823467</v>
      </c>
      <c r="S16" s="68">
        <v>1907.1309999771033</v>
      </c>
      <c r="T16" s="68">
        <v>1989.7140000048066</v>
      </c>
      <c r="U16" s="68">
        <v>1943.0150000180868</v>
      </c>
      <c r="V16" s="68">
        <v>1996.7570000194819</v>
      </c>
      <c r="W16" s="68">
        <v>1999.7949999724015</v>
      </c>
      <c r="X16" s="68">
        <v>1977.5929999611044</v>
      </c>
      <c r="Y16" s="68">
        <v>1998.3539999299423</v>
      </c>
      <c r="Z16" s="68">
        <v>2043.6099999239827</v>
      </c>
      <c r="AA16" s="68">
        <v>2079.9439999357414</v>
      </c>
      <c r="AB16" s="68">
        <v>2097.950999922838</v>
      </c>
      <c r="AC16" s="68">
        <v>2113.9159999326394</v>
      </c>
      <c r="AD16" s="68">
        <v>2125.5439999193004</v>
      </c>
      <c r="AE16" s="68">
        <v>2139.4879999278037</v>
      </c>
      <c r="AF16" s="68">
        <v>2152.4319999328632</v>
      </c>
      <c r="AG16" s="68">
        <v>2167.8709999171642</v>
      </c>
      <c r="AH16" s="68">
        <v>2183.7949999358771</v>
      </c>
      <c r="AI16" s="68">
        <v>2200.279999919785</v>
      </c>
      <c r="AJ16" s="68">
        <v>2217.1909999373529</v>
      </c>
      <c r="AK16" s="326">
        <v>2234.4209999224604</v>
      </c>
      <c r="AL16" s="68">
        <v>2251.9169999326928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>
      <c r="L17" s="64"/>
      <c r="AK17" s="149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2.95">
      <c r="L18" s="1" t="str">
        <f>'Ind T4'!A20</f>
        <v>Trade, accomod. and transport</v>
      </c>
      <c r="M18" s="68">
        <f t="shared" ref="M18:P18" si="18">SUM(M19:M21)</f>
        <v>6948.4279999353193</v>
      </c>
      <c r="N18" s="68">
        <f t="shared" si="18"/>
        <v>7023.8129999517278</v>
      </c>
      <c r="O18" s="68">
        <f t="shared" si="18"/>
        <v>7177.880999968057</v>
      </c>
      <c r="P18" s="68">
        <f t="shared" si="18"/>
        <v>7140.0469999739107</v>
      </c>
      <c r="Q18" s="68">
        <f>SUM(Q19:Q21)</f>
        <v>7355.0780000482964</v>
      </c>
      <c r="R18" s="68">
        <f t="shared" ref="R18" si="19">SUM(R19:R21)</f>
        <v>7525.0560001205195</v>
      </c>
      <c r="S18" s="68">
        <f t="shared" ref="S18" si="20">SUM(S19:S21)</f>
        <v>7745.3340000843227</v>
      </c>
      <c r="T18" s="68">
        <f t="shared" ref="T18" si="21">SUM(T19:T21)</f>
        <v>7824.0570001095039</v>
      </c>
      <c r="U18" s="68">
        <f t="shared" ref="U18" si="22">SUM(U19:U21)</f>
        <v>7855.8730001007834</v>
      </c>
      <c r="V18" s="68">
        <f t="shared" ref="V18" si="23">SUM(V19:V21)</f>
        <v>8007.9100000778271</v>
      </c>
      <c r="W18" s="68">
        <f t="shared" ref="W18" si="24">SUM(W19:W21)</f>
        <v>7878.505000043865</v>
      </c>
      <c r="X18" s="68">
        <f t="shared" ref="X18" si="25">SUM(X19:X21)</f>
        <v>7861.900000124916</v>
      </c>
      <c r="Y18" s="68">
        <f t="shared" ref="Y18" si="26">SUM(Y19:Y21)</f>
        <v>7911.6640001968344</v>
      </c>
      <c r="Z18" s="68">
        <f t="shared" ref="Z18" si="27">SUM(Z19:Z21)</f>
        <v>7976.5250001984514</v>
      </c>
      <c r="AA18" s="68">
        <f t="shared" ref="AA18" si="28">SUM(AA19:AA21)</f>
        <v>8047.4070001697582</v>
      </c>
      <c r="AB18" s="68">
        <f t="shared" ref="AB18" si="29">SUM(AB19:AB21)</f>
        <v>8105.1010001723571</v>
      </c>
      <c r="AC18" s="68">
        <f t="shared" ref="AC18" si="30">SUM(AC19:AC21)</f>
        <v>8151.0890001676671</v>
      </c>
      <c r="AD18" s="68">
        <f>SUM(AD19:AD21)</f>
        <v>8192.5630001825884</v>
      </c>
      <c r="AE18" s="68">
        <f t="shared" ref="AE18" si="31">SUM(AE19:AE21)</f>
        <v>8231.5780001655276</v>
      </c>
      <c r="AF18" s="68">
        <f t="shared" ref="AF18" si="32">SUM(AF19:AF21)</f>
        <v>8269.2380001604197</v>
      </c>
      <c r="AG18" s="68">
        <f t="shared" ref="AG18:AL18" si="33">SUM(AG19:AG21)</f>
        <v>8307.6890001739848</v>
      </c>
      <c r="AH18" s="68">
        <f t="shared" si="33"/>
        <v>8345.2880001481954</v>
      </c>
      <c r="AI18" s="68">
        <f t="shared" si="33"/>
        <v>8382.0090001463686</v>
      </c>
      <c r="AJ18" s="68">
        <f t="shared" si="33"/>
        <v>8419.4550001671978</v>
      </c>
      <c r="AK18" s="68">
        <f t="shared" si="33"/>
        <v>8455.5230001542404</v>
      </c>
      <c r="AL18" s="68">
        <f t="shared" si="33"/>
        <v>8490.7950001689132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>
      <c r="L19" s="64" t="str">
        <f>'Ind T4'!A21</f>
        <v>Wholesale and retail trade</v>
      </c>
      <c r="M19" s="11">
        <v>4056.4729999577899</v>
      </c>
      <c r="N19" s="11">
        <v>4051.8789999736837</v>
      </c>
      <c r="O19" s="11">
        <v>4135.1129999770637</v>
      </c>
      <c r="P19" s="11">
        <v>4081.9199999776724</v>
      </c>
      <c r="Q19" s="11">
        <v>4177.7060000465817</v>
      </c>
      <c r="R19" s="11">
        <v>4242.0110000769027</v>
      </c>
      <c r="S19" s="11">
        <v>4268.6350000533703</v>
      </c>
      <c r="T19" s="11">
        <v>4278.0670000790806</v>
      </c>
      <c r="U19" s="11">
        <v>4258.8760000667662</v>
      </c>
      <c r="V19" s="11">
        <v>4291.2060000558404</v>
      </c>
      <c r="W19" s="11">
        <v>4259.6270000323857</v>
      </c>
      <c r="X19" s="11">
        <v>4268.1080000760066</v>
      </c>
      <c r="Y19" s="11">
        <v>4268.5780001194744</v>
      </c>
      <c r="Z19" s="11">
        <v>4269.7260001131899</v>
      </c>
      <c r="AA19" s="11">
        <v>4275.5870000994582</v>
      </c>
      <c r="AB19" s="11">
        <v>4283.6300000959154</v>
      </c>
      <c r="AC19" s="11">
        <v>4288.0950000920193</v>
      </c>
      <c r="AD19" s="11">
        <v>4291.5660001008091</v>
      </c>
      <c r="AE19" s="11">
        <v>4294.6100000887782</v>
      </c>
      <c r="AF19" s="11">
        <v>4297.5450000850733</v>
      </c>
      <c r="AG19" s="11">
        <v>4301.370000087375</v>
      </c>
      <c r="AH19" s="11">
        <v>4305.7260000772794</v>
      </c>
      <c r="AI19" s="11">
        <v>4310.1310000742842</v>
      </c>
      <c r="AJ19" s="11">
        <v>4316.3810000846424</v>
      </c>
      <c r="AK19" s="149">
        <v>4322.396000075044</v>
      </c>
      <c r="AL19" s="11">
        <v>4328.4680000838716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>
      <c r="L20" s="64" t="str">
        <f>'Ind T4'!A22</f>
        <v>Transport and storage</v>
      </c>
      <c r="M20" s="11">
        <v>1266.9569999878679</v>
      </c>
      <c r="N20" s="11">
        <v>1291.5059999851399</v>
      </c>
      <c r="O20" s="11">
        <v>1318.1829999883505</v>
      </c>
      <c r="P20" s="11">
        <v>1299.6519999935135</v>
      </c>
      <c r="Q20" s="11">
        <v>1308.7759999885013</v>
      </c>
      <c r="R20" s="11">
        <v>1399.6460000121263</v>
      </c>
      <c r="S20" s="11">
        <v>1504.251000007775</v>
      </c>
      <c r="T20" s="11">
        <v>1520.203999998721</v>
      </c>
      <c r="U20" s="11">
        <v>1517.6000000032971</v>
      </c>
      <c r="V20" s="11">
        <v>1594.7559999919515</v>
      </c>
      <c r="W20" s="11">
        <v>1582.7790000029756</v>
      </c>
      <c r="X20" s="11">
        <v>1654.5580000172224</v>
      </c>
      <c r="Y20" s="11">
        <v>1662.7180000275932</v>
      </c>
      <c r="Z20" s="11">
        <v>1671.4440000356199</v>
      </c>
      <c r="AA20" s="11">
        <v>1681.8330000277078</v>
      </c>
      <c r="AB20" s="11">
        <v>1687.9900000310874</v>
      </c>
      <c r="AC20" s="11">
        <v>1691.7200000335245</v>
      </c>
      <c r="AD20" s="11">
        <v>1695.2090000340261</v>
      </c>
      <c r="AE20" s="11">
        <v>1698.5010000337907</v>
      </c>
      <c r="AF20" s="11">
        <v>1701.8430000343008</v>
      </c>
      <c r="AG20" s="11">
        <v>1705.5800000395025</v>
      </c>
      <c r="AH20" s="11">
        <v>1708.8670000279903</v>
      </c>
      <c r="AI20" s="11">
        <v>1712.060000028715</v>
      </c>
      <c r="AJ20" s="11">
        <v>1715.1210000335682</v>
      </c>
      <c r="AK20" s="149">
        <v>1718.0440000331059</v>
      </c>
      <c r="AL20" s="11">
        <v>1720.9670000344063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>
      <c r="L21" s="64" t="str">
        <f>'Ind T4'!A23</f>
        <v>Accommodation and food</v>
      </c>
      <c r="M21" s="11">
        <v>1624.9979999896614</v>
      </c>
      <c r="N21" s="11">
        <v>1680.427999992904</v>
      </c>
      <c r="O21" s="11">
        <v>1724.5850000026428</v>
      </c>
      <c r="P21" s="11">
        <v>1758.475000002725</v>
      </c>
      <c r="Q21" s="11">
        <v>1868.5960000132134</v>
      </c>
      <c r="R21" s="11">
        <v>1883.3990000314909</v>
      </c>
      <c r="S21" s="11">
        <v>1972.4480000231767</v>
      </c>
      <c r="T21" s="11">
        <v>2025.7860000317025</v>
      </c>
      <c r="U21" s="11">
        <v>2079.3970000307199</v>
      </c>
      <c r="V21" s="11">
        <v>2121.9480000300359</v>
      </c>
      <c r="W21" s="11">
        <v>2036.0990000085039</v>
      </c>
      <c r="X21" s="11">
        <v>1939.2340000316869</v>
      </c>
      <c r="Y21" s="11">
        <v>1980.368000049767</v>
      </c>
      <c r="Z21" s="11">
        <v>2035.3550000496414</v>
      </c>
      <c r="AA21" s="11">
        <v>2089.9870000425926</v>
      </c>
      <c r="AB21" s="11">
        <v>2133.4810000453544</v>
      </c>
      <c r="AC21" s="11">
        <v>2171.274000042124</v>
      </c>
      <c r="AD21" s="11">
        <v>2205.788000047753</v>
      </c>
      <c r="AE21" s="11">
        <v>2238.4670000429592</v>
      </c>
      <c r="AF21" s="11">
        <v>2269.8500000410463</v>
      </c>
      <c r="AG21" s="11">
        <v>2300.7390000471078</v>
      </c>
      <c r="AH21" s="11">
        <v>2330.695000042926</v>
      </c>
      <c r="AI21" s="11">
        <v>2359.8180000433704</v>
      </c>
      <c r="AJ21" s="11">
        <v>2387.9530000489867</v>
      </c>
      <c r="AK21" s="149">
        <v>2415.0830000460905</v>
      </c>
      <c r="AL21" s="11">
        <v>2441.3600000506367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>
      <c r="L22" s="64"/>
      <c r="AK22" s="149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2.95">
      <c r="L23" s="1" t="str">
        <f>'Ind T4'!A25</f>
        <v>Business and other services</v>
      </c>
      <c r="M23" s="68">
        <f>SUM(M24:M31)</f>
        <v>8200.2989999857455</v>
      </c>
      <c r="N23" s="68">
        <f t="shared" ref="N23:AL23" si="34">SUM(N24:N31)</f>
        <v>8279.3959999947765</v>
      </c>
      <c r="O23" s="68">
        <f t="shared" si="34"/>
        <v>8562.5259999756308</v>
      </c>
      <c r="P23" s="68">
        <f t="shared" si="34"/>
        <v>8747.4439999631431</v>
      </c>
      <c r="Q23" s="68">
        <f t="shared" si="34"/>
        <v>9335.5779999993065</v>
      </c>
      <c r="R23" s="68">
        <f t="shared" si="34"/>
        <v>9528.6389999687108</v>
      </c>
      <c r="S23" s="68">
        <f t="shared" si="34"/>
        <v>9735.5489999577385</v>
      </c>
      <c r="T23" s="68">
        <f t="shared" si="34"/>
        <v>9757.2949999792763</v>
      </c>
      <c r="U23" s="68">
        <f t="shared" si="34"/>
        <v>9841.5159999716052</v>
      </c>
      <c r="V23" s="68">
        <f t="shared" si="34"/>
        <v>10098.704999956528</v>
      </c>
      <c r="W23" s="68">
        <f t="shared" si="34"/>
        <v>9932.1719999800225</v>
      </c>
      <c r="X23" s="68">
        <f t="shared" si="34"/>
        <v>10059.770000013947</v>
      </c>
      <c r="Y23" s="68">
        <f t="shared" si="34"/>
        <v>10108.30900008237</v>
      </c>
      <c r="Z23" s="68">
        <f t="shared" si="34"/>
        <v>10175.854000088801</v>
      </c>
      <c r="AA23" s="68">
        <f t="shared" si="34"/>
        <v>10244.823000098164</v>
      </c>
      <c r="AB23" s="68">
        <f t="shared" si="34"/>
        <v>10297.576000103094</v>
      </c>
      <c r="AC23" s="68">
        <f t="shared" si="34"/>
        <v>10353.752000100694</v>
      </c>
      <c r="AD23" s="68">
        <f t="shared" si="34"/>
        <v>10409.153000106702</v>
      </c>
      <c r="AE23" s="68">
        <f t="shared" si="34"/>
        <v>10464.030000095589</v>
      </c>
      <c r="AF23" s="68">
        <f t="shared" si="34"/>
        <v>10519.501000104205</v>
      </c>
      <c r="AG23" s="68">
        <f t="shared" si="34"/>
        <v>10578.028000108479</v>
      </c>
      <c r="AH23" s="68">
        <f t="shared" si="34"/>
        <v>10635.377000104312</v>
      </c>
      <c r="AI23" s="68">
        <f t="shared" si="34"/>
        <v>10693.175000129133</v>
      </c>
      <c r="AJ23" s="68">
        <f t="shared" si="34"/>
        <v>10750.830000110005</v>
      </c>
      <c r="AK23" s="68">
        <f t="shared" si="34"/>
        <v>10808.076000131481</v>
      </c>
      <c r="AL23" s="68">
        <f t="shared" si="34"/>
        <v>10865.118000120065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>
      <c r="L24" s="64" t="str">
        <f>'Ind T4'!A26</f>
        <v>Media</v>
      </c>
      <c r="M24" s="11">
        <v>297.47599999896369</v>
      </c>
      <c r="N24" s="11">
        <v>323.32300000137036</v>
      </c>
      <c r="O24" s="11">
        <v>344.8549999985554</v>
      </c>
      <c r="P24" s="11">
        <v>314.64499999820225</v>
      </c>
      <c r="Q24" s="11">
        <v>347.28600000039063</v>
      </c>
      <c r="R24" s="11">
        <v>339.44299999972964</v>
      </c>
      <c r="S24" s="11">
        <v>329.19299999896765</v>
      </c>
      <c r="T24" s="11">
        <v>355.05599999933003</v>
      </c>
      <c r="U24" s="11">
        <v>342.37499999939416</v>
      </c>
      <c r="V24" s="11">
        <v>345.15599999886933</v>
      </c>
      <c r="W24" s="11">
        <v>348.37000000083754</v>
      </c>
      <c r="X24" s="11">
        <v>349.33500000094017</v>
      </c>
      <c r="Y24" s="11">
        <v>350.37200000511524</v>
      </c>
      <c r="Z24" s="11">
        <v>351.28300000533096</v>
      </c>
      <c r="AA24" s="11">
        <v>352.29600000570389</v>
      </c>
      <c r="AB24" s="11">
        <v>352.73400000566454</v>
      </c>
      <c r="AC24" s="11">
        <v>353.15900000577864</v>
      </c>
      <c r="AD24" s="11">
        <v>353.53900000607388</v>
      </c>
      <c r="AE24" s="11">
        <v>353.93200000557499</v>
      </c>
      <c r="AF24" s="11">
        <v>354.28300000606862</v>
      </c>
      <c r="AG24" s="11">
        <v>354.60800000611624</v>
      </c>
      <c r="AH24" s="11">
        <v>354.9410000054682</v>
      </c>
      <c r="AI24" s="11">
        <v>355.31100000650576</v>
      </c>
      <c r="AJ24" s="11">
        <v>355.70800000561087</v>
      </c>
      <c r="AK24" s="149">
        <v>356.15100000657691</v>
      </c>
      <c r="AL24" s="11">
        <v>356.61500000597562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>
      <c r="L25" s="64" t="str">
        <f>'Ind T4'!A27</f>
        <v>Information technology</v>
      </c>
      <c r="M25" s="11">
        <v>760.80999999950143</v>
      </c>
      <c r="N25" s="11">
        <v>793.28199999912647</v>
      </c>
      <c r="O25" s="11">
        <v>759.54099999646849</v>
      </c>
      <c r="P25" s="11">
        <v>839.66399999475357</v>
      </c>
      <c r="Q25" s="11">
        <v>884.56800000016915</v>
      </c>
      <c r="R25" s="11">
        <v>935.88699998858363</v>
      </c>
      <c r="S25" s="11">
        <v>968.17699999131958</v>
      </c>
      <c r="T25" s="11">
        <v>1004.0979999941973</v>
      </c>
      <c r="U25" s="11">
        <v>1000.2089999904343</v>
      </c>
      <c r="V25" s="11">
        <v>995.06599998853699</v>
      </c>
      <c r="W25" s="11">
        <v>1001.099999995374</v>
      </c>
      <c r="X25" s="11">
        <v>1024.0999999983039</v>
      </c>
      <c r="Y25" s="11">
        <v>1032.6090000038494</v>
      </c>
      <c r="Z25" s="11">
        <v>1050.4780000036353</v>
      </c>
      <c r="AA25" s="11">
        <v>1064.3580000052114</v>
      </c>
      <c r="AB25" s="11">
        <v>1075.7490000069686</v>
      </c>
      <c r="AC25" s="11">
        <v>1086.2860000050784</v>
      </c>
      <c r="AD25" s="11">
        <v>1095.3710000065507</v>
      </c>
      <c r="AE25" s="11">
        <v>1103.9430000036905</v>
      </c>
      <c r="AF25" s="11">
        <v>1112.4430000038133</v>
      </c>
      <c r="AG25" s="11">
        <v>1121.4120000042738</v>
      </c>
      <c r="AH25" s="11">
        <v>1130.1960000044385</v>
      </c>
      <c r="AI25" s="11">
        <v>1138.7620000107261</v>
      </c>
      <c r="AJ25" s="11">
        <v>1146.9500000049195</v>
      </c>
      <c r="AK25" s="149">
        <v>1154.6540000075909</v>
      </c>
      <c r="AL25" s="11">
        <v>1161.9130000073872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>
      <c r="L26" s="64" t="str">
        <f>'Ind T4'!A28</f>
        <v>Finance and insurance</v>
      </c>
      <c r="M26" s="11">
        <v>983.25899999651756</v>
      </c>
      <c r="N26" s="11">
        <v>991.01400000012643</v>
      </c>
      <c r="O26" s="11">
        <v>1001.8109999942344</v>
      </c>
      <c r="P26" s="11">
        <v>977.59199999368445</v>
      </c>
      <c r="Q26" s="11">
        <v>990.06599999962862</v>
      </c>
      <c r="R26" s="11">
        <v>974.2699999908973</v>
      </c>
      <c r="S26" s="11">
        <v>980.937999991987</v>
      </c>
      <c r="T26" s="11">
        <v>974.26699999793243</v>
      </c>
      <c r="U26" s="11">
        <v>966.4309999930922</v>
      </c>
      <c r="V26" s="11">
        <v>998.31399998994914</v>
      </c>
      <c r="W26" s="11">
        <v>1005.1659999970661</v>
      </c>
      <c r="X26" s="11">
        <v>1022.1580000035933</v>
      </c>
      <c r="Y26" s="11">
        <v>1019.1320000115579</v>
      </c>
      <c r="Z26" s="11">
        <v>1015.4570000119663</v>
      </c>
      <c r="AA26" s="11">
        <v>1010.0940000152184</v>
      </c>
      <c r="AB26" s="11">
        <v>1006.8290000139851</v>
      </c>
      <c r="AC26" s="11">
        <v>1004.6940000142988</v>
      </c>
      <c r="AD26" s="11">
        <v>1002.4470000154088</v>
      </c>
      <c r="AE26" s="11">
        <v>1000.119000013176</v>
      </c>
      <c r="AF26" s="11">
        <v>997.73900001524021</v>
      </c>
      <c r="AG26" s="11">
        <v>995.58800001407826</v>
      </c>
      <c r="AH26" s="11">
        <v>992.80400001521218</v>
      </c>
      <c r="AI26" s="11">
        <v>990.04400001846784</v>
      </c>
      <c r="AJ26" s="11">
        <v>987.29100001526206</v>
      </c>
      <c r="AK26" s="149">
        <v>984.51500001823308</v>
      </c>
      <c r="AL26" s="11">
        <v>981.78100001699806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>
      <c r="L27" s="64" t="str">
        <f>'Ind T4'!A29</f>
        <v>Real estate</v>
      </c>
      <c r="M27" s="11">
        <v>432.79799999899893</v>
      </c>
      <c r="N27" s="11">
        <v>408.4519999988687</v>
      </c>
      <c r="O27" s="11">
        <v>429.84799999809735</v>
      </c>
      <c r="P27" s="11">
        <v>475.35799999767914</v>
      </c>
      <c r="Q27" s="11">
        <v>481.40299999926708</v>
      </c>
      <c r="R27" s="11">
        <v>499.70899999841942</v>
      </c>
      <c r="S27" s="11">
        <v>510.63899999778738</v>
      </c>
      <c r="T27" s="11">
        <v>482.55199999992107</v>
      </c>
      <c r="U27" s="11">
        <v>492.30799999926938</v>
      </c>
      <c r="V27" s="11">
        <v>512.23999999889168</v>
      </c>
      <c r="W27" s="11">
        <v>566.08499999821879</v>
      </c>
      <c r="X27" s="11">
        <v>558.75400000172283</v>
      </c>
      <c r="Y27" s="11">
        <v>550.23500000391255</v>
      </c>
      <c r="Z27" s="11">
        <v>545.7630000040383</v>
      </c>
      <c r="AA27" s="11">
        <v>545.35300000419397</v>
      </c>
      <c r="AB27" s="11">
        <v>548.04900000421856</v>
      </c>
      <c r="AC27" s="11">
        <v>552.08000000402296</v>
      </c>
      <c r="AD27" s="11">
        <v>556.75700000469556</v>
      </c>
      <c r="AE27" s="11">
        <v>561.76500000353155</v>
      </c>
      <c r="AF27" s="11">
        <v>566.92600000394145</v>
      </c>
      <c r="AG27" s="11">
        <v>572.1310000041218</v>
      </c>
      <c r="AH27" s="11">
        <v>577.38000000424779</v>
      </c>
      <c r="AI27" s="11">
        <v>582.6170000052274</v>
      </c>
      <c r="AJ27" s="11">
        <v>587.7940000043443</v>
      </c>
      <c r="AK27" s="149">
        <v>592.88300000493268</v>
      </c>
      <c r="AL27" s="11">
        <v>597.86400000572326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>
      <c r="L28" s="64" t="str">
        <f>'Ind T4'!A30</f>
        <v>Professional services</v>
      </c>
      <c r="M28" s="11">
        <v>2143.0900000010843</v>
      </c>
      <c r="N28" s="11">
        <v>2134.6040000009011</v>
      </c>
      <c r="O28" s="11">
        <v>2241.9039999856136</v>
      </c>
      <c r="P28" s="11">
        <v>2332.218999982736</v>
      </c>
      <c r="Q28" s="11">
        <v>2540.367999999035</v>
      </c>
      <c r="R28" s="11">
        <v>2607.93099996616</v>
      </c>
      <c r="S28" s="11">
        <v>2696.4509999721113</v>
      </c>
      <c r="T28" s="11">
        <v>2673.5109999787369</v>
      </c>
      <c r="U28" s="11">
        <v>2706.9349999694805</v>
      </c>
      <c r="V28" s="11">
        <v>2881.7529999625131</v>
      </c>
      <c r="W28" s="11">
        <v>2807.1649999885508</v>
      </c>
      <c r="X28" s="11">
        <v>2862.216999995378</v>
      </c>
      <c r="Y28" s="11">
        <v>2881.2660000192927</v>
      </c>
      <c r="Z28" s="11">
        <v>2904.8620000225137</v>
      </c>
      <c r="AA28" s="11">
        <v>2929.5990000323973</v>
      </c>
      <c r="AB28" s="11">
        <v>2948.7560000339622</v>
      </c>
      <c r="AC28" s="11">
        <v>2966.3190000332293</v>
      </c>
      <c r="AD28" s="11">
        <v>2984.5950000356297</v>
      </c>
      <c r="AE28" s="11">
        <v>3003.4460000334138</v>
      </c>
      <c r="AF28" s="11">
        <v>3022.9940000370279</v>
      </c>
      <c r="AG28" s="11">
        <v>3043.1240000375374</v>
      </c>
      <c r="AH28" s="11">
        <v>3062.6470000400873</v>
      </c>
      <c r="AI28" s="11">
        <v>3082.2100000499877</v>
      </c>
      <c r="AJ28" s="11">
        <v>3101.7740000404069</v>
      </c>
      <c r="AK28" s="149">
        <v>3121.304000052522</v>
      </c>
      <c r="AL28" s="11">
        <v>3140.8240000427536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>
      <c r="L29" s="64" t="str">
        <f>'Ind T4'!A31</f>
        <v>Support services</v>
      </c>
      <c r="M29" s="11">
        <v>2093.1599999953023</v>
      </c>
      <c r="N29" s="11">
        <v>2118.5259999962964</v>
      </c>
      <c r="O29" s="11">
        <v>2265.3050000050807</v>
      </c>
      <c r="P29" s="11">
        <v>2259.9250000021561</v>
      </c>
      <c r="Q29" s="11">
        <v>2442.016000000016</v>
      </c>
      <c r="R29" s="11">
        <v>2500.2860000175156</v>
      </c>
      <c r="S29" s="11">
        <v>2603.3090000076581</v>
      </c>
      <c r="T29" s="11">
        <v>2613.9500000120224</v>
      </c>
      <c r="U29" s="11">
        <v>2626.9930000152895</v>
      </c>
      <c r="V29" s="11">
        <v>2639.3450000139492</v>
      </c>
      <c r="W29" s="11">
        <v>2483.2400000001271</v>
      </c>
      <c r="X29" s="11">
        <v>2520.477000011851</v>
      </c>
      <c r="Y29" s="11">
        <v>2566.6380000190579</v>
      </c>
      <c r="Z29" s="11">
        <v>2592.9610000201742</v>
      </c>
      <c r="AA29" s="11">
        <v>2613.9030000151015</v>
      </c>
      <c r="AB29" s="11">
        <v>2630.4030000157918</v>
      </c>
      <c r="AC29" s="11">
        <v>2648.9650000156394</v>
      </c>
      <c r="AD29" s="11">
        <v>2667.2480000162054</v>
      </c>
      <c r="AE29" s="11">
        <v>2685.3820000140649</v>
      </c>
      <c r="AF29" s="11">
        <v>2703.5130000140916</v>
      </c>
      <c r="AG29" s="11">
        <v>2722.1740000165873</v>
      </c>
      <c r="AH29" s="11">
        <v>2740.1770000131851</v>
      </c>
      <c r="AI29" s="11">
        <v>2758.2030000131117</v>
      </c>
      <c r="AJ29" s="11">
        <v>2776.2470000156209</v>
      </c>
      <c r="AK29" s="149">
        <v>2794.3160000135863</v>
      </c>
      <c r="AL29" s="11">
        <v>2812.462000016435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>
      <c r="L30" s="64" t="str">
        <f>'Ind T4'!A32</f>
        <v>Arts and entertainment</v>
      </c>
      <c r="M30" s="11">
        <v>725.12999999931753</v>
      </c>
      <c r="N30" s="11">
        <v>733.99999999981753</v>
      </c>
      <c r="O30" s="11">
        <v>762.8070000000165</v>
      </c>
      <c r="P30" s="11">
        <v>768.14899999827071</v>
      </c>
      <c r="Q30" s="11">
        <v>803.96300000198312</v>
      </c>
      <c r="R30" s="11">
        <v>835.68700000489434</v>
      </c>
      <c r="S30" s="11">
        <v>810.65900000023544</v>
      </c>
      <c r="T30" s="11">
        <v>828.30599999962283</v>
      </c>
      <c r="U30" s="11">
        <v>861.21200000196563</v>
      </c>
      <c r="V30" s="11">
        <v>862.71200000122587</v>
      </c>
      <c r="W30" s="11">
        <v>864.73800000221956</v>
      </c>
      <c r="X30" s="11">
        <v>872.54300000246803</v>
      </c>
      <c r="Y30" s="11">
        <v>862.31200001199034</v>
      </c>
      <c r="Z30" s="11">
        <v>867.61300001310462</v>
      </c>
      <c r="AA30" s="11">
        <v>879.46700001312934</v>
      </c>
      <c r="AB30" s="11">
        <v>885.60900001445032</v>
      </c>
      <c r="AC30" s="11">
        <v>893.53000001448095</v>
      </c>
      <c r="AD30" s="11">
        <v>901.06400001497707</v>
      </c>
      <c r="AE30" s="11">
        <v>907.59500001533866</v>
      </c>
      <c r="AF30" s="11">
        <v>913.66700001655499</v>
      </c>
      <c r="AG30" s="11">
        <v>920.38700001734753</v>
      </c>
      <c r="AH30" s="11">
        <v>927.61200001475117</v>
      </c>
      <c r="AI30" s="11">
        <v>935.12400001677611</v>
      </c>
      <c r="AJ30" s="11">
        <v>942.67000001617123</v>
      </c>
      <c r="AK30" s="149">
        <v>950.15000001839201</v>
      </c>
      <c r="AL30" s="11">
        <v>957.57500001578944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>
      <c r="L31" s="64" t="str">
        <f>'Ind T4'!A33</f>
        <v>Other services</v>
      </c>
      <c r="M31" s="11">
        <v>764.57599999605861</v>
      </c>
      <c r="N31" s="11">
        <v>776.19499999826894</v>
      </c>
      <c r="O31" s="11">
        <v>756.45499999756578</v>
      </c>
      <c r="P31" s="11">
        <v>779.89199999566142</v>
      </c>
      <c r="Q31" s="11">
        <v>845.90799999881631</v>
      </c>
      <c r="R31" s="11">
        <v>835.42600000250945</v>
      </c>
      <c r="S31" s="11">
        <v>836.18299999767191</v>
      </c>
      <c r="T31" s="11">
        <v>825.55499999751282</v>
      </c>
      <c r="U31" s="11">
        <v>845.05300000267937</v>
      </c>
      <c r="V31" s="11">
        <v>864.11900000259277</v>
      </c>
      <c r="W31" s="11">
        <v>856.30799999762871</v>
      </c>
      <c r="X31" s="11">
        <v>850.18599999968876</v>
      </c>
      <c r="Y31" s="11">
        <v>845.74500000759303</v>
      </c>
      <c r="Z31" s="11">
        <v>847.43700000803665</v>
      </c>
      <c r="AA31" s="11">
        <v>849.75300000720813</v>
      </c>
      <c r="AB31" s="11">
        <v>849.44700000805233</v>
      </c>
      <c r="AC31" s="11">
        <v>848.71900000816447</v>
      </c>
      <c r="AD31" s="11">
        <v>848.13200000716142</v>
      </c>
      <c r="AE31" s="11">
        <v>847.84800000679911</v>
      </c>
      <c r="AF31" s="11">
        <v>847.93600000746767</v>
      </c>
      <c r="AG31" s="11">
        <v>848.60400000841764</v>
      </c>
      <c r="AH31" s="11">
        <v>849.62000000692228</v>
      </c>
      <c r="AI31" s="11">
        <v>850.90400000833165</v>
      </c>
      <c r="AJ31" s="11">
        <v>852.3960000076687</v>
      </c>
      <c r="AK31" s="149">
        <v>854.10300000964696</v>
      </c>
      <c r="AL31" s="11">
        <v>856.08400000900122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>
      <c r="L32" s="64"/>
      <c r="AK32" s="149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2.95">
      <c r="L33" s="1" t="str">
        <f>'Ind T4'!A35</f>
        <v>Non-marketed services</v>
      </c>
      <c r="M33" s="68">
        <f>SUM(M34:M36)</f>
        <v>6828.4690000801656</v>
      </c>
      <c r="N33" s="68">
        <f t="shared" ref="N33:P33" si="35">SUM(N34:N36)</f>
        <v>6756.340000071481</v>
      </c>
      <c r="O33" s="68">
        <f t="shared" si="35"/>
        <v>6747.5740000710593</v>
      </c>
      <c r="P33" s="68">
        <f t="shared" si="35"/>
        <v>6876.438000088945</v>
      </c>
      <c r="Q33" s="68">
        <f>SUM(Q34:Q36)</f>
        <v>7005.0639999851373</v>
      </c>
      <c r="R33" s="68">
        <f t="shared" ref="R33" si="36">SUM(R34:R36)</f>
        <v>7049.2849999266746</v>
      </c>
      <c r="S33" s="68">
        <f t="shared" ref="S33" si="37">SUM(S34:S36)</f>
        <v>7114.7649999842597</v>
      </c>
      <c r="T33" s="68">
        <f t="shared" ref="T33" si="38">SUM(T34:T36)</f>
        <v>7163.4749998905318</v>
      </c>
      <c r="U33" s="68">
        <f t="shared" ref="U33" si="39">SUM(U34:U36)</f>
        <v>7156.7549998943869</v>
      </c>
      <c r="V33" s="68">
        <f t="shared" ref="V33" si="40">SUM(V34:V36)</f>
        <v>7255.9809999418103</v>
      </c>
      <c r="W33" s="68">
        <f t="shared" ref="W33" si="41">SUM(W34:W36)</f>
        <v>7286.2550000047504</v>
      </c>
      <c r="X33" s="68">
        <f t="shared" ref="X33" si="42">SUM(X34:X36)</f>
        <v>7344.6139999019524</v>
      </c>
      <c r="Y33" s="68">
        <f t="shared" ref="Y33" si="43">SUM(Y34:Y36)</f>
        <v>7396.1379997879094</v>
      </c>
      <c r="Z33" s="68">
        <f t="shared" ref="Z33" si="44">SUM(Z34:Z36)</f>
        <v>7447.3569997860614</v>
      </c>
      <c r="AA33" s="68">
        <f t="shared" ref="AA33" si="45">SUM(AA34:AA36)</f>
        <v>7511.6519997938785</v>
      </c>
      <c r="AB33" s="68">
        <f t="shared" ref="AB33" si="46">SUM(AB34:AB36)</f>
        <v>7562.1109998010315</v>
      </c>
      <c r="AC33" s="68">
        <f t="shared" ref="AC33" si="47">SUM(AC34:AC36)</f>
        <v>7599.5509997981035</v>
      </c>
      <c r="AD33" s="68">
        <f t="shared" ref="AD33" si="48">SUM(AD34:AD36)</f>
        <v>7634.9999997912946</v>
      </c>
      <c r="AE33" s="68">
        <f t="shared" ref="AE33" si="49">SUM(AE34:AE36)</f>
        <v>7670.1289998097509</v>
      </c>
      <c r="AF33" s="68">
        <f t="shared" ref="AF33" si="50">SUM(AF34:AF36)</f>
        <v>7705.6579997994977</v>
      </c>
      <c r="AG33" s="68">
        <f t="shared" ref="AG33:AL33" si="51">SUM(AG34:AG36)</f>
        <v>7743.1739998006524</v>
      </c>
      <c r="AH33" s="68">
        <f t="shared" si="51"/>
        <v>7780.4879998130582</v>
      </c>
      <c r="AI33" s="68">
        <f t="shared" si="51"/>
        <v>7817.7619998056161</v>
      </c>
      <c r="AJ33" s="68">
        <f t="shared" si="51"/>
        <v>7855.2439997839519</v>
      </c>
      <c r="AK33" s="68">
        <f t="shared" si="51"/>
        <v>7893.0809997928745</v>
      </c>
      <c r="AL33" s="68">
        <f t="shared" si="51"/>
        <v>7931.3149997771043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>
      <c r="L34" s="64" t="str">
        <f>'Ind T4'!A36</f>
        <v>Public admin. and defence</v>
      </c>
      <c r="M34" s="11">
        <v>1245.6210000029785</v>
      </c>
      <c r="N34" s="11">
        <v>1159.4129999991126</v>
      </c>
      <c r="O34" s="11">
        <v>1107.3339999966629</v>
      </c>
      <c r="P34" s="11">
        <v>1093.0559999979534</v>
      </c>
      <c r="Q34" s="11">
        <v>1091.372999996287</v>
      </c>
      <c r="R34" s="11">
        <v>1050.7089999919904</v>
      </c>
      <c r="S34" s="11">
        <v>1037.888999994032</v>
      </c>
      <c r="T34" s="11">
        <v>1035.2469999940065</v>
      </c>
      <c r="U34" s="11">
        <v>1048.7939999940832</v>
      </c>
      <c r="V34" s="11">
        <v>1063.7109999941283</v>
      </c>
      <c r="W34" s="11">
        <v>1106.4329999966935</v>
      </c>
      <c r="X34" s="11">
        <v>1109.2669999968014</v>
      </c>
      <c r="Y34" s="11">
        <v>1119.2319999982833</v>
      </c>
      <c r="Z34" s="11">
        <v>1124.7779999996096</v>
      </c>
      <c r="AA34" s="11">
        <v>1131.8160000016144</v>
      </c>
      <c r="AB34" s="11">
        <v>1135.5730000015953</v>
      </c>
      <c r="AC34" s="11">
        <v>1137.8700000023682</v>
      </c>
      <c r="AD34" s="11">
        <v>1140.1490000022111</v>
      </c>
      <c r="AE34" s="11">
        <v>1142.4200000021647</v>
      </c>
      <c r="AF34" s="11">
        <v>1144.6870000030165</v>
      </c>
      <c r="AG34" s="11">
        <v>1146.9890000029991</v>
      </c>
      <c r="AH34" s="11">
        <v>1149.1990000041685</v>
      </c>
      <c r="AI34" s="11">
        <v>1151.4220000052908</v>
      </c>
      <c r="AJ34" s="11">
        <v>1153.6280000035206</v>
      </c>
      <c r="AK34" s="149">
        <v>1155.8330000053081</v>
      </c>
      <c r="AL34" s="11">
        <v>1158.0480000035327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>
      <c r="L35" s="64" t="str">
        <f>'Ind T4'!A37</f>
        <v>Education</v>
      </c>
      <c r="M35" s="11">
        <v>2349.7920000403055</v>
      </c>
      <c r="N35" s="11">
        <v>2328.434000047067</v>
      </c>
      <c r="O35" s="11">
        <v>2355.5810000448514</v>
      </c>
      <c r="P35" s="11">
        <v>2409.309000055568</v>
      </c>
      <c r="Q35" s="11">
        <v>2466.0289999994457</v>
      </c>
      <c r="R35" s="11">
        <v>2527.3159999829509</v>
      </c>
      <c r="S35" s="11">
        <v>2549.8929999975603</v>
      </c>
      <c r="T35" s="11">
        <v>2508.3709999225484</v>
      </c>
      <c r="U35" s="11">
        <v>2525.9009999467689</v>
      </c>
      <c r="V35" s="11">
        <v>2523.7989999872166</v>
      </c>
      <c r="W35" s="11">
        <v>2531.7800000136781</v>
      </c>
      <c r="X35" s="11">
        <v>2523.7529999166381</v>
      </c>
      <c r="Y35" s="11">
        <v>2517.9739998387959</v>
      </c>
      <c r="Z35" s="11">
        <v>2523.6319998318372</v>
      </c>
      <c r="AA35" s="11">
        <v>2532.3849998365276</v>
      </c>
      <c r="AB35" s="11">
        <v>2543.3239998430904</v>
      </c>
      <c r="AC35" s="11">
        <v>2550.0489998427875</v>
      </c>
      <c r="AD35" s="11">
        <v>2556.9479998405918</v>
      </c>
      <c r="AE35" s="11">
        <v>2564.2159998611078</v>
      </c>
      <c r="AF35" s="11">
        <v>2572.1239998579772</v>
      </c>
      <c r="AG35" s="11">
        <v>2582.184999856418</v>
      </c>
      <c r="AH35" s="11">
        <v>2592.3189998665021</v>
      </c>
      <c r="AI35" s="11">
        <v>2602.4839998574985</v>
      </c>
      <c r="AJ35" s="11">
        <v>2612.687999851622</v>
      </c>
      <c r="AK35" s="149">
        <v>2622.936999859287</v>
      </c>
      <c r="AL35" s="11">
        <v>2633.2329998416349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>
      <c r="L36" s="64" t="str">
        <f>'Ind T4'!A38</f>
        <v>Health and social work</v>
      </c>
      <c r="M36" s="11">
        <v>3233.056000036881</v>
      </c>
      <c r="N36" s="11">
        <v>3268.4930000253012</v>
      </c>
      <c r="O36" s="11">
        <v>3284.6590000295455</v>
      </c>
      <c r="P36" s="11">
        <v>3374.0730000354238</v>
      </c>
      <c r="Q36" s="11">
        <v>3447.6619999894051</v>
      </c>
      <c r="R36" s="11">
        <v>3471.2599999517329</v>
      </c>
      <c r="S36" s="11">
        <v>3526.9829999926669</v>
      </c>
      <c r="T36" s="11">
        <v>3619.8569999739766</v>
      </c>
      <c r="U36" s="11">
        <v>3582.0599999535343</v>
      </c>
      <c r="V36" s="11">
        <v>3668.4709999604656</v>
      </c>
      <c r="W36" s="11">
        <v>3648.0419999943783</v>
      </c>
      <c r="X36" s="11">
        <v>3711.5939999885136</v>
      </c>
      <c r="Y36" s="11">
        <v>3758.9319999508302</v>
      </c>
      <c r="Z36" s="11">
        <v>3798.946999954615</v>
      </c>
      <c r="AA36" s="11">
        <v>3847.4509999557367</v>
      </c>
      <c r="AB36" s="11">
        <v>3883.213999956346</v>
      </c>
      <c r="AC36" s="11">
        <v>3911.6319999529478</v>
      </c>
      <c r="AD36" s="11">
        <v>3937.9029999484919</v>
      </c>
      <c r="AE36" s="11">
        <v>3963.4929999464789</v>
      </c>
      <c r="AF36" s="11">
        <v>3988.8469999385038</v>
      </c>
      <c r="AG36" s="11">
        <v>4013.9999999412348</v>
      </c>
      <c r="AH36" s="11">
        <v>4038.9699999423879</v>
      </c>
      <c r="AI36" s="11">
        <v>4063.8559999428267</v>
      </c>
      <c r="AJ36" s="11">
        <v>4088.9279999288096</v>
      </c>
      <c r="AK36" s="149">
        <v>4114.3109999282797</v>
      </c>
      <c r="AL36" s="11">
        <v>4140.0339999319367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>
      <c r="L37" s="341"/>
      <c r="AH37" s="11"/>
      <c r="AI37" s="11"/>
      <c r="AJ37" s="11"/>
      <c r="AK37" s="149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2.95">
      <c r="L38" s="1" t="str">
        <f>'Ind T4'!A40</f>
        <v>All industries</v>
      </c>
      <c r="M38" s="68">
        <f>SUM(M5,M11,M16,M18,M23,M33)</f>
        <v>26471.260999999191</v>
      </c>
      <c r="N38" s="68">
        <f t="shared" ref="N38:P38" si="52">SUM(N5,N11,N16,N18,N23,N33)</f>
        <v>26495.598999998823</v>
      </c>
      <c r="O38" s="68">
        <f t="shared" si="52"/>
        <v>27004.439000000282</v>
      </c>
      <c r="P38" s="68">
        <f t="shared" si="52"/>
        <v>27167.130999998255</v>
      </c>
      <c r="Q38" s="68">
        <f>SUM(Q5,Q11,Q16,Q18,Q23,Q33)</f>
        <v>28227.370999996943</v>
      </c>
      <c r="R38" s="68">
        <f t="shared" ref="R38:AL38" si="53">SUM(R5,R11,R16,R18,R23,R33)</f>
        <v>28656.171999997765</v>
      </c>
      <c r="S38" s="68">
        <f t="shared" si="53"/>
        <v>29271.389999995692</v>
      </c>
      <c r="T38" s="68">
        <f t="shared" si="53"/>
        <v>29560.386999995244</v>
      </c>
      <c r="U38" s="68">
        <f t="shared" si="53"/>
        <v>29694.024999995781</v>
      </c>
      <c r="V38" s="68">
        <f t="shared" si="53"/>
        <v>30212.759999993876</v>
      </c>
      <c r="W38" s="68">
        <f t="shared" si="53"/>
        <v>29859.680999995202</v>
      </c>
      <c r="X38" s="68">
        <f t="shared" si="53"/>
        <v>30001.119000003011</v>
      </c>
      <c r="Y38" s="68">
        <f t="shared" si="53"/>
        <v>30149.171000008053</v>
      </c>
      <c r="Z38" s="68">
        <f t="shared" si="53"/>
        <v>30361.640000009811</v>
      </c>
      <c r="AA38" s="68">
        <f t="shared" si="53"/>
        <v>30593.802000010444</v>
      </c>
      <c r="AB38" s="68">
        <f t="shared" si="53"/>
        <v>30754.748000010724</v>
      </c>
      <c r="AC38" s="68">
        <f t="shared" si="53"/>
        <v>30893.187000012313</v>
      </c>
      <c r="AD38" s="68">
        <f>SUM(AD5,AD11,AD16,AD18,AD23,AD33)</f>
        <v>31018.914000010605</v>
      </c>
      <c r="AE38" s="68">
        <f t="shared" si="53"/>
        <v>31143.820000008898</v>
      </c>
      <c r="AF38" s="68">
        <f t="shared" si="53"/>
        <v>31267.82400000967</v>
      </c>
      <c r="AG38" s="68">
        <f t="shared" si="53"/>
        <v>31402.526000010828</v>
      </c>
      <c r="AH38" s="68">
        <f t="shared" si="53"/>
        <v>31534.749000009935</v>
      </c>
      <c r="AI38" s="68">
        <f t="shared" si="53"/>
        <v>31667.528000010796</v>
      </c>
      <c r="AJ38" s="68">
        <f t="shared" si="53"/>
        <v>31801.975000010731</v>
      </c>
      <c r="AK38" s="68">
        <f t="shared" si="53"/>
        <v>31935.797000011826</v>
      </c>
      <c r="AL38" s="68">
        <f t="shared" si="53"/>
        <v>32070.091000012537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6">
      <c r="A47" s="61" t="str">
        <f>CONCATENATE("Industry Figure 2.1  Change in Employment in ",$L$5,", ",$M$2,"-",$O$2,", ",Info!B5)</f>
        <v>Industry Figure 2.1  Change in Employment in Primary sector and utilities, 2010-2035,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6">
      <c r="A77" s="61" t="str">
        <f>CONCATENATE("Industry Figure 2.2  Change in Employment in ",$L$11,", ",$M$2,"-",$O$2,", ",Info!B5)</f>
        <v>Industry Figure 2.2  Change in Employment in Manufacturing, 2010-2035,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>
      <c r="AL79" s="11"/>
    </row>
    <row r="107" spans="1:1" ht="15.6">
      <c r="A107" s="61" t="str">
        <f>CONCATENATE("Industry Figure 2.3  Change in Employment in ",$L$16,", ",$M$2,"-",$O$2,", ",Info!B5)</f>
        <v>Industry Figure 2.3  Change in Employment in Construction, 2010-2035, England</v>
      </c>
    </row>
    <row r="137" spans="1:1" ht="15.6">
      <c r="A137" s="61" t="str">
        <f>CONCATENATE("Industry Figure 2.4  Change in Employment in ",$L$18,", ",$M$2,"-",$O$2,", ",Info!B5)</f>
        <v>Industry Figure 2.4  Change in Employment in Trade, accomod. and transport, 2010-2035, England</v>
      </c>
    </row>
    <row r="167" spans="1:1" ht="15.6">
      <c r="A167" s="61" t="str">
        <f>CONCATENATE("Industry Figure 2.5  Change in Employment in ",$L$23,", ",$M$2,"- ",$O$2,", ",Info!B5)</f>
        <v>Industry Figure 2.5  Change in Employment in Business and other services, 2010- 2035, England</v>
      </c>
    </row>
    <row r="197" spans="1:1" ht="15.6">
      <c r="A197" s="61" t="str">
        <f>CONCATENATE("Industry Figure 2.6  Change in Employment in ",$L$33,", ",$M$2,"-",$O$2,", ",Info!B5)</f>
        <v>Industry Figure 2.6  Change in Employment in Non-marketed services, 2010-2035, England</v>
      </c>
    </row>
    <row r="227" spans="1:15" ht="15.6">
      <c r="A227" s="61" t="str">
        <f>CONCATENATE("Industry Figure 2.7  Employment trends by broad sector (SIC 2007), shares in %, ",$M$230,"-",$O$230,", ",Info!B5)</f>
        <v>Industry Figure 2.7  Employment trends by broad sector (SIC 2007), shares in %, 2015-2035, England</v>
      </c>
      <c r="L227" s="35" t="s">
        <v>167</v>
      </c>
    </row>
    <row r="228" spans="1:15" ht="12.95">
      <c r="L228" s="24" t="s">
        <v>168</v>
      </c>
    </row>
    <row r="230" spans="1:1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>
      <c r="L231" t="str">
        <f>L33</f>
        <v>Non-marketed services</v>
      </c>
      <c r="M231" s="30">
        <f>'Ind T1'!B25</f>
        <v>24.599534787574644</v>
      </c>
      <c r="N231" s="30">
        <f>'Ind T1'!D25</f>
        <v>24.401650506600923</v>
      </c>
      <c r="O231" s="30">
        <f>'Ind T1'!F25</f>
        <v>24.731189567793884</v>
      </c>
    </row>
    <row r="232" spans="1:15">
      <c r="L232" t="str">
        <f>L23</f>
        <v>Business and other services</v>
      </c>
      <c r="M232" s="30">
        <f>'Ind T1'!B24</f>
        <v>33.251611554988756</v>
      </c>
      <c r="N232" s="30">
        <f>'Ind T1'!D24</f>
        <v>33.262820188807844</v>
      </c>
      <c r="O232" s="30">
        <f>'Ind T1'!F24</f>
        <v>33.879286466994486</v>
      </c>
    </row>
    <row r="233" spans="1:15">
      <c r="L233" t="str">
        <f>L18</f>
        <v>Trade, accomod. and transport</v>
      </c>
      <c r="M233" s="30">
        <f>'Ind T1'!B23</f>
        <v>26.259808882083433</v>
      </c>
      <c r="N233" s="30">
        <f>'Ind T1'!D23</f>
        <v>26.385094335217889</v>
      </c>
      <c r="O233" s="30">
        <f>'Ind T1'!F23</f>
        <v>26.475743396442486</v>
      </c>
    </row>
    <row r="234" spans="1:15">
      <c r="L234" t="str">
        <f>L16</f>
        <v>Construction</v>
      </c>
      <c r="M234" s="30">
        <f>'Ind T1'!B22</f>
        <v>6.2826046688388368</v>
      </c>
      <c r="N234" s="30">
        <f>'Ind T1'!D22</f>
        <v>6.697308655014508</v>
      </c>
      <c r="O234" s="30">
        <f>'Ind T1'!F22</f>
        <v>7.0218603368846475</v>
      </c>
    </row>
    <row r="235" spans="1:15">
      <c r="L235" t="str">
        <f>L11</f>
        <v>Manufacturing</v>
      </c>
      <c r="M235" s="30">
        <f>'Ind T1'!B21</f>
        <v>7.6690005908649299</v>
      </c>
      <c r="N235" s="30">
        <f>'Ind T1'!D21</f>
        <v>7.3959597893780327</v>
      </c>
      <c r="O235" s="30">
        <f>'Ind T1'!F21</f>
        <v>6.1089973209394337</v>
      </c>
    </row>
    <row r="236" spans="1:15">
      <c r="L236" t="str">
        <f>L5</f>
        <v>Primary sector and utilities</v>
      </c>
      <c r="M236" s="30">
        <f>'Ind T1'!B20</f>
        <v>1.9374395156493867</v>
      </c>
      <c r="N236" s="30">
        <f>'Ind T1'!D20</f>
        <v>1.8571665249807985</v>
      </c>
      <c r="O236" s="30">
        <f>'Ind T1'!F20</f>
        <v>1.7829229109450715</v>
      </c>
    </row>
    <row r="257" spans="1:16" ht="15.6">
      <c r="A257" s="61" t="str">
        <f>CONCATENATE("Industry Figure 2.8  Employment trends by broad sector (SIC 2007), change in thousands, ",$M$230,"-",$O$230,", ",Info!B5)</f>
        <v>Industry Figure 2.8  Employment trends by broad sector (SIC 2007), change in thousands, 2015-2035, England</v>
      </c>
      <c r="L257" s="35" t="s">
        <v>169</v>
      </c>
    </row>
    <row r="258" spans="1:16" ht="12.95">
      <c r="L258" s="24" t="s">
        <v>170</v>
      </c>
      <c r="M258" s="10"/>
      <c r="N258" s="10"/>
      <c r="O258" s="10"/>
    </row>
    <row r="259" spans="1:16">
      <c r="P259" s="10"/>
    </row>
    <row r="260" spans="1:16">
      <c r="N260" s="10" t="str">
        <f>'Ind T1'!R4</f>
        <v>2015-2020</v>
      </c>
      <c r="O260" s="10" t="str">
        <f>'Ind T1'!F44</f>
        <v>2020-2035</v>
      </c>
      <c r="P260" s="11"/>
    </row>
    <row r="261" spans="1:16">
      <c r="L261" t="str">
        <f t="shared" ref="L261:L266" si="54">L231</f>
        <v>Non-marketed services</v>
      </c>
      <c r="N261" s="11">
        <f>'Ind T1'!D12-'Ind T1'!B12</f>
        <v>236.97000007807492</v>
      </c>
      <c r="O261" s="11">
        <f>'Ind T1'!F50</f>
        <v>645.05999977235479</v>
      </c>
      <c r="P261" s="11"/>
    </row>
    <row r="262" spans="1:16">
      <c r="L262" t="str">
        <f t="shared" si="54"/>
        <v>Business and other services</v>
      </c>
      <c r="N262" s="11">
        <f>'Ind T1'!D11-'Ind T1'!B11</f>
        <v>403.53300001131538</v>
      </c>
      <c r="O262" s="11">
        <f>'Ind T1'!F49</f>
        <v>932.94600014003663</v>
      </c>
      <c r="P262" s="11"/>
    </row>
    <row r="263" spans="1:16">
      <c r="L263" t="str">
        <f t="shared" si="54"/>
        <v>Trade, accomod. and transport</v>
      </c>
      <c r="N263" s="11">
        <f>'Ind T1'!D10-'Ind T1'!B10</f>
        <v>353.44899992334649</v>
      </c>
      <c r="O263" s="11">
        <f>'Ind T1'!F48</f>
        <v>612.2900001250473</v>
      </c>
      <c r="P263" s="11"/>
    </row>
    <row r="264" spans="1:16">
      <c r="L264" t="str">
        <f t="shared" si="54"/>
        <v>Construction</v>
      </c>
      <c r="N264" s="11">
        <f>'Ind T1'!D9-'Ind T1'!B9</f>
        <v>199.44099999005448</v>
      </c>
      <c r="O264" s="11">
        <f>'Ind T1'!F47</f>
        <v>252.1219999602913</v>
      </c>
      <c r="P264" s="11"/>
    </row>
    <row r="265" spans="1:16">
      <c r="L265" t="str">
        <f t="shared" si="54"/>
        <v>Manufacturing</v>
      </c>
      <c r="N265" s="11">
        <f>'Ind T1'!D8-'Ind T1'!B8</f>
        <v>10.767999997098286</v>
      </c>
      <c r="O265" s="11">
        <f>'Ind T1'!F46</f>
        <v>-249.24899998259389</v>
      </c>
      <c r="P265" s="11"/>
    </row>
    <row r="266" spans="1:16">
      <c r="L266" t="str">
        <f t="shared" si="54"/>
        <v>Primary sector and utilities</v>
      </c>
      <c r="N266" s="11">
        <f>'Ind T1'!D7-'Ind T1'!B7</f>
        <v>-0.6520000024491992</v>
      </c>
      <c r="O266" s="11">
        <f>'Ind T1'!F45</f>
        <v>17.241000002194141</v>
      </c>
    </row>
    <row r="268" spans="1:16">
      <c r="L268" t="str">
        <f>L38</f>
        <v>All industries</v>
      </c>
      <c r="N268" s="11">
        <f>'Ind T1'!D14-'Ind T1'!B14</f>
        <v>1203.5089999974371</v>
      </c>
      <c r="O268" s="11">
        <f>SUM(O261:O266)</f>
        <v>2210.4100000173303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6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6">
      <c r="A1" s="17" t="str">
        <f>CONCATENATE("Industry and Occupation Table 1  Occuptation composition (SOC2020) by gender, ",B$6,"-",J$6,", ",Info!B5)</f>
        <v>Industry and Occupation Table 1  Occuptation composition (SOC2020) by gender, 2015-2035, England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  <c r="N1" s="212"/>
    </row>
    <row r="2" spans="1:14" ht="12.95">
      <c r="A2" s="234" t="s">
        <v>171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  <c r="N2" s="212"/>
    </row>
    <row r="3" spans="1:14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24"/>
      <c r="M3" s="212"/>
      <c r="N3" s="212"/>
    </row>
    <row r="4" spans="1:14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114</v>
      </c>
      <c r="M4" s="212"/>
      <c r="N4" s="212"/>
    </row>
    <row r="5" spans="1:14" ht="12.95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  <c r="N5" s="212"/>
    </row>
    <row r="6" spans="1:14" ht="12.95">
      <c r="A6" s="217" t="s">
        <v>172</v>
      </c>
      <c r="B6" s="367">
        <v>2015</v>
      </c>
      <c r="C6" s="368"/>
      <c r="D6" s="368"/>
      <c r="E6" s="222"/>
      <c r="F6" s="367">
        <v>2020</v>
      </c>
      <c r="G6" s="367"/>
      <c r="H6" s="367"/>
      <c r="I6" s="222"/>
      <c r="J6" s="367">
        <v>2035</v>
      </c>
      <c r="K6" s="367"/>
      <c r="L6" s="367"/>
      <c r="M6" s="212"/>
      <c r="N6" s="212"/>
    </row>
    <row r="7" spans="1:14" ht="12.95">
      <c r="A7" s="228"/>
      <c r="B7" s="221" t="s">
        <v>173</v>
      </c>
      <c r="C7" s="221" t="s">
        <v>174</v>
      </c>
      <c r="D7" s="221" t="s">
        <v>119</v>
      </c>
      <c r="E7" s="221"/>
      <c r="F7" s="221" t="s">
        <v>173</v>
      </c>
      <c r="G7" s="221" t="s">
        <v>174</v>
      </c>
      <c r="H7" s="221" t="s">
        <v>119</v>
      </c>
      <c r="I7" s="221"/>
      <c r="J7" s="221" t="s">
        <v>173</v>
      </c>
      <c r="K7" s="221" t="s">
        <v>174</v>
      </c>
      <c r="L7" s="221" t="s">
        <v>119</v>
      </c>
      <c r="M7" s="212"/>
      <c r="N7" s="212"/>
    </row>
    <row r="8" spans="1:14" ht="12.95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12"/>
    </row>
    <row r="9" spans="1:14">
      <c r="A9" s="213" t="str">
        <f>name!E$4</f>
        <v>Managers, directors and senior officials</v>
      </c>
      <c r="B9" s="225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949.16073916934977</v>
      </c>
      <c r="C9" s="225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1873.7942274513794</v>
      </c>
      <c r="D9" s="225">
        <f>SUM(B9:C9)</f>
        <v>2822.954966620729</v>
      </c>
      <c r="E9" s="214"/>
      <c r="F9" s="225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1209.0441489611483</v>
      </c>
      <c r="G9" s="225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2098.4696107899304</v>
      </c>
      <c r="H9" s="225">
        <f>SUM(F9:G9)</f>
        <v>3307.5137597510784</v>
      </c>
      <c r="I9" s="214"/>
      <c r="J9" s="225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1343.2898983595201</v>
      </c>
      <c r="K9" s="225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2109.0833237945185</v>
      </c>
      <c r="L9" s="225">
        <f>SUM(J9:K9)</f>
        <v>3452.3732221540386</v>
      </c>
      <c r="M9" s="212"/>
      <c r="N9" s="212"/>
    </row>
    <row r="10" spans="1:14">
      <c r="A10" s="213" t="str">
        <f>name!E$5</f>
        <v>Professional occupations</v>
      </c>
      <c r="B10" s="225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2840.8545390658542</v>
      </c>
      <c r="C10" s="225">
        <f t="shared" si="0"/>
        <v>3072.3892429773005</v>
      </c>
      <c r="D10" s="225">
        <f t="shared" ref="D10:D17" si="1">SUM(B10:C10)</f>
        <v>5913.2437820431551</v>
      </c>
      <c r="E10" s="214"/>
      <c r="F10" s="225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3467.1240320233442</v>
      </c>
      <c r="G10" s="225">
        <f t="shared" si="2"/>
        <v>3585.2548039637641</v>
      </c>
      <c r="H10" s="225">
        <f t="shared" ref="H10:H17" si="3">SUM(F10:G10)</f>
        <v>7052.3788359871087</v>
      </c>
      <c r="I10" s="214"/>
      <c r="J10" s="225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4056.0753453396223</v>
      </c>
      <c r="K10" s="225">
        <f t="shared" si="4"/>
        <v>4331.0832232404282</v>
      </c>
      <c r="L10" s="225">
        <f t="shared" ref="L10:L17" si="5">SUM(J10:K10)</f>
        <v>8387.158568580051</v>
      </c>
      <c r="M10" s="212"/>
      <c r="N10" s="212"/>
    </row>
    <row r="11" spans="1:14">
      <c r="A11" s="213" t="str">
        <f>name!E$6</f>
        <v>Associate professional occupations</v>
      </c>
      <c r="B11" s="225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1680.2511585236189</v>
      </c>
      <c r="C11" s="225">
        <f t="shared" si="6"/>
        <v>1992.8277048640775</v>
      </c>
      <c r="D11" s="225">
        <f t="shared" si="1"/>
        <v>3673.0788633876964</v>
      </c>
      <c r="E11" s="214"/>
      <c r="F11" s="225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1950.6860072146264</v>
      </c>
      <c r="G11" s="225">
        <f t="shared" si="7"/>
        <v>2197.8339149210797</v>
      </c>
      <c r="H11" s="225">
        <f t="shared" si="3"/>
        <v>4148.5199221357061</v>
      </c>
      <c r="I11" s="214"/>
      <c r="J11" s="225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2565.3077107479317</v>
      </c>
      <c r="K11" s="225">
        <f t="shared" si="8"/>
        <v>2207.8284844067366</v>
      </c>
      <c r="L11" s="225">
        <f t="shared" si="5"/>
        <v>4773.1361951546678</v>
      </c>
      <c r="M11" s="212"/>
      <c r="N11" s="212"/>
    </row>
    <row r="12" spans="1:14">
      <c r="A12" s="213" t="str">
        <f>name!E$7</f>
        <v>Administrative and secretarial occupations</v>
      </c>
      <c r="B12" s="225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2375.5637331215812</v>
      </c>
      <c r="C12" s="225">
        <f t="shared" si="9"/>
        <v>773.93002752520658</v>
      </c>
      <c r="D12" s="225">
        <f t="shared" si="1"/>
        <v>3149.4937606467879</v>
      </c>
      <c r="E12" s="214"/>
      <c r="F12" s="225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2285.4519083403402</v>
      </c>
      <c r="G12" s="225">
        <f t="shared" si="10"/>
        <v>854.15458029007732</v>
      </c>
      <c r="H12" s="225">
        <f t="shared" si="3"/>
        <v>3139.6064886304175</v>
      </c>
      <c r="I12" s="214"/>
      <c r="J12" s="225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2003.2525584243526</v>
      </c>
      <c r="K12" s="225">
        <f t="shared" si="11"/>
        <v>1003.0716548953285</v>
      </c>
      <c r="L12" s="225">
        <f t="shared" si="5"/>
        <v>3006.3242133196809</v>
      </c>
      <c r="M12" s="212"/>
      <c r="N12" s="212"/>
    </row>
    <row r="13" spans="1:14">
      <c r="A13" s="213" t="str">
        <f>name!E$8</f>
        <v>Skilled trades occupations</v>
      </c>
      <c r="B13" s="225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309.75889763462635</v>
      </c>
      <c r="C13" s="225">
        <f t="shared" si="12"/>
        <v>2579.9320586691156</v>
      </c>
      <c r="D13" s="225">
        <f t="shared" si="1"/>
        <v>2889.690956303742</v>
      </c>
      <c r="E13" s="214"/>
      <c r="F13" s="225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322.22135689187735</v>
      </c>
      <c r="G13" s="225">
        <f t="shared" si="13"/>
        <v>2185.1108440328248</v>
      </c>
      <c r="H13" s="225">
        <f t="shared" si="3"/>
        <v>2507.3322009247022</v>
      </c>
      <c r="I13" s="214"/>
      <c r="J13" s="225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377.6257481540689</v>
      </c>
      <c r="K13" s="225">
        <f t="shared" si="14"/>
        <v>2092.1335913431544</v>
      </c>
      <c r="L13" s="225">
        <f t="shared" si="5"/>
        <v>2469.7593394972232</v>
      </c>
      <c r="M13" s="212"/>
      <c r="N13" s="212"/>
    </row>
    <row r="14" spans="1:14">
      <c r="A14" s="213" t="str">
        <f>name!E$9</f>
        <v>Caring, leisure and other service occupations</v>
      </c>
      <c r="B14" s="225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2168.2452348973115</v>
      </c>
      <c r="C14" s="225">
        <f t="shared" si="15"/>
        <v>518.23171046895357</v>
      </c>
      <c r="D14" s="225">
        <f t="shared" si="1"/>
        <v>2686.4769453662652</v>
      </c>
      <c r="E14" s="214"/>
      <c r="F14" s="225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2144.2835776280849</v>
      </c>
      <c r="G14" s="225">
        <f t="shared" si="16"/>
        <v>534.22105051000983</v>
      </c>
      <c r="H14" s="225">
        <f t="shared" si="3"/>
        <v>2678.5046281380946</v>
      </c>
      <c r="I14" s="214"/>
      <c r="J14" s="225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2259.6086892890007</v>
      </c>
      <c r="K14" s="225">
        <f t="shared" si="17"/>
        <v>660.34865924745918</v>
      </c>
      <c r="L14" s="225">
        <f t="shared" si="5"/>
        <v>2919.9573485364599</v>
      </c>
      <c r="M14" s="212"/>
      <c r="N14" s="212"/>
    </row>
    <row r="15" spans="1:14">
      <c r="A15" s="213" t="str">
        <f>name!E$10</f>
        <v>Sales and customer service occupations</v>
      </c>
      <c r="B15" s="225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1476.5341906941328</v>
      </c>
      <c r="C15" s="225">
        <f t="shared" si="18"/>
        <v>975.18046757689331</v>
      </c>
      <c r="D15" s="225">
        <f t="shared" si="1"/>
        <v>2451.7146582710261</v>
      </c>
      <c r="E15" s="214"/>
      <c r="F15" s="225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1392.2084524189136</v>
      </c>
      <c r="G15" s="225">
        <f t="shared" si="19"/>
        <v>971.64033597539606</v>
      </c>
      <c r="H15" s="225">
        <f t="shared" si="3"/>
        <v>2363.8487883943098</v>
      </c>
      <c r="I15" s="214"/>
      <c r="J15" s="225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1353.5616482642886</v>
      </c>
      <c r="K15" s="225">
        <f t="shared" si="20"/>
        <v>1054.6849651171406</v>
      </c>
      <c r="L15" s="225">
        <f t="shared" si="5"/>
        <v>2408.2466133814291</v>
      </c>
      <c r="M15" s="212"/>
      <c r="N15" s="212"/>
    </row>
    <row r="16" spans="1:14">
      <c r="A16" s="213" t="str">
        <f>name!E$11</f>
        <v>Process, plant and machine operatives</v>
      </c>
      <c r="B16" s="225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221.66686516083965</v>
      </c>
      <c r="C16" s="225">
        <f t="shared" si="21"/>
        <v>1545.6588392032816</v>
      </c>
      <c r="D16" s="225">
        <f t="shared" si="1"/>
        <v>1767.3257043641213</v>
      </c>
      <c r="E16" s="214"/>
      <c r="F16" s="225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202.30055655802755</v>
      </c>
      <c r="G16" s="225">
        <f t="shared" si="22"/>
        <v>1463.4887440203836</v>
      </c>
      <c r="H16" s="225">
        <f t="shared" si="3"/>
        <v>1665.7893005784113</v>
      </c>
      <c r="I16" s="214"/>
      <c r="J16" s="225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256.04057921522792</v>
      </c>
      <c r="K16" s="225">
        <f t="shared" si="23"/>
        <v>1408.9245312107305</v>
      </c>
      <c r="L16" s="225">
        <f t="shared" si="5"/>
        <v>1664.9651104259583</v>
      </c>
      <c r="M16" s="212"/>
      <c r="N16" s="212"/>
    </row>
    <row r="17" spans="1:14">
      <c r="A17" s="213" t="str">
        <f>name!E$12</f>
        <v>Elementary occupations</v>
      </c>
      <c r="B17" s="225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1536.8426417293424</v>
      </c>
      <c r="C17" s="225">
        <f t="shared" si="24"/>
        <v>1765.3497212648967</v>
      </c>
      <c r="D17" s="225">
        <f t="shared" si="1"/>
        <v>3302.1923629942394</v>
      </c>
      <c r="E17" s="214"/>
      <c r="F17" s="225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1406.8449599585865</v>
      </c>
      <c r="G17" s="225">
        <f t="shared" si="25"/>
        <v>1589.3421154967964</v>
      </c>
      <c r="H17" s="225">
        <f t="shared" si="3"/>
        <v>2996.1870754553829</v>
      </c>
      <c r="I17" s="214"/>
      <c r="J17" s="225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1371.8218222166449</v>
      </c>
      <c r="K17" s="225">
        <f t="shared" si="26"/>
        <v>1616.3485667463806</v>
      </c>
      <c r="L17" s="225">
        <f t="shared" si="5"/>
        <v>2988.1703889630253</v>
      </c>
      <c r="M17" s="212"/>
      <c r="N17" s="212"/>
    </row>
    <row r="18" spans="1:14">
      <c r="A18" s="213"/>
      <c r="B18" s="225"/>
      <c r="C18" s="225"/>
      <c r="D18" s="225"/>
      <c r="E18" s="214"/>
      <c r="F18" s="225"/>
      <c r="G18" s="225"/>
      <c r="H18" s="225"/>
      <c r="I18" s="214"/>
      <c r="J18" s="225"/>
      <c r="K18" s="225"/>
      <c r="L18" s="225"/>
      <c r="M18" s="212"/>
      <c r="N18" s="212"/>
    </row>
    <row r="19" spans="1:14">
      <c r="A19" s="220" t="s">
        <v>119</v>
      </c>
      <c r="B19" s="223">
        <f>SUM(B9:B17)</f>
        <v>13558.877999996655</v>
      </c>
      <c r="C19" s="223">
        <f t="shared" ref="C19:L19" si="27">SUM(C9:C17)</f>
        <v>15097.294000001102</v>
      </c>
      <c r="D19" s="223">
        <f t="shared" si="27"/>
        <v>28656.171999997765</v>
      </c>
      <c r="E19" s="223"/>
      <c r="F19" s="223">
        <f t="shared" si="27"/>
        <v>14380.164999994948</v>
      </c>
      <c r="G19" s="223">
        <f t="shared" si="27"/>
        <v>15479.516000000263</v>
      </c>
      <c r="H19" s="223">
        <f t="shared" si="27"/>
        <v>29859.680999995213</v>
      </c>
      <c r="I19" s="223"/>
      <c r="J19" s="223">
        <f t="shared" si="27"/>
        <v>15586.58400001066</v>
      </c>
      <c r="K19" s="223">
        <f t="shared" si="27"/>
        <v>16483.507000001875</v>
      </c>
      <c r="L19" s="223">
        <f t="shared" si="27"/>
        <v>32070.091000012537</v>
      </c>
      <c r="M19" s="212"/>
      <c r="N19" s="212"/>
    </row>
    <row r="20" spans="1:14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5"/>
      <c r="M20" s="212"/>
      <c r="N20" s="212"/>
    </row>
    <row r="21" spans="1:14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32" t="s">
        <v>114</v>
      </c>
      <c r="M21" s="212"/>
      <c r="N21" s="212"/>
    </row>
    <row r="22" spans="1:14" ht="12.95">
      <c r="A22" s="218"/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12"/>
      <c r="M22" s="212"/>
      <c r="N22" s="212"/>
    </row>
    <row r="23" spans="1:14" ht="12.95">
      <c r="A23" s="217" t="str">
        <f>name!A4</f>
        <v>Agriculture, etc</v>
      </c>
      <c r="B23" s="367">
        <f>B$6</f>
        <v>2015</v>
      </c>
      <c r="C23" s="367"/>
      <c r="D23" s="367"/>
      <c r="E23" s="229"/>
      <c r="F23" s="367">
        <f>F$6</f>
        <v>2020</v>
      </c>
      <c r="G23" s="367"/>
      <c r="H23" s="367"/>
      <c r="I23" s="229"/>
      <c r="J23" s="367">
        <f>J$6</f>
        <v>2035</v>
      </c>
      <c r="K23" s="367"/>
      <c r="L23" s="367"/>
      <c r="M23" s="212"/>
      <c r="N23" s="212"/>
    </row>
    <row r="24" spans="1:14" ht="12.95">
      <c r="A24" s="230"/>
      <c r="B24" s="231" t="s">
        <v>173</v>
      </c>
      <c r="C24" s="231" t="s">
        <v>174</v>
      </c>
      <c r="D24" s="231" t="s">
        <v>119</v>
      </c>
      <c r="E24" s="231"/>
      <c r="F24" s="231" t="s">
        <v>173</v>
      </c>
      <c r="G24" s="231" t="s">
        <v>174</v>
      </c>
      <c r="H24" s="231" t="s">
        <v>119</v>
      </c>
      <c r="I24" s="231"/>
      <c r="J24" s="231" t="s">
        <v>173</v>
      </c>
      <c r="K24" s="231" t="s">
        <v>174</v>
      </c>
      <c r="L24" s="231" t="s">
        <v>119</v>
      </c>
      <c r="M24" s="212"/>
      <c r="N24" s="212"/>
    </row>
    <row r="25" spans="1:14" ht="12.95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12"/>
      <c r="N25" s="212"/>
    </row>
    <row r="26" spans="1:14">
      <c r="A26" s="213" t="str">
        <f>name!E$4</f>
        <v>Managers, directors and senior officials</v>
      </c>
      <c r="B26" s="278">
        <v>3.6671519303169813</v>
      </c>
      <c r="C26" s="278">
        <v>11.586901050225057</v>
      </c>
      <c r="D26" s="278">
        <f>SUM(B26:C26)</f>
        <v>15.254052980542038</v>
      </c>
      <c r="E26" s="279"/>
      <c r="F26" s="278">
        <v>4.8640275204211871</v>
      </c>
      <c r="G26" s="278">
        <v>13.346562743505528</v>
      </c>
      <c r="H26" s="278">
        <f>SUM(F26:G26)</f>
        <v>18.210590263926715</v>
      </c>
      <c r="I26" s="279"/>
      <c r="J26" s="278">
        <v>4.3285649745117611</v>
      </c>
      <c r="K26" s="278">
        <v>16.735088293503214</v>
      </c>
      <c r="L26" s="278">
        <f>SUM(J26:K26)</f>
        <v>21.063653268014974</v>
      </c>
      <c r="M26" s="212"/>
      <c r="N26" s="212"/>
    </row>
    <row r="27" spans="1:14">
      <c r="A27" s="213" t="str">
        <f>name!E$5</f>
        <v>Professional occupations</v>
      </c>
      <c r="B27" s="278">
        <v>4.8085081216929124</v>
      </c>
      <c r="C27" s="278">
        <v>7.982324813474948</v>
      </c>
      <c r="D27" s="278">
        <f t="shared" ref="D27:D34" si="28">SUM(B27:C27)</f>
        <v>12.79083293516786</v>
      </c>
      <c r="E27" s="279"/>
      <c r="F27" s="278">
        <v>7.4981699159463968</v>
      </c>
      <c r="G27" s="278">
        <v>10.887588938636226</v>
      </c>
      <c r="H27" s="278">
        <f t="shared" ref="H27:H34" si="29">SUM(F27:G27)</f>
        <v>18.385758854582622</v>
      </c>
      <c r="I27" s="279"/>
      <c r="J27" s="278">
        <v>9.1490022555570611</v>
      </c>
      <c r="K27" s="278">
        <v>17.118641270251878</v>
      </c>
      <c r="L27" s="278">
        <f t="shared" ref="L27:L34" si="30">SUM(J27:K27)</f>
        <v>26.267643525808939</v>
      </c>
      <c r="M27" s="212"/>
      <c r="N27" s="212"/>
    </row>
    <row r="28" spans="1:14">
      <c r="A28" s="213" t="str">
        <f>name!E$6</f>
        <v>Associate professional occupations</v>
      </c>
      <c r="B28" s="278">
        <v>3.6882285836046877</v>
      </c>
      <c r="C28" s="278">
        <v>5.2057929217360615</v>
      </c>
      <c r="D28" s="278">
        <f t="shared" si="28"/>
        <v>8.8940215053407492</v>
      </c>
      <c r="E28" s="279"/>
      <c r="F28" s="278">
        <v>5.0467219115179942</v>
      </c>
      <c r="G28" s="278">
        <v>6.3815292174620941</v>
      </c>
      <c r="H28" s="278">
        <f t="shared" si="29"/>
        <v>11.428251128980088</v>
      </c>
      <c r="I28" s="279"/>
      <c r="J28" s="278">
        <v>5.8419545694081503</v>
      </c>
      <c r="K28" s="278">
        <v>7.2865726185559527</v>
      </c>
      <c r="L28" s="278">
        <f t="shared" si="30"/>
        <v>13.128527187964103</v>
      </c>
      <c r="M28" s="212"/>
      <c r="N28" s="212"/>
    </row>
    <row r="29" spans="1:14">
      <c r="A29" s="213" t="str">
        <f>name!E$7</f>
        <v>Administrative and secretarial occupations</v>
      </c>
      <c r="B29" s="278">
        <v>10.858437928925273</v>
      </c>
      <c r="C29" s="278">
        <v>3.0389587116436032</v>
      </c>
      <c r="D29" s="278">
        <f t="shared" si="28"/>
        <v>13.897396640568877</v>
      </c>
      <c r="E29" s="279"/>
      <c r="F29" s="278">
        <v>11.023616502640744</v>
      </c>
      <c r="G29" s="278">
        <v>2.8814018404627491</v>
      </c>
      <c r="H29" s="278">
        <f t="shared" si="29"/>
        <v>13.905018343103492</v>
      </c>
      <c r="I29" s="279"/>
      <c r="J29" s="278">
        <v>6.9339406966676993</v>
      </c>
      <c r="K29" s="278">
        <v>3.2757873336442769</v>
      </c>
      <c r="L29" s="278">
        <f t="shared" si="30"/>
        <v>10.209728030311975</v>
      </c>
      <c r="M29" s="212"/>
      <c r="N29" s="212"/>
    </row>
    <row r="30" spans="1:14">
      <c r="A30" s="213" t="str">
        <f>name!E$8</f>
        <v>Skilled trades occupations</v>
      </c>
      <c r="B30" s="278">
        <v>23.153526364946121</v>
      </c>
      <c r="C30" s="278">
        <v>116.32944161506974</v>
      </c>
      <c r="D30" s="278">
        <f t="shared" si="28"/>
        <v>139.48296798001587</v>
      </c>
      <c r="E30" s="279"/>
      <c r="F30" s="278">
        <v>23.211072637165351</v>
      </c>
      <c r="G30" s="278">
        <v>95.87611052421002</v>
      </c>
      <c r="H30" s="278">
        <f t="shared" si="29"/>
        <v>119.08718316137538</v>
      </c>
      <c r="I30" s="279"/>
      <c r="J30" s="278">
        <v>23.278251024107714</v>
      </c>
      <c r="K30" s="278">
        <v>89.194951842357597</v>
      </c>
      <c r="L30" s="278">
        <f t="shared" si="30"/>
        <v>112.47320286646531</v>
      </c>
      <c r="M30" s="212"/>
      <c r="N30" s="212"/>
    </row>
    <row r="31" spans="1:14">
      <c r="A31" s="213" t="str">
        <f>name!E$9</f>
        <v>Caring, leisure and other service occupations</v>
      </c>
      <c r="B31" s="278">
        <v>6.4370454571746771</v>
      </c>
      <c r="C31" s="278">
        <v>4.208883274324811</v>
      </c>
      <c r="D31" s="278">
        <f t="shared" si="28"/>
        <v>10.645928731499488</v>
      </c>
      <c r="E31" s="279"/>
      <c r="F31" s="278">
        <v>6.961705450162432</v>
      </c>
      <c r="G31" s="278">
        <v>3.6325086916829132</v>
      </c>
      <c r="H31" s="278">
        <f t="shared" si="29"/>
        <v>10.594214141845345</v>
      </c>
      <c r="I31" s="279"/>
      <c r="J31" s="278">
        <v>5.1274717691914651</v>
      </c>
      <c r="K31" s="278">
        <v>4.6657817734748512</v>
      </c>
      <c r="L31" s="278">
        <f t="shared" si="30"/>
        <v>9.7932535426663172</v>
      </c>
      <c r="M31" s="212"/>
      <c r="N31" s="212"/>
    </row>
    <row r="32" spans="1:14">
      <c r="A32" s="213" t="str">
        <f>name!E$10</f>
        <v>Sales and customer service occupations</v>
      </c>
      <c r="B32" s="278">
        <v>2.3833746199604549</v>
      </c>
      <c r="C32" s="278">
        <v>3.1892069180076104</v>
      </c>
      <c r="D32" s="278">
        <f t="shared" si="28"/>
        <v>5.5725815379680652</v>
      </c>
      <c r="E32" s="279"/>
      <c r="F32" s="278">
        <v>2.3117575453635228</v>
      </c>
      <c r="G32" s="278">
        <v>3.1166642950254828</v>
      </c>
      <c r="H32" s="278">
        <f t="shared" si="29"/>
        <v>5.4284218403890057</v>
      </c>
      <c r="I32" s="279"/>
      <c r="J32" s="278">
        <v>1.6816169635214424</v>
      </c>
      <c r="K32" s="278">
        <v>3.6313452727701478</v>
      </c>
      <c r="L32" s="278">
        <f t="shared" si="30"/>
        <v>5.3129622362915905</v>
      </c>
      <c r="M32" s="212"/>
      <c r="N32" s="212"/>
    </row>
    <row r="33" spans="1:18">
      <c r="A33" s="213" t="str">
        <f>name!E$11</f>
        <v>Process, plant and machine operatives</v>
      </c>
      <c r="B33" s="278">
        <v>2.0756717022711815</v>
      </c>
      <c r="C33" s="278">
        <v>10.660287165939565</v>
      </c>
      <c r="D33" s="278">
        <f t="shared" si="28"/>
        <v>12.735958868210746</v>
      </c>
      <c r="E33" s="279"/>
      <c r="F33" s="278">
        <v>2.2348063700864587</v>
      </c>
      <c r="G33" s="278">
        <v>7.8595940422984549</v>
      </c>
      <c r="H33" s="278">
        <f t="shared" si="29"/>
        <v>10.094400412384914</v>
      </c>
      <c r="I33" s="279"/>
      <c r="J33" s="278">
        <v>2.3003143282706366</v>
      </c>
      <c r="K33" s="278">
        <v>7.5349193790422015</v>
      </c>
      <c r="L33" s="278">
        <f t="shared" si="30"/>
        <v>9.8352337073128382</v>
      </c>
      <c r="M33" s="212"/>
      <c r="N33" s="212"/>
    </row>
    <row r="34" spans="1:18">
      <c r="A34" s="213" t="str">
        <f>name!E$12</f>
        <v>Elementary occupations</v>
      </c>
      <c r="B34" s="278">
        <v>13.371055291754182</v>
      </c>
      <c r="C34" s="278">
        <v>30.019203529809353</v>
      </c>
      <c r="D34" s="278">
        <f t="shared" si="28"/>
        <v>43.390258821563535</v>
      </c>
      <c r="E34" s="279"/>
      <c r="F34" s="278">
        <v>11.407122146345213</v>
      </c>
      <c r="G34" s="278">
        <v>21.153039705741197</v>
      </c>
      <c r="H34" s="278">
        <f t="shared" si="29"/>
        <v>32.560161852086409</v>
      </c>
      <c r="I34" s="279"/>
      <c r="J34" s="278">
        <v>16.973883419536474</v>
      </c>
      <c r="K34" s="278">
        <v>24.090912213776864</v>
      </c>
      <c r="L34" s="278">
        <f t="shared" si="30"/>
        <v>41.064795633313338</v>
      </c>
      <c r="M34" s="212"/>
      <c r="N34" s="212"/>
    </row>
    <row r="35" spans="1:18">
      <c r="A35" s="213"/>
      <c r="B35" s="278"/>
      <c r="C35" s="278"/>
      <c r="D35" s="278"/>
      <c r="E35" s="279"/>
      <c r="F35" s="278"/>
      <c r="G35" s="278"/>
      <c r="H35" s="278"/>
      <c r="I35" s="279"/>
      <c r="J35" s="278"/>
      <c r="K35" s="278"/>
      <c r="L35" s="278"/>
      <c r="M35" s="212"/>
      <c r="N35" s="283"/>
      <c r="R35" s="284"/>
    </row>
    <row r="36" spans="1:18">
      <c r="A36" s="220" t="s">
        <v>119</v>
      </c>
      <c r="B36" s="282">
        <f>SUM(B26:B34)</f>
        <v>70.443000000646464</v>
      </c>
      <c r="C36" s="282">
        <f t="shared" ref="C36:K36" si="31">SUM(C26:C34)</f>
        <v>192.22100000023076</v>
      </c>
      <c r="D36" s="282">
        <f t="shared" si="31"/>
        <v>262.66400000087725</v>
      </c>
      <c r="E36" s="282"/>
      <c r="F36" s="282">
        <f t="shared" si="31"/>
        <v>74.558999999649302</v>
      </c>
      <c r="G36" s="282">
        <f t="shared" si="31"/>
        <v>165.13499999902467</v>
      </c>
      <c r="H36" s="282">
        <f t="shared" si="31"/>
        <v>239.69399999867397</v>
      </c>
      <c r="I36" s="282"/>
      <c r="J36" s="282">
        <f t="shared" si="31"/>
        <v>75.615000000772397</v>
      </c>
      <c r="K36" s="282">
        <f t="shared" si="31"/>
        <v>173.53399999737701</v>
      </c>
      <c r="L36" s="282">
        <f>SUM(L26:L34)</f>
        <v>249.14899999814941</v>
      </c>
      <c r="M36" s="212"/>
      <c r="N36" s="212"/>
    </row>
    <row r="37" spans="1:18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6"/>
      <c r="M37" s="212"/>
      <c r="N37" s="212"/>
    </row>
    <row r="38" spans="1:18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32" t="s">
        <v>114</v>
      </c>
      <c r="M38" s="212"/>
      <c r="N38" s="212"/>
    </row>
    <row r="39" spans="1:18" ht="12.95">
      <c r="A39" s="218"/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12"/>
      <c r="M39" s="212"/>
      <c r="N39" s="212"/>
    </row>
    <row r="40" spans="1:18" ht="12.95">
      <c r="A40" s="217" t="str">
        <f>name!A5</f>
        <v>Coal, oil &amp; gas; Mining &amp; related</v>
      </c>
      <c r="B40" s="367">
        <f>B$6</f>
        <v>2015</v>
      </c>
      <c r="C40" s="367"/>
      <c r="D40" s="367"/>
      <c r="E40" s="229"/>
      <c r="F40" s="367">
        <f>F23</f>
        <v>2020</v>
      </c>
      <c r="G40" s="367"/>
      <c r="H40" s="367"/>
      <c r="I40" s="229"/>
      <c r="J40" s="367">
        <f>J23</f>
        <v>2035</v>
      </c>
      <c r="K40" s="367"/>
      <c r="L40" s="367"/>
      <c r="M40" s="212"/>
      <c r="N40" s="212"/>
    </row>
    <row r="41" spans="1:18" ht="12.95">
      <c r="A41" s="230"/>
      <c r="B41" s="231" t="s">
        <v>173</v>
      </c>
      <c r="C41" s="231" t="s">
        <v>174</v>
      </c>
      <c r="D41" s="231" t="s">
        <v>119</v>
      </c>
      <c r="E41" s="231"/>
      <c r="F41" s="231" t="s">
        <v>173</v>
      </c>
      <c r="G41" s="231" t="s">
        <v>174</v>
      </c>
      <c r="H41" s="231" t="s">
        <v>119</v>
      </c>
      <c r="I41" s="231"/>
      <c r="J41" s="231" t="s">
        <v>173</v>
      </c>
      <c r="K41" s="231" t="s">
        <v>174</v>
      </c>
      <c r="L41" s="231" t="s">
        <v>119</v>
      </c>
      <c r="M41" s="212"/>
      <c r="N41" s="212"/>
    </row>
    <row r="42" spans="1:18" ht="12.95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  <c r="N42" s="212"/>
    </row>
    <row r="43" spans="1:18">
      <c r="A43" s="213" t="str">
        <f>name!E$4</f>
        <v>Managers, directors and senior officials</v>
      </c>
      <c r="B43" s="278">
        <v>0.3946822135880062</v>
      </c>
      <c r="C43" s="278">
        <v>3.2643666877354502</v>
      </c>
      <c r="D43" s="278">
        <f>SUM(B43:C43)</f>
        <v>3.6590489013234566</v>
      </c>
      <c r="E43" s="279"/>
      <c r="F43" s="278">
        <v>0.2961221740390112</v>
      </c>
      <c r="G43" s="278">
        <v>3.348563180479438</v>
      </c>
      <c r="H43" s="278">
        <f>SUM(F43:G43)</f>
        <v>3.6446853545184492</v>
      </c>
      <c r="I43" s="279"/>
      <c r="J43" s="278">
        <v>0.17489665212512753</v>
      </c>
      <c r="K43" s="278">
        <v>2.1603038117870166</v>
      </c>
      <c r="L43" s="278">
        <f>SUM(J43:K43)</f>
        <v>2.3352004639121442</v>
      </c>
      <c r="M43" s="212"/>
      <c r="N43" s="212"/>
    </row>
    <row r="44" spans="1:18">
      <c r="A44" s="213" t="str">
        <f>name!E$5</f>
        <v>Professional occupations</v>
      </c>
      <c r="B44" s="278">
        <v>0.81032423255039576</v>
      </c>
      <c r="C44" s="278">
        <v>3.6781409594837582</v>
      </c>
      <c r="D44" s="278">
        <f t="shared" ref="D44:D51" si="32">SUM(B44:C44)</f>
        <v>4.4884651920341536</v>
      </c>
      <c r="E44" s="279"/>
      <c r="F44" s="278">
        <v>1.0074883531155954</v>
      </c>
      <c r="G44" s="278">
        <v>3.7553787127094944</v>
      </c>
      <c r="H44" s="278">
        <f t="shared" ref="H44:H51" si="33">SUM(F44:G44)</f>
        <v>4.7628670658250893</v>
      </c>
      <c r="I44" s="279"/>
      <c r="J44" s="278">
        <v>0.58579357412052346</v>
      </c>
      <c r="K44" s="278">
        <v>2.8265935374097473</v>
      </c>
      <c r="L44" s="278">
        <f t="shared" ref="L44:L51" si="34">SUM(J44:K44)</f>
        <v>3.4123871115302706</v>
      </c>
      <c r="M44" s="212"/>
      <c r="N44" s="212"/>
    </row>
    <row r="45" spans="1:18">
      <c r="A45" s="213" t="str">
        <f>name!E$6</f>
        <v>Associate professional occupations</v>
      </c>
      <c r="B45" s="278">
        <v>0.61279873883104297</v>
      </c>
      <c r="C45" s="278">
        <v>2.7151709038007912</v>
      </c>
      <c r="D45" s="278">
        <f t="shared" si="32"/>
        <v>3.3279696426318344</v>
      </c>
      <c r="E45" s="279"/>
      <c r="F45" s="278">
        <v>0.58096699398209783</v>
      </c>
      <c r="G45" s="278">
        <v>2.8216312583998753</v>
      </c>
      <c r="H45" s="278">
        <f t="shared" si="33"/>
        <v>3.4025982523819733</v>
      </c>
      <c r="I45" s="279"/>
      <c r="J45" s="278">
        <v>0.45711957455731883</v>
      </c>
      <c r="K45" s="278">
        <v>1.6170078448227601</v>
      </c>
      <c r="L45" s="278">
        <f t="shared" si="34"/>
        <v>2.0741274193800789</v>
      </c>
      <c r="M45" s="212"/>
      <c r="N45" s="212"/>
    </row>
    <row r="46" spans="1:18">
      <c r="A46" s="213" t="str">
        <f>name!E$7</f>
        <v>Administrative and secretarial occupations</v>
      </c>
      <c r="B46" s="278">
        <v>1.2370626461462086</v>
      </c>
      <c r="C46" s="278">
        <v>0.83167970725721951</v>
      </c>
      <c r="D46" s="278">
        <f t="shared" si="32"/>
        <v>2.0687423534034282</v>
      </c>
      <c r="E46" s="279"/>
      <c r="F46" s="278">
        <v>0.95999835769043307</v>
      </c>
      <c r="G46" s="278">
        <v>0.82356632326213763</v>
      </c>
      <c r="H46" s="278">
        <f t="shared" si="33"/>
        <v>1.7835646809525707</v>
      </c>
      <c r="I46" s="279"/>
      <c r="J46" s="278">
        <v>0.4540210265356327</v>
      </c>
      <c r="K46" s="278">
        <v>0.59400629131249061</v>
      </c>
      <c r="L46" s="278">
        <f t="shared" si="34"/>
        <v>1.0480273178481232</v>
      </c>
      <c r="M46" s="212"/>
      <c r="N46" s="212"/>
    </row>
    <row r="47" spans="1:18">
      <c r="A47" s="213" t="str">
        <f>name!E$8</f>
        <v>Skilled trades occupations</v>
      </c>
      <c r="B47" s="278">
        <v>9.68619504068267E-2</v>
      </c>
      <c r="C47" s="278">
        <v>6.4150290064365389</v>
      </c>
      <c r="D47" s="278">
        <f t="shared" si="32"/>
        <v>6.5118909568433656</v>
      </c>
      <c r="E47" s="279"/>
      <c r="F47" s="278">
        <v>6.4002637037711363E-2</v>
      </c>
      <c r="G47" s="278">
        <v>4.2563229472419781</v>
      </c>
      <c r="H47" s="278">
        <f>SUM(F47:G47)</f>
        <v>4.3203255842796899</v>
      </c>
      <c r="I47" s="279"/>
      <c r="J47" s="278">
        <v>3.808342647305827E-2</v>
      </c>
      <c r="K47" s="278">
        <v>2.0553882472441742</v>
      </c>
      <c r="L47" s="278">
        <f t="shared" si="34"/>
        <v>2.0934716737172323</v>
      </c>
      <c r="M47" s="212"/>
      <c r="N47" s="212"/>
    </row>
    <row r="48" spans="1:18">
      <c r="A48" s="213" t="str">
        <f>name!E$9</f>
        <v>Caring, leisure and other service occupations</v>
      </c>
      <c r="B48" s="278">
        <v>0.39043761359754958</v>
      </c>
      <c r="C48" s="278">
        <v>0.31176033385931073</v>
      </c>
      <c r="D48" s="278">
        <f t="shared" si="32"/>
        <v>0.70219794745686026</v>
      </c>
      <c r="E48" s="279"/>
      <c r="F48" s="278">
        <v>0.31873751786530446</v>
      </c>
      <c r="G48" s="278">
        <v>0.2848945749391264</v>
      </c>
      <c r="H48" s="278">
        <f t="shared" si="33"/>
        <v>0.60363209280443086</v>
      </c>
      <c r="I48" s="279"/>
      <c r="J48" s="278">
        <v>0.17666883624356128</v>
      </c>
      <c r="K48" s="278">
        <v>0.18090477696155569</v>
      </c>
      <c r="L48" s="278">
        <f t="shared" si="34"/>
        <v>0.35757361320511694</v>
      </c>
      <c r="M48" s="212"/>
      <c r="N48" s="212"/>
    </row>
    <row r="49" spans="1:14">
      <c r="A49" s="213" t="str">
        <f>name!E$10</f>
        <v>Sales and customer service occupations</v>
      </c>
      <c r="B49" s="278">
        <v>0.33198736629013054</v>
      </c>
      <c r="C49" s="278">
        <v>0.51192816959645726</v>
      </c>
      <c r="D49" s="278">
        <f t="shared" si="32"/>
        <v>0.84391553588658774</v>
      </c>
      <c r="E49" s="279"/>
      <c r="F49" s="278">
        <v>0.26827845243507165</v>
      </c>
      <c r="G49" s="278">
        <v>0.37766813437997987</v>
      </c>
      <c r="H49" s="278">
        <f t="shared" si="33"/>
        <v>0.64594658681505157</v>
      </c>
      <c r="I49" s="279"/>
      <c r="J49" s="278">
        <v>0.1308563193272676</v>
      </c>
      <c r="K49" s="278">
        <v>0.25478295184149613</v>
      </c>
      <c r="L49" s="278">
        <f t="shared" si="34"/>
        <v>0.38563927116876373</v>
      </c>
      <c r="M49" s="212"/>
      <c r="N49" s="212"/>
    </row>
    <row r="50" spans="1:14">
      <c r="A50" s="213" t="str">
        <f>name!E$11</f>
        <v>Process, plant and machine operatives</v>
      </c>
      <c r="B50" s="278">
        <v>0.12112667042776772</v>
      </c>
      <c r="C50" s="278">
        <v>5.8851363634574989</v>
      </c>
      <c r="D50" s="278">
        <f t="shared" si="32"/>
        <v>6.0062630338852667</v>
      </c>
      <c r="E50" s="279"/>
      <c r="F50" s="278">
        <v>5.1536973710762567E-2</v>
      </c>
      <c r="G50" s="278">
        <v>4.4138852528798758</v>
      </c>
      <c r="H50" s="278">
        <f t="shared" si="33"/>
        <v>4.465422226590638</v>
      </c>
      <c r="I50" s="279"/>
      <c r="J50" s="278">
        <v>4.0422280771505205E-2</v>
      </c>
      <c r="K50" s="278">
        <v>2.4078825006211546</v>
      </c>
      <c r="L50" s="278">
        <f t="shared" si="34"/>
        <v>2.4483047813926597</v>
      </c>
      <c r="M50" s="212"/>
      <c r="N50" s="212"/>
    </row>
    <row r="51" spans="1:14">
      <c r="A51" s="213" t="str">
        <f>name!E$12</f>
        <v>Elementary occupations</v>
      </c>
      <c r="B51" s="278">
        <v>0.25271856814105709</v>
      </c>
      <c r="C51" s="278">
        <v>2.5337878682517605</v>
      </c>
      <c r="D51" s="278">
        <f t="shared" si="32"/>
        <v>2.7865064363928176</v>
      </c>
      <c r="E51" s="279"/>
      <c r="F51" s="278">
        <v>0.15486854010839146</v>
      </c>
      <c r="G51" s="278">
        <v>0.72208961572083985</v>
      </c>
      <c r="H51" s="278">
        <f t="shared" si="33"/>
        <v>0.87695815582923131</v>
      </c>
      <c r="I51" s="279"/>
      <c r="J51" s="278">
        <v>0.11413830987325123</v>
      </c>
      <c r="K51" s="278">
        <v>0.42913003804037197</v>
      </c>
      <c r="L51" s="278">
        <f t="shared" si="34"/>
        <v>0.54326834791362322</v>
      </c>
      <c r="M51" s="212"/>
      <c r="N51" s="212"/>
    </row>
    <row r="52" spans="1:14">
      <c r="A52" s="213"/>
      <c r="B52" s="278"/>
      <c r="C52" s="278"/>
      <c r="D52" s="278"/>
      <c r="E52" s="279"/>
      <c r="F52" s="278"/>
      <c r="G52" s="278"/>
      <c r="H52" s="278"/>
      <c r="I52" s="279"/>
      <c r="J52" s="278"/>
      <c r="K52" s="278"/>
      <c r="L52" s="278"/>
      <c r="M52" s="212"/>
      <c r="N52" s="212"/>
    </row>
    <row r="53" spans="1:14">
      <c r="A53" s="220" t="s">
        <v>119</v>
      </c>
      <c r="B53" s="282">
        <f>SUM(B43:B51)</f>
        <v>4.247999999978985</v>
      </c>
      <c r="C53" s="282">
        <f t="shared" ref="C53:L53" si="35">SUM(C43:C51)</f>
        <v>26.146999999878787</v>
      </c>
      <c r="D53" s="282">
        <f t="shared" si="35"/>
        <v>30.39499999985777</v>
      </c>
      <c r="E53" s="282"/>
      <c r="F53" s="282">
        <f t="shared" si="35"/>
        <v>3.7019999999843791</v>
      </c>
      <c r="G53" s="282">
        <f t="shared" si="35"/>
        <v>20.804000000012746</v>
      </c>
      <c r="H53" s="282">
        <f t="shared" si="35"/>
        <v>24.505999999997126</v>
      </c>
      <c r="I53" s="282"/>
      <c r="J53" s="282">
        <f t="shared" si="35"/>
        <v>2.1720000000272459</v>
      </c>
      <c r="K53" s="282">
        <f t="shared" si="35"/>
        <v>12.526000000040767</v>
      </c>
      <c r="L53" s="282">
        <f t="shared" si="35"/>
        <v>14.698000000068012</v>
      </c>
      <c r="M53" s="212"/>
      <c r="N53" s="212"/>
    </row>
    <row r="54" spans="1:14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  <c r="N54" s="212"/>
    </row>
    <row r="55" spans="1:14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32" t="s">
        <v>114</v>
      </c>
      <c r="M55" s="212"/>
      <c r="N55" s="212"/>
    </row>
    <row r="56" spans="1:14" ht="12.95">
      <c r="A56" s="218"/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12"/>
      <c r="M56" s="212"/>
      <c r="N56" s="212"/>
    </row>
    <row r="57" spans="1:14" ht="12.95">
      <c r="A57" s="217" t="str">
        <f>name!A6</f>
        <v>Food products</v>
      </c>
      <c r="B57" s="367">
        <f>B$6</f>
        <v>2015</v>
      </c>
      <c r="C57" s="367"/>
      <c r="D57" s="367"/>
      <c r="E57" s="229"/>
      <c r="F57" s="367">
        <f>F40</f>
        <v>2020</v>
      </c>
      <c r="G57" s="367"/>
      <c r="H57" s="367"/>
      <c r="I57" s="229"/>
      <c r="J57" s="367">
        <f>J40</f>
        <v>2035</v>
      </c>
      <c r="K57" s="367"/>
      <c r="L57" s="367"/>
      <c r="M57" s="212"/>
      <c r="N57" s="212"/>
    </row>
    <row r="58" spans="1:14" ht="12.95">
      <c r="A58" s="230"/>
      <c r="B58" s="231" t="s">
        <v>173</v>
      </c>
      <c r="C58" s="231" t="s">
        <v>174</v>
      </c>
      <c r="D58" s="231" t="s">
        <v>119</v>
      </c>
      <c r="E58" s="231"/>
      <c r="F58" s="231" t="s">
        <v>173</v>
      </c>
      <c r="G58" s="231" t="s">
        <v>174</v>
      </c>
      <c r="H58" s="231" t="s">
        <v>119</v>
      </c>
      <c r="I58" s="231"/>
      <c r="J58" s="231" t="s">
        <v>173</v>
      </c>
      <c r="K58" s="231" t="s">
        <v>174</v>
      </c>
      <c r="L58" s="231" t="s">
        <v>119</v>
      </c>
      <c r="M58" s="212"/>
      <c r="N58" s="212"/>
    </row>
    <row r="59" spans="1:14" ht="12.95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  <c r="N59" s="212"/>
    </row>
    <row r="60" spans="1:14">
      <c r="A60" s="213" t="str">
        <f>name!E$4</f>
        <v>Managers, directors and senior officials</v>
      </c>
      <c r="B60" s="278">
        <v>7.6302025114303129</v>
      </c>
      <c r="C60" s="278">
        <v>16.917228936025737</v>
      </c>
      <c r="D60" s="278">
        <f>SUM(B60:C60)</f>
        <v>24.547431447456049</v>
      </c>
      <c r="E60" s="279"/>
      <c r="F60" s="278">
        <v>11.407744364309609</v>
      </c>
      <c r="G60" s="278">
        <v>21.991622680783951</v>
      </c>
      <c r="H60" s="278">
        <f>SUM(F60:G60)</f>
        <v>33.399367045093562</v>
      </c>
      <c r="I60" s="279"/>
      <c r="J60" s="278">
        <v>11.53831607741412</v>
      </c>
      <c r="K60" s="278">
        <v>19.455271374030012</v>
      </c>
      <c r="L60" s="278">
        <f>SUM(J60:K60)</f>
        <v>30.993587451444132</v>
      </c>
      <c r="M60" s="212"/>
      <c r="N60" s="212"/>
    </row>
    <row r="61" spans="1:14">
      <c r="A61" s="213" t="str">
        <f>name!E$5</f>
        <v>Professional occupations</v>
      </c>
      <c r="B61" s="278">
        <v>7.9178817808414896</v>
      </c>
      <c r="C61" s="278">
        <v>11.808232738152521</v>
      </c>
      <c r="D61" s="278">
        <f t="shared" ref="D61:D68" si="36">SUM(B61:C61)</f>
        <v>19.726114518994009</v>
      </c>
      <c r="E61" s="279"/>
      <c r="F61" s="278">
        <v>12.659444305025771</v>
      </c>
      <c r="G61" s="278">
        <v>16.879158663092866</v>
      </c>
      <c r="H61" s="278">
        <f t="shared" ref="H61:H68" si="37">SUM(F61:G61)</f>
        <v>29.538602968118639</v>
      </c>
      <c r="I61" s="279"/>
      <c r="J61" s="278">
        <v>16.341384035989503</v>
      </c>
      <c r="K61" s="278">
        <v>23.758930761646727</v>
      </c>
      <c r="L61" s="278">
        <f t="shared" ref="L61:L68" si="38">SUM(J61:K61)</f>
        <v>40.10031479763623</v>
      </c>
      <c r="M61" s="212"/>
      <c r="N61" s="212"/>
    </row>
    <row r="62" spans="1:14">
      <c r="A62" s="213" t="str">
        <f>name!E$6</f>
        <v>Associate professional occupations</v>
      </c>
      <c r="B62" s="278">
        <v>11.198506138452176</v>
      </c>
      <c r="C62" s="278">
        <v>16.692832632631301</v>
      </c>
      <c r="D62" s="278">
        <f t="shared" si="36"/>
        <v>27.891338771083475</v>
      </c>
      <c r="E62" s="279"/>
      <c r="F62" s="278">
        <v>15.647869337274155</v>
      </c>
      <c r="G62" s="278">
        <v>23.0902747777351</v>
      </c>
      <c r="H62" s="278">
        <f t="shared" si="37"/>
        <v>38.738144115009256</v>
      </c>
      <c r="I62" s="279"/>
      <c r="J62" s="278">
        <v>18.257798008009761</v>
      </c>
      <c r="K62" s="278">
        <v>22.762306467223119</v>
      </c>
      <c r="L62" s="278">
        <f t="shared" si="38"/>
        <v>41.020104475232884</v>
      </c>
      <c r="M62" s="212"/>
      <c r="N62" s="212"/>
    </row>
    <row r="63" spans="1:14">
      <c r="A63" s="213" t="str">
        <f>name!E$7</f>
        <v>Administrative and secretarial occupations</v>
      </c>
      <c r="B63" s="278">
        <v>14.569620091443955</v>
      </c>
      <c r="C63" s="278">
        <v>8.3834427919946233</v>
      </c>
      <c r="D63" s="278">
        <f t="shared" si="36"/>
        <v>22.953062883438577</v>
      </c>
      <c r="E63" s="279"/>
      <c r="F63" s="278">
        <v>15.976402267894137</v>
      </c>
      <c r="G63" s="278">
        <v>10.93998343588977</v>
      </c>
      <c r="H63" s="278">
        <f t="shared" si="37"/>
        <v>26.916385703783909</v>
      </c>
      <c r="I63" s="279"/>
      <c r="J63" s="278">
        <v>13.958870679453536</v>
      </c>
      <c r="K63" s="278">
        <v>11.531588760388619</v>
      </c>
      <c r="L63" s="278">
        <f t="shared" si="38"/>
        <v>25.490459439842155</v>
      </c>
      <c r="M63" s="212"/>
      <c r="N63" s="212"/>
    </row>
    <row r="64" spans="1:14">
      <c r="A64" s="213" t="str">
        <f>name!E$8</f>
        <v>Skilled trades occupations</v>
      </c>
      <c r="B64" s="278">
        <v>9.1163071942144018</v>
      </c>
      <c r="C64" s="278">
        <v>37.933612291061173</v>
      </c>
      <c r="D64" s="278">
        <f t="shared" si="36"/>
        <v>47.049919485275574</v>
      </c>
      <c r="E64" s="279"/>
      <c r="F64" s="278">
        <v>9.3405176155245435</v>
      </c>
      <c r="G64" s="278">
        <v>32.988682350174543</v>
      </c>
      <c r="H64" s="278">
        <f t="shared" si="37"/>
        <v>42.32919996569909</v>
      </c>
      <c r="I64" s="279"/>
      <c r="J64" s="278">
        <v>5.68614681393663</v>
      </c>
      <c r="K64" s="278">
        <v>29.798862705290084</v>
      </c>
      <c r="L64" s="278">
        <f t="shared" si="38"/>
        <v>35.485009519226715</v>
      </c>
      <c r="M64" s="212"/>
      <c r="N64" s="212"/>
    </row>
    <row r="65" spans="1:14">
      <c r="A65" s="213" t="str">
        <f>name!E$9</f>
        <v>Caring, leisure and other service occupations</v>
      </c>
      <c r="B65" s="278">
        <v>1.0659996227723363</v>
      </c>
      <c r="C65" s="278">
        <v>1.2216276319095789</v>
      </c>
      <c r="D65" s="278">
        <f t="shared" si="36"/>
        <v>2.2876272546819152</v>
      </c>
      <c r="E65" s="279"/>
      <c r="F65" s="278">
        <v>1.1333211022964149</v>
      </c>
      <c r="G65" s="278">
        <v>1.5631531781487895</v>
      </c>
      <c r="H65" s="278">
        <f t="shared" si="37"/>
        <v>2.6964742804452042</v>
      </c>
      <c r="I65" s="279"/>
      <c r="J65" s="278">
        <v>0.85925465761349407</v>
      </c>
      <c r="K65" s="278">
        <v>1.3253576487550105</v>
      </c>
      <c r="L65" s="278">
        <f t="shared" si="38"/>
        <v>2.1846123063685043</v>
      </c>
      <c r="M65" s="212"/>
      <c r="N65" s="212"/>
    </row>
    <row r="66" spans="1:14">
      <c r="A66" s="213" t="str">
        <f>name!E$10</f>
        <v>Sales and customer service occupations</v>
      </c>
      <c r="B66" s="278">
        <v>6.4112346068087112</v>
      </c>
      <c r="C66" s="278">
        <v>6.3563969222417365</v>
      </c>
      <c r="D66" s="278">
        <f t="shared" si="36"/>
        <v>12.767631529050448</v>
      </c>
      <c r="E66" s="279"/>
      <c r="F66" s="278">
        <v>6.6058900500978206</v>
      </c>
      <c r="G66" s="278">
        <v>6.8857264617690541</v>
      </c>
      <c r="H66" s="278">
        <f t="shared" si="37"/>
        <v>13.491616511866875</v>
      </c>
      <c r="I66" s="279"/>
      <c r="J66" s="278">
        <v>5.4359113605337761</v>
      </c>
      <c r="K66" s="278">
        <v>7.4032791519967631</v>
      </c>
      <c r="L66" s="278">
        <f t="shared" si="38"/>
        <v>12.839190512530539</v>
      </c>
      <c r="M66" s="212"/>
      <c r="N66" s="212"/>
    </row>
    <row r="67" spans="1:14">
      <c r="A67" s="213" t="str">
        <f>name!E$11</f>
        <v>Process, plant and machine operatives</v>
      </c>
      <c r="B67" s="278">
        <v>27.316173057348319</v>
      </c>
      <c r="C67" s="278">
        <v>72.751672121797597</v>
      </c>
      <c r="D67" s="278">
        <f t="shared" si="36"/>
        <v>100.06784517914592</v>
      </c>
      <c r="E67" s="279"/>
      <c r="F67" s="278">
        <v>26.000023060841425</v>
      </c>
      <c r="G67" s="278">
        <v>68.339618208090315</v>
      </c>
      <c r="H67" s="278">
        <f t="shared" si="37"/>
        <v>94.339641268931743</v>
      </c>
      <c r="I67" s="279"/>
      <c r="J67" s="278">
        <v>24.280166794492477</v>
      </c>
      <c r="K67" s="278">
        <v>54.846737761734687</v>
      </c>
      <c r="L67" s="278">
        <f t="shared" si="38"/>
        <v>79.12690455622716</v>
      </c>
      <c r="M67" s="212"/>
      <c r="N67" s="212"/>
    </row>
    <row r="68" spans="1:14">
      <c r="A68" s="213" t="str">
        <f>name!E$12</f>
        <v>Elementary occupations</v>
      </c>
      <c r="B68" s="278">
        <v>25.709074997389198</v>
      </c>
      <c r="C68" s="278">
        <v>29.083953934771589</v>
      </c>
      <c r="D68" s="278">
        <f t="shared" si="36"/>
        <v>54.793028932160787</v>
      </c>
      <c r="E68" s="279"/>
      <c r="F68" s="278">
        <v>22.768787896777358</v>
      </c>
      <c r="G68" s="278">
        <v>28.075780244601983</v>
      </c>
      <c r="H68" s="278">
        <f t="shared" si="37"/>
        <v>50.844568141379341</v>
      </c>
      <c r="I68" s="279"/>
      <c r="J68" s="278">
        <v>31.904151576229058</v>
      </c>
      <c r="K68" s="278">
        <v>28.903665369497592</v>
      </c>
      <c r="L68" s="278">
        <f t="shared" si="38"/>
        <v>60.80781694572665</v>
      </c>
      <c r="M68" s="212"/>
      <c r="N68" s="212"/>
    </row>
    <row r="69" spans="1:14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  <c r="N69" s="212"/>
    </row>
    <row r="70" spans="1:14">
      <c r="A70" s="220" t="s">
        <v>119</v>
      </c>
      <c r="B70" s="282">
        <f>SUM(B60:B68)</f>
        <v>110.9350000007009</v>
      </c>
      <c r="C70" s="282">
        <f t="shared" ref="C70:L70" si="39">SUM(C60:C68)</f>
        <v>201.14900000058586</v>
      </c>
      <c r="D70" s="282">
        <f t="shared" si="39"/>
        <v>312.08400000128677</v>
      </c>
      <c r="E70" s="282"/>
      <c r="F70" s="282">
        <f t="shared" si="39"/>
        <v>121.54000000004125</v>
      </c>
      <c r="G70" s="282">
        <f t="shared" si="39"/>
        <v>210.75400000028637</v>
      </c>
      <c r="H70" s="282">
        <f t="shared" si="39"/>
        <v>332.29400000032763</v>
      </c>
      <c r="I70" s="282"/>
      <c r="J70" s="282">
        <f t="shared" si="39"/>
        <v>128.26200000367237</v>
      </c>
      <c r="K70" s="282">
        <f t="shared" si="39"/>
        <v>199.78600000056261</v>
      </c>
      <c r="L70" s="282">
        <f t="shared" si="39"/>
        <v>328.04800000423495</v>
      </c>
      <c r="M70" s="212"/>
      <c r="N70" s="212"/>
    </row>
    <row r="71" spans="1:14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  <c r="N71" s="212"/>
    </row>
    <row r="72" spans="1:14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32" t="s">
        <v>114</v>
      </c>
      <c r="M72" s="212"/>
      <c r="N72" s="212"/>
    </row>
    <row r="73" spans="1:14" ht="12.95">
      <c r="A73" s="218"/>
      <c r="B73" s="226"/>
      <c r="C73" s="226"/>
      <c r="D73" s="226"/>
      <c r="E73" s="226"/>
      <c r="F73" s="226"/>
      <c r="G73" s="226"/>
      <c r="H73" s="226"/>
      <c r="I73" s="226"/>
      <c r="J73" s="226"/>
      <c r="K73" s="226"/>
      <c r="L73" s="212"/>
      <c r="M73" s="212"/>
      <c r="N73" s="212"/>
    </row>
    <row r="74" spans="1:14" ht="12.95">
      <c r="A74" s="217" t="str">
        <f>name!A7</f>
        <v>Beverages and tobacco</v>
      </c>
      <c r="B74" s="367">
        <f>B$6</f>
        <v>2015</v>
      </c>
      <c r="C74" s="367"/>
      <c r="D74" s="367"/>
      <c r="E74" s="229"/>
      <c r="F74" s="367">
        <f>F57</f>
        <v>2020</v>
      </c>
      <c r="G74" s="367"/>
      <c r="H74" s="367"/>
      <c r="I74" s="229"/>
      <c r="J74" s="367">
        <f>J57</f>
        <v>2035</v>
      </c>
      <c r="K74" s="367"/>
      <c r="L74" s="367"/>
      <c r="M74" s="212"/>
      <c r="N74" s="212"/>
    </row>
    <row r="75" spans="1:14" ht="12.95">
      <c r="A75" s="230"/>
      <c r="B75" s="231" t="s">
        <v>173</v>
      </c>
      <c r="C75" s="231" t="s">
        <v>174</v>
      </c>
      <c r="D75" s="231" t="s">
        <v>119</v>
      </c>
      <c r="E75" s="231"/>
      <c r="F75" s="231" t="s">
        <v>173</v>
      </c>
      <c r="G75" s="231" t="s">
        <v>174</v>
      </c>
      <c r="H75" s="231" t="s">
        <v>119</v>
      </c>
      <c r="I75" s="231"/>
      <c r="J75" s="231" t="s">
        <v>173</v>
      </c>
      <c r="K75" s="231" t="s">
        <v>174</v>
      </c>
      <c r="L75" s="231" t="s">
        <v>119</v>
      </c>
      <c r="M75" s="212"/>
      <c r="N75" s="212"/>
    </row>
    <row r="76" spans="1:14" ht="12.95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  <c r="N76" s="212"/>
    </row>
    <row r="77" spans="1:14">
      <c r="A77" s="213" t="str">
        <f>name!E$4</f>
        <v>Managers, directors and senior officials</v>
      </c>
      <c r="B77" s="278">
        <v>1.1802147126580194</v>
      </c>
      <c r="C77" s="278">
        <v>2.1555865042854228</v>
      </c>
      <c r="D77" s="278">
        <f>SUM(B77:C77)</f>
        <v>3.3358012169434419</v>
      </c>
      <c r="E77" s="279"/>
      <c r="F77" s="278">
        <v>1.8329831833949213</v>
      </c>
      <c r="G77" s="278">
        <v>3.2351880755247029</v>
      </c>
      <c r="H77" s="278">
        <f>SUM(F77:G77)</f>
        <v>5.0681712589196239</v>
      </c>
      <c r="I77" s="279"/>
      <c r="J77" s="278">
        <v>1.9444083979960318</v>
      </c>
      <c r="K77" s="278">
        <v>2.8352192952090318</v>
      </c>
      <c r="L77" s="278">
        <f>SUM(J77:K77)</f>
        <v>4.7796276932050636</v>
      </c>
      <c r="M77" s="212"/>
      <c r="N77" s="212"/>
    </row>
    <row r="78" spans="1:14">
      <c r="A78" s="213" t="str">
        <f>name!E$5</f>
        <v>Professional occupations</v>
      </c>
      <c r="B78" s="278">
        <v>1.2966956274906565</v>
      </c>
      <c r="C78" s="278">
        <v>2.5736504185470128</v>
      </c>
      <c r="D78" s="278">
        <f t="shared" ref="D78:D85" si="40">SUM(B78:C78)</f>
        <v>3.8703460460376693</v>
      </c>
      <c r="E78" s="279"/>
      <c r="F78" s="278">
        <v>2.1814937365946276</v>
      </c>
      <c r="G78" s="278">
        <v>4.0120694576519789</v>
      </c>
      <c r="H78" s="278">
        <f t="shared" ref="H78:H85" si="41">SUM(F78:G78)</f>
        <v>6.1935631942466065</v>
      </c>
      <c r="I78" s="279"/>
      <c r="J78" s="278">
        <v>2.3907955628847417</v>
      </c>
      <c r="K78" s="278">
        <v>5.1818546099402658</v>
      </c>
      <c r="L78" s="278">
        <f t="shared" ref="L78:L85" si="42">SUM(J78:K78)</f>
        <v>7.5726501728250071</v>
      </c>
      <c r="M78" s="212"/>
      <c r="N78" s="212"/>
    </row>
    <row r="79" spans="1:14">
      <c r="A79" s="213" t="str">
        <f>name!E$6</f>
        <v>Associate professional occupations</v>
      </c>
      <c r="B79" s="278">
        <v>1.6441925727680116</v>
      </c>
      <c r="C79" s="278">
        <v>2.6937374178098237</v>
      </c>
      <c r="D79" s="278">
        <f t="shared" si="40"/>
        <v>4.3379299905778357</v>
      </c>
      <c r="E79" s="279"/>
      <c r="F79" s="278">
        <v>2.5639712250517603</v>
      </c>
      <c r="G79" s="278">
        <v>3.9526504344808209</v>
      </c>
      <c r="H79" s="278">
        <f t="shared" si="41"/>
        <v>6.5166216595325812</v>
      </c>
      <c r="I79" s="279"/>
      <c r="J79" s="278">
        <v>2.7407277173857127</v>
      </c>
      <c r="K79" s="278">
        <v>3.6558310682762838</v>
      </c>
      <c r="L79" s="278">
        <f t="shared" si="42"/>
        <v>6.3965587856619965</v>
      </c>
      <c r="M79" s="212"/>
      <c r="N79" s="212"/>
    </row>
    <row r="80" spans="1:14">
      <c r="A80" s="213" t="str">
        <f>name!E$7</f>
        <v>Administrative and secretarial occupations</v>
      </c>
      <c r="B80" s="278">
        <v>2.1349263910486243</v>
      </c>
      <c r="C80" s="278">
        <v>0.50836913953924578</v>
      </c>
      <c r="D80" s="278">
        <f t="shared" si="40"/>
        <v>2.6432955305878698</v>
      </c>
      <c r="E80" s="279"/>
      <c r="F80" s="278">
        <v>2.5172067505394415</v>
      </c>
      <c r="G80" s="278">
        <v>0.82258073477792448</v>
      </c>
      <c r="H80" s="278">
        <f t="shared" si="41"/>
        <v>3.3397874853173661</v>
      </c>
      <c r="I80" s="279"/>
      <c r="J80" s="278">
        <v>1.9700582203865238</v>
      </c>
      <c r="K80" s="278">
        <v>0.86902451373638245</v>
      </c>
      <c r="L80" s="278">
        <f t="shared" si="42"/>
        <v>2.8390827341229063</v>
      </c>
      <c r="M80" s="212"/>
      <c r="N80" s="212"/>
    </row>
    <row r="81" spans="1:14">
      <c r="A81" s="213" t="str">
        <f>name!E$8</f>
        <v>Skilled trades occupations</v>
      </c>
      <c r="B81" s="278">
        <v>0.24817991077386234</v>
      </c>
      <c r="C81" s="278">
        <v>1.8985073034793012</v>
      </c>
      <c r="D81" s="278">
        <f t="shared" si="40"/>
        <v>2.1466872142531637</v>
      </c>
      <c r="E81" s="279"/>
      <c r="F81" s="278">
        <v>0.33608000764265034</v>
      </c>
      <c r="G81" s="278">
        <v>2.0326876802386953</v>
      </c>
      <c r="H81" s="278">
        <f t="shared" si="41"/>
        <v>2.3687676878813457</v>
      </c>
      <c r="I81" s="279"/>
      <c r="J81" s="278">
        <v>0.37855355272641805</v>
      </c>
      <c r="K81" s="278">
        <v>1.5492500909243465</v>
      </c>
      <c r="L81" s="278">
        <f t="shared" si="42"/>
        <v>1.9278036436507646</v>
      </c>
      <c r="M81" s="212"/>
      <c r="N81" s="212"/>
    </row>
    <row r="82" spans="1:14">
      <c r="A82" s="213" t="str">
        <f>name!E$9</f>
        <v>Caring, leisure and other service occupations</v>
      </c>
      <c r="B82" s="278">
        <v>0.76112945422024447</v>
      </c>
      <c r="C82" s="278">
        <v>0.2421778336917311</v>
      </c>
      <c r="D82" s="278">
        <f t="shared" si="40"/>
        <v>1.0033072879119755</v>
      </c>
      <c r="E82" s="279"/>
      <c r="F82" s="278">
        <v>0.88762003563050962</v>
      </c>
      <c r="G82" s="278">
        <v>0.40364830808833124</v>
      </c>
      <c r="H82" s="278">
        <f t="shared" si="41"/>
        <v>1.2912683437188408</v>
      </c>
      <c r="I82" s="279"/>
      <c r="J82" s="278">
        <v>0.79827672459065591</v>
      </c>
      <c r="K82" s="278">
        <v>0.49419905461170832</v>
      </c>
      <c r="L82" s="278">
        <f t="shared" si="42"/>
        <v>1.2924757792023642</v>
      </c>
      <c r="M82" s="212"/>
      <c r="N82" s="212"/>
    </row>
    <row r="83" spans="1:14">
      <c r="A83" s="213" t="str">
        <f>name!E$10</f>
        <v>Sales and customer service occupations</v>
      </c>
      <c r="B83" s="278">
        <v>0.82069166858014253</v>
      </c>
      <c r="C83" s="278">
        <v>0.61704881111490439</v>
      </c>
      <c r="D83" s="278">
        <f t="shared" si="40"/>
        <v>1.437740479695047</v>
      </c>
      <c r="E83" s="279"/>
      <c r="F83" s="278">
        <v>1.0303208504293788</v>
      </c>
      <c r="G83" s="278">
        <v>0.90283176430019529</v>
      </c>
      <c r="H83" s="278">
        <f t="shared" si="41"/>
        <v>1.9331526147295741</v>
      </c>
      <c r="I83" s="279"/>
      <c r="J83" s="278">
        <v>0.99352036563410706</v>
      </c>
      <c r="K83" s="278">
        <v>1.0136130506031997</v>
      </c>
      <c r="L83" s="278">
        <f t="shared" si="42"/>
        <v>2.0071334162373069</v>
      </c>
      <c r="M83" s="212"/>
      <c r="N83" s="212"/>
    </row>
    <row r="84" spans="1:14">
      <c r="A84" s="213" t="str">
        <f>name!E$11</f>
        <v>Process, plant and machine operatives</v>
      </c>
      <c r="B84" s="278">
        <v>0.52330348756053535</v>
      </c>
      <c r="C84" s="278">
        <v>4.7094182588165889</v>
      </c>
      <c r="D84" s="278">
        <f t="shared" si="40"/>
        <v>5.2327217463771243</v>
      </c>
      <c r="E84" s="279"/>
      <c r="F84" s="278">
        <v>0.51326384101345635</v>
      </c>
      <c r="G84" s="278">
        <v>4.9823153675814869</v>
      </c>
      <c r="H84" s="278">
        <f t="shared" si="41"/>
        <v>5.4955792085949433</v>
      </c>
      <c r="I84" s="279"/>
      <c r="J84" s="278">
        <v>0.65324075985384844</v>
      </c>
      <c r="K84" s="278">
        <v>4.0369374301303953</v>
      </c>
      <c r="L84" s="278">
        <f t="shared" si="42"/>
        <v>4.6901781899842439</v>
      </c>
      <c r="M84" s="212"/>
      <c r="N84" s="212"/>
    </row>
    <row r="85" spans="1:14">
      <c r="A85" s="213" t="str">
        <f>name!E$12</f>
        <v>Elementary occupations</v>
      </c>
      <c r="B85" s="278">
        <v>1.1426661748884099</v>
      </c>
      <c r="C85" s="278">
        <v>1.6935043127429132</v>
      </c>
      <c r="D85" s="278">
        <f t="shared" si="40"/>
        <v>2.836170487631323</v>
      </c>
      <c r="E85" s="279"/>
      <c r="F85" s="278">
        <v>0.99806036969</v>
      </c>
      <c r="G85" s="278">
        <v>1.8100281772661679</v>
      </c>
      <c r="H85" s="278">
        <f t="shared" si="41"/>
        <v>2.8080885469561681</v>
      </c>
      <c r="I85" s="279"/>
      <c r="J85" s="278">
        <v>0.9384186987235773</v>
      </c>
      <c r="K85" s="278">
        <v>1.601070886498404</v>
      </c>
      <c r="L85" s="278">
        <f t="shared" si="42"/>
        <v>2.5394895852219812</v>
      </c>
      <c r="M85" s="212"/>
      <c r="N85" s="212"/>
    </row>
    <row r="86" spans="1:14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  <c r="N86" s="212"/>
    </row>
    <row r="87" spans="1:14">
      <c r="A87" s="220" t="s">
        <v>119</v>
      </c>
      <c r="B87" s="282">
        <f>SUM(B77:B85)</f>
        <v>9.7519999999885041</v>
      </c>
      <c r="C87" s="282">
        <f t="shared" ref="C87:D87" si="43">SUM(C77:C85)</f>
        <v>17.092000000026943</v>
      </c>
      <c r="D87" s="282">
        <f t="shared" si="43"/>
        <v>26.844000000015448</v>
      </c>
      <c r="E87" s="282"/>
      <c r="F87" s="282">
        <f t="shared" ref="F87:H87" si="44">SUM(F77:F85)</f>
        <v>12.860999999986745</v>
      </c>
      <c r="G87" s="282">
        <f t="shared" si="44"/>
        <v>22.153999999910305</v>
      </c>
      <c r="H87" s="282">
        <f t="shared" si="44"/>
        <v>35.014999999897057</v>
      </c>
      <c r="I87" s="282"/>
      <c r="J87" s="282">
        <f t="shared" ref="J87:L87" si="45">SUM(J77:J85)</f>
        <v>12.808000000181615</v>
      </c>
      <c r="K87" s="282">
        <f t="shared" si="45"/>
        <v>21.236999999930021</v>
      </c>
      <c r="L87" s="282">
        <f t="shared" si="45"/>
        <v>34.045000000111635</v>
      </c>
      <c r="M87" s="212"/>
      <c r="N87" s="212"/>
    </row>
    <row r="88" spans="1:14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  <c r="N88" s="212"/>
    </row>
    <row r="89" spans="1:14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32" t="s">
        <v>114</v>
      </c>
      <c r="M89" s="212"/>
      <c r="N89" s="212"/>
    </row>
    <row r="90" spans="1:14" ht="12.95">
      <c r="A90" s="218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12"/>
      <c r="M90" s="212"/>
      <c r="N90" s="212"/>
    </row>
    <row r="91" spans="1:14" ht="12.95">
      <c r="A91" s="217" t="str">
        <f>name!A8</f>
        <v>Textiles</v>
      </c>
      <c r="B91" s="367">
        <f>B$6</f>
        <v>2015</v>
      </c>
      <c r="C91" s="367"/>
      <c r="D91" s="367"/>
      <c r="E91" s="229"/>
      <c r="F91" s="367">
        <f>F74</f>
        <v>2020</v>
      </c>
      <c r="G91" s="367"/>
      <c r="H91" s="367"/>
      <c r="I91" s="229"/>
      <c r="J91" s="367">
        <f>J74</f>
        <v>2035</v>
      </c>
      <c r="K91" s="367"/>
      <c r="L91" s="367"/>
      <c r="M91" s="212"/>
      <c r="N91" s="212"/>
    </row>
    <row r="92" spans="1:14" ht="12.95">
      <c r="A92" s="230"/>
      <c r="B92" s="231" t="s">
        <v>173</v>
      </c>
      <c r="C92" s="231" t="s">
        <v>174</v>
      </c>
      <c r="D92" s="231" t="s">
        <v>119</v>
      </c>
      <c r="E92" s="231"/>
      <c r="F92" s="231" t="s">
        <v>173</v>
      </c>
      <c r="G92" s="231" t="s">
        <v>174</v>
      </c>
      <c r="H92" s="231" t="s">
        <v>119</v>
      </c>
      <c r="I92" s="231"/>
      <c r="J92" s="231" t="s">
        <v>173</v>
      </c>
      <c r="K92" s="231" t="s">
        <v>174</v>
      </c>
      <c r="L92" s="231" t="s">
        <v>119</v>
      </c>
      <c r="M92" s="212"/>
      <c r="N92" s="212"/>
    </row>
    <row r="93" spans="1:14" ht="12.95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  <c r="N93" s="212"/>
    </row>
    <row r="94" spans="1:14">
      <c r="A94" s="213" t="str">
        <f>name!E$4</f>
        <v>Managers, directors and senior officials</v>
      </c>
      <c r="B94" s="278">
        <v>1.3744041214596605</v>
      </c>
      <c r="C94" s="278">
        <v>4.7754881535680358</v>
      </c>
      <c r="D94" s="278">
        <f>SUM(B94:C94)</f>
        <v>6.1498922750276961</v>
      </c>
      <c r="E94" s="279"/>
      <c r="F94" s="278">
        <v>2.4319018216808677</v>
      </c>
      <c r="G94" s="278">
        <v>6.1417386466001131</v>
      </c>
      <c r="H94" s="278">
        <f>SUM(F94:G94)</f>
        <v>8.5736404682809813</v>
      </c>
      <c r="I94" s="279"/>
      <c r="J94" s="278">
        <v>1.9079485204864743</v>
      </c>
      <c r="K94" s="278">
        <v>4.4102874639997713</v>
      </c>
      <c r="L94" s="278">
        <f>SUM(J94:K94)</f>
        <v>6.3182359844862459</v>
      </c>
      <c r="M94" s="212"/>
      <c r="N94" s="212"/>
    </row>
    <row r="95" spans="1:14">
      <c r="A95" s="213" t="str">
        <f>name!E$5</f>
        <v>Professional occupations</v>
      </c>
      <c r="B95" s="278">
        <v>1.1851758586050423</v>
      </c>
      <c r="C95" s="278">
        <v>2.7959805443888044</v>
      </c>
      <c r="D95" s="278">
        <f t="shared" ref="D95:D102" si="46">SUM(B95:C95)</f>
        <v>3.9811564029938467</v>
      </c>
      <c r="E95" s="279"/>
      <c r="F95" s="278">
        <v>1.8945965245334568</v>
      </c>
      <c r="G95" s="278">
        <v>3.899514552364276</v>
      </c>
      <c r="H95" s="278">
        <f t="shared" ref="H95:H102" si="47">SUM(F95:G95)</f>
        <v>5.7941110768977326</v>
      </c>
      <c r="I95" s="279"/>
      <c r="J95" s="278">
        <v>1.6374816224932647</v>
      </c>
      <c r="K95" s="278">
        <v>3.8266705550034503</v>
      </c>
      <c r="L95" s="278">
        <f t="shared" ref="L95:L102" si="48">SUM(J95:K95)</f>
        <v>5.4641521774967146</v>
      </c>
      <c r="M95" s="212"/>
      <c r="N95" s="212"/>
    </row>
    <row r="96" spans="1:14">
      <c r="A96" s="213" t="str">
        <f>name!E$6</f>
        <v>Associate professional occupations</v>
      </c>
      <c r="B96" s="278">
        <v>1.9856460792927464</v>
      </c>
      <c r="C96" s="278">
        <v>2.4214659448823119</v>
      </c>
      <c r="D96" s="278">
        <f t="shared" si="46"/>
        <v>4.4071120241750581</v>
      </c>
      <c r="E96" s="279"/>
      <c r="F96" s="278">
        <v>2.9424157069748462</v>
      </c>
      <c r="G96" s="278">
        <v>3.0057264511881483</v>
      </c>
      <c r="H96" s="278">
        <f t="shared" si="47"/>
        <v>5.9481421581629945</v>
      </c>
      <c r="I96" s="279"/>
      <c r="J96" s="278">
        <v>2.2250019214918835</v>
      </c>
      <c r="K96" s="278">
        <v>2.3038186966935839</v>
      </c>
      <c r="L96" s="278">
        <f t="shared" si="48"/>
        <v>4.5288206181854669</v>
      </c>
      <c r="M96" s="212"/>
      <c r="N96" s="212"/>
    </row>
    <row r="97" spans="1:14">
      <c r="A97" s="213" t="str">
        <f>name!E$7</f>
        <v>Administrative and secretarial occupations</v>
      </c>
      <c r="B97" s="278">
        <v>2.3426496787065054</v>
      </c>
      <c r="C97" s="278">
        <v>1.4953044233416299</v>
      </c>
      <c r="D97" s="278">
        <f t="shared" si="46"/>
        <v>3.8379541020481351</v>
      </c>
      <c r="E97" s="279"/>
      <c r="F97" s="278">
        <v>2.8289671874100337</v>
      </c>
      <c r="G97" s="278">
        <v>1.9482757875383558</v>
      </c>
      <c r="H97" s="278">
        <f t="shared" si="47"/>
        <v>4.7772429749483898</v>
      </c>
      <c r="I97" s="279"/>
      <c r="J97" s="278">
        <v>1.921136352533271</v>
      </c>
      <c r="K97" s="278">
        <v>1.8033572187322426</v>
      </c>
      <c r="L97" s="278">
        <f t="shared" si="48"/>
        <v>3.7244935712655138</v>
      </c>
      <c r="M97" s="212"/>
      <c r="N97" s="212"/>
    </row>
    <row r="98" spans="1:14">
      <c r="A98" s="213" t="str">
        <f>name!E$8</f>
        <v>Skilled trades occupations</v>
      </c>
      <c r="B98" s="278">
        <v>2.4106948418806295</v>
      </c>
      <c r="C98" s="278">
        <v>6.7884995445129919</v>
      </c>
      <c r="D98" s="278">
        <f t="shared" si="46"/>
        <v>9.1991943863936214</v>
      </c>
      <c r="E98" s="279"/>
      <c r="F98" s="278">
        <v>2.9714129781032259</v>
      </c>
      <c r="G98" s="278">
        <v>6.0848974453683056</v>
      </c>
      <c r="H98" s="278">
        <f t="shared" si="47"/>
        <v>9.0563104234715315</v>
      </c>
      <c r="I98" s="279"/>
      <c r="J98" s="278">
        <v>1.4597768760319196</v>
      </c>
      <c r="K98" s="278">
        <v>4.1222641559948352</v>
      </c>
      <c r="L98" s="278">
        <f t="shared" si="48"/>
        <v>5.5820410320267548</v>
      </c>
      <c r="M98" s="212"/>
      <c r="N98" s="212"/>
    </row>
    <row r="99" spans="1:14">
      <c r="A99" s="213" t="str">
        <f>name!E$9</f>
        <v>Caring, leisure and other service occupations</v>
      </c>
      <c r="B99" s="278">
        <v>0.82447906333421883</v>
      </c>
      <c r="C99" s="278">
        <v>0.11339712400912207</v>
      </c>
      <c r="D99" s="278">
        <f t="shared" si="46"/>
        <v>0.93787618734334088</v>
      </c>
      <c r="E99" s="279"/>
      <c r="F99" s="278">
        <v>1.300365887784382</v>
      </c>
      <c r="G99" s="278">
        <v>0.19555514202505289</v>
      </c>
      <c r="H99" s="278">
        <f t="shared" si="47"/>
        <v>1.495921029809435</v>
      </c>
      <c r="I99" s="279"/>
      <c r="J99" s="278">
        <v>0.88750544297258804</v>
      </c>
      <c r="K99" s="278">
        <v>0.20130324716034426</v>
      </c>
      <c r="L99" s="278">
        <f t="shared" si="48"/>
        <v>1.0888086901329324</v>
      </c>
      <c r="M99" s="212"/>
      <c r="N99" s="212"/>
    </row>
    <row r="100" spans="1:14">
      <c r="A100" s="213" t="str">
        <f>name!E$10</f>
        <v>Sales and customer service occupations</v>
      </c>
      <c r="B100" s="278">
        <v>1.4741368573308504</v>
      </c>
      <c r="C100" s="278">
        <v>1.1100511295076685</v>
      </c>
      <c r="D100" s="278">
        <f t="shared" si="46"/>
        <v>2.5841879868385189</v>
      </c>
      <c r="E100" s="279"/>
      <c r="F100" s="278">
        <v>1.6143103539782626</v>
      </c>
      <c r="G100" s="278">
        <v>1.3826189117148981</v>
      </c>
      <c r="H100" s="278">
        <f t="shared" si="47"/>
        <v>2.9969292656931605</v>
      </c>
      <c r="I100" s="279"/>
      <c r="J100" s="278">
        <v>1.0934529858204269</v>
      </c>
      <c r="K100" s="278">
        <v>1.1014498451617525</v>
      </c>
      <c r="L100" s="278">
        <f t="shared" si="48"/>
        <v>2.1949028309821794</v>
      </c>
      <c r="M100" s="212"/>
      <c r="N100" s="212"/>
    </row>
    <row r="101" spans="1:14">
      <c r="A101" s="213" t="str">
        <f>name!E$11</f>
        <v>Process, plant and machine operatives</v>
      </c>
      <c r="B101" s="278">
        <v>5.404648094077392</v>
      </c>
      <c r="C101" s="278">
        <v>7.8484578418903119</v>
      </c>
      <c r="D101" s="278">
        <f t="shared" si="46"/>
        <v>13.253105935967703</v>
      </c>
      <c r="E101" s="279"/>
      <c r="F101" s="278">
        <v>5.8889077394342317</v>
      </c>
      <c r="G101" s="278">
        <v>7.1981287200017396</v>
      </c>
      <c r="H101" s="278">
        <f t="shared" si="47"/>
        <v>13.087036459435971</v>
      </c>
      <c r="I101" s="279"/>
      <c r="J101" s="278">
        <v>4.4706271976402503</v>
      </c>
      <c r="K101" s="278">
        <v>4.8062754808099291</v>
      </c>
      <c r="L101" s="278">
        <f t="shared" si="48"/>
        <v>9.2769026784501794</v>
      </c>
      <c r="M101" s="212"/>
      <c r="N101" s="212"/>
    </row>
    <row r="102" spans="1:14">
      <c r="A102" s="213" t="str">
        <f>name!E$12</f>
        <v>Elementary occupations</v>
      </c>
      <c r="B102" s="278">
        <v>1.999165405476383</v>
      </c>
      <c r="C102" s="278">
        <v>3.108355293919006</v>
      </c>
      <c r="D102" s="278">
        <f t="shared" si="46"/>
        <v>5.1075206993953888</v>
      </c>
      <c r="E102" s="279"/>
      <c r="F102" s="278">
        <v>2.1251218000754348</v>
      </c>
      <c r="G102" s="278">
        <v>2.9665443432234095</v>
      </c>
      <c r="H102" s="278">
        <f t="shared" si="47"/>
        <v>5.0916661432988448</v>
      </c>
      <c r="I102" s="279"/>
      <c r="J102" s="278">
        <v>2.5110690809784808</v>
      </c>
      <c r="K102" s="278">
        <v>2.294573336506994</v>
      </c>
      <c r="L102" s="278">
        <f t="shared" si="48"/>
        <v>4.8056424174854744</v>
      </c>
      <c r="M102" s="212"/>
      <c r="N102" s="212"/>
    </row>
    <row r="103" spans="1:14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  <c r="N103" s="212"/>
    </row>
    <row r="104" spans="1:14">
      <c r="A104" s="220" t="s">
        <v>119</v>
      </c>
      <c r="B104" s="282">
        <f>SUM(B94:B102)</f>
        <v>19.001000000163426</v>
      </c>
      <c r="C104" s="282">
        <f t="shared" ref="C104:D104" si="49">SUM(C94:C102)</f>
        <v>30.457000000019882</v>
      </c>
      <c r="D104" s="282">
        <f t="shared" si="49"/>
        <v>49.458000000183311</v>
      </c>
      <c r="E104" s="282"/>
      <c r="F104" s="282">
        <f t="shared" ref="F104:H104" si="50">SUM(F94:F102)</f>
        <v>23.997999999974741</v>
      </c>
      <c r="G104" s="282">
        <f t="shared" si="50"/>
        <v>32.823000000024301</v>
      </c>
      <c r="H104" s="282">
        <f t="shared" si="50"/>
        <v>56.820999999999046</v>
      </c>
      <c r="I104" s="282"/>
      <c r="J104" s="282">
        <f t="shared" ref="J104:L104" si="51">SUM(J94:J102)</f>
        <v>18.114000000448556</v>
      </c>
      <c r="K104" s="282">
        <f t="shared" si="51"/>
        <v>24.870000000062902</v>
      </c>
      <c r="L104" s="282">
        <f t="shared" si="51"/>
        <v>42.984000000511458</v>
      </c>
      <c r="M104" s="212"/>
      <c r="N104" s="212"/>
    </row>
    <row r="105" spans="1:14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  <c r="N105" s="212"/>
    </row>
    <row r="106" spans="1:14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32" t="s">
        <v>114</v>
      </c>
      <c r="M106" s="212"/>
      <c r="N106" s="212"/>
    </row>
    <row r="107" spans="1:14" ht="12.95">
      <c r="A107" s="218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12"/>
      <c r="M107" s="212"/>
      <c r="N107" s="212"/>
    </row>
    <row r="108" spans="1:14" ht="12.95">
      <c r="A108" s="217" t="str">
        <f>name!A9</f>
        <v>Wearing apparel; Leather, etc</v>
      </c>
      <c r="B108" s="367">
        <f>B$6</f>
        <v>2015</v>
      </c>
      <c r="C108" s="367"/>
      <c r="D108" s="367"/>
      <c r="E108" s="229"/>
      <c r="F108" s="367">
        <f>F91</f>
        <v>2020</v>
      </c>
      <c r="G108" s="367"/>
      <c r="H108" s="367"/>
      <c r="I108" s="229"/>
      <c r="J108" s="367">
        <f>J91</f>
        <v>2035</v>
      </c>
      <c r="K108" s="367"/>
      <c r="L108" s="367"/>
      <c r="M108" s="212"/>
      <c r="N108" s="212"/>
    </row>
    <row r="109" spans="1:14" ht="12.95">
      <c r="A109" s="230"/>
      <c r="B109" s="231" t="s">
        <v>173</v>
      </c>
      <c r="C109" s="231" t="s">
        <v>174</v>
      </c>
      <c r="D109" s="231" t="s">
        <v>119</v>
      </c>
      <c r="E109" s="231"/>
      <c r="F109" s="231" t="s">
        <v>173</v>
      </c>
      <c r="G109" s="231" t="s">
        <v>174</v>
      </c>
      <c r="H109" s="231" t="s">
        <v>119</v>
      </c>
      <c r="I109" s="231"/>
      <c r="J109" s="231" t="s">
        <v>173</v>
      </c>
      <c r="K109" s="231" t="s">
        <v>174</v>
      </c>
      <c r="L109" s="231" t="s">
        <v>119</v>
      </c>
      <c r="M109" s="212"/>
      <c r="N109" s="212"/>
    </row>
    <row r="110" spans="1:14" ht="12.95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  <c r="N110" s="212"/>
    </row>
    <row r="111" spans="1:14">
      <c r="A111" s="213" t="str">
        <f>name!E$4</f>
        <v>Managers, directors and senior officials</v>
      </c>
      <c r="B111" s="278">
        <v>2.6402120037156824</v>
      </c>
      <c r="C111" s="278">
        <v>2.177616790065799</v>
      </c>
      <c r="D111" s="278">
        <f>SUM(B111:C111)</f>
        <v>4.8178287937814819</v>
      </c>
      <c r="E111" s="279"/>
      <c r="F111" s="278">
        <v>2.9546575324878219</v>
      </c>
      <c r="G111" s="278">
        <v>2.9473601035566257</v>
      </c>
      <c r="H111" s="278">
        <f>SUM(F111:G111)</f>
        <v>5.9020176360444481</v>
      </c>
      <c r="I111" s="279"/>
      <c r="J111" s="278">
        <v>1.9377709020404013</v>
      </c>
      <c r="K111" s="278">
        <v>2.2222817712256751</v>
      </c>
      <c r="L111" s="278">
        <f>SUM(J111:K111)</f>
        <v>4.1600526732660761</v>
      </c>
      <c r="M111" s="212"/>
      <c r="N111" s="212"/>
    </row>
    <row r="112" spans="1:14">
      <c r="A112" s="213" t="str">
        <f>name!E$5</f>
        <v>Professional occupations</v>
      </c>
      <c r="B112" s="278">
        <v>2.9779998861887726</v>
      </c>
      <c r="C112" s="278">
        <v>1.5879596615698119</v>
      </c>
      <c r="D112" s="278">
        <f t="shared" ref="D112:D119" si="52">SUM(B112:C112)</f>
        <v>4.5659595477585846</v>
      </c>
      <c r="E112" s="279"/>
      <c r="F112" s="278">
        <v>4.4782916042456105</v>
      </c>
      <c r="G112" s="278">
        <v>2.2178951374562712</v>
      </c>
      <c r="H112" s="278">
        <f t="shared" ref="H112:H119" si="53">SUM(F112:G112)</f>
        <v>6.6961867417018812</v>
      </c>
      <c r="I112" s="279"/>
      <c r="J112" s="278">
        <v>3.8971444216272566</v>
      </c>
      <c r="K112" s="278">
        <v>2.0960204022863613</v>
      </c>
      <c r="L112" s="278">
        <f t="shared" ref="L112:L119" si="54">SUM(J112:K112)</f>
        <v>5.9931648239136184</v>
      </c>
      <c r="M112" s="212"/>
      <c r="N112" s="212"/>
    </row>
    <row r="113" spans="1:14">
      <c r="A113" s="213" t="str">
        <f>name!E$6</f>
        <v>Associate professional occupations</v>
      </c>
      <c r="B113" s="278">
        <v>4.1608306422467978</v>
      </c>
      <c r="C113" s="278">
        <v>1.408271023198431</v>
      </c>
      <c r="D113" s="278">
        <f t="shared" si="52"/>
        <v>5.5691016654452286</v>
      </c>
      <c r="E113" s="279"/>
      <c r="F113" s="278">
        <v>4.4030620713847259</v>
      </c>
      <c r="G113" s="278">
        <v>1.7948607252809023</v>
      </c>
      <c r="H113" s="278">
        <f t="shared" si="53"/>
        <v>6.1979227966656278</v>
      </c>
      <c r="I113" s="279"/>
      <c r="J113" s="278">
        <v>3.3008605934650479</v>
      </c>
      <c r="K113" s="278">
        <v>1.2267092424723327</v>
      </c>
      <c r="L113" s="278">
        <f t="shared" si="54"/>
        <v>4.5275698359373804</v>
      </c>
      <c r="M113" s="212"/>
      <c r="N113" s="212"/>
    </row>
    <row r="114" spans="1:14">
      <c r="A114" s="213" t="str">
        <f>name!E$7</f>
        <v>Administrative and secretarial occupations</v>
      </c>
      <c r="B114" s="278">
        <v>5.1788596968477041</v>
      </c>
      <c r="C114" s="278">
        <v>0.70455656175030279</v>
      </c>
      <c r="D114" s="278">
        <f t="shared" si="52"/>
        <v>5.8834162585980065</v>
      </c>
      <c r="E114" s="279"/>
      <c r="F114" s="278">
        <v>4.5522937083422486</v>
      </c>
      <c r="G114" s="278">
        <v>0.79579926741904572</v>
      </c>
      <c r="H114" s="278">
        <f t="shared" si="53"/>
        <v>5.3480929757612943</v>
      </c>
      <c r="I114" s="279"/>
      <c r="J114" s="278">
        <v>3.3531501548944802</v>
      </c>
      <c r="K114" s="278">
        <v>0.70762630087644396</v>
      </c>
      <c r="L114" s="278">
        <f t="shared" si="54"/>
        <v>4.0607764557709238</v>
      </c>
      <c r="M114" s="212"/>
      <c r="N114" s="212"/>
    </row>
    <row r="115" spans="1:14">
      <c r="A115" s="213" t="str">
        <f>name!E$8</f>
        <v>Skilled trades occupations</v>
      </c>
      <c r="B115" s="278">
        <v>3.3085183624814785</v>
      </c>
      <c r="C115" s="278">
        <v>3.6964644466566448</v>
      </c>
      <c r="D115" s="278">
        <f t="shared" si="52"/>
        <v>7.0049828091381237</v>
      </c>
      <c r="E115" s="279"/>
      <c r="F115" s="278">
        <v>3.2188670011319487</v>
      </c>
      <c r="G115" s="278">
        <v>3.7139000950881851</v>
      </c>
      <c r="H115" s="278">
        <f t="shared" si="53"/>
        <v>6.9327670962201342</v>
      </c>
      <c r="I115" s="279"/>
      <c r="J115" s="278">
        <v>1.9138997258431654</v>
      </c>
      <c r="K115" s="278">
        <v>2.7978202330826245</v>
      </c>
      <c r="L115" s="278">
        <f t="shared" si="54"/>
        <v>4.7117199589257899</v>
      </c>
      <c r="M115" s="212"/>
      <c r="N115" s="212"/>
    </row>
    <row r="116" spans="1:14">
      <c r="A116" s="213" t="str">
        <f>name!E$9</f>
        <v>Caring, leisure and other service occupations</v>
      </c>
      <c r="B116" s="278">
        <v>1.300394541202879</v>
      </c>
      <c r="C116" s="278">
        <v>0.28462455338881182</v>
      </c>
      <c r="D116" s="278">
        <f t="shared" si="52"/>
        <v>1.5850190945916909</v>
      </c>
      <c r="E116" s="279"/>
      <c r="F116" s="278">
        <v>1.8901460028266892</v>
      </c>
      <c r="G116" s="278">
        <v>0.29982078328339029</v>
      </c>
      <c r="H116" s="278">
        <f t="shared" si="53"/>
        <v>2.1899667861100793</v>
      </c>
      <c r="I116" s="279"/>
      <c r="J116" s="278">
        <v>1.7968973194460205</v>
      </c>
      <c r="K116" s="278">
        <v>0.25077974397768732</v>
      </c>
      <c r="L116" s="278">
        <f t="shared" si="54"/>
        <v>2.0476770634237078</v>
      </c>
      <c r="M116" s="212"/>
      <c r="N116" s="212"/>
    </row>
    <row r="117" spans="1:14">
      <c r="A117" s="213" t="str">
        <f>name!E$10</f>
        <v>Sales and customer service occupations</v>
      </c>
      <c r="B117" s="278">
        <v>1.8691228268354416</v>
      </c>
      <c r="C117" s="278">
        <v>0.56863289388411686</v>
      </c>
      <c r="D117" s="278">
        <f t="shared" si="52"/>
        <v>2.4377557207195584</v>
      </c>
      <c r="E117" s="279"/>
      <c r="F117" s="278">
        <v>1.5703616489484891</v>
      </c>
      <c r="G117" s="278">
        <v>0.52188045190797827</v>
      </c>
      <c r="H117" s="278">
        <f t="shared" si="53"/>
        <v>2.0922421008564673</v>
      </c>
      <c r="I117" s="279"/>
      <c r="J117" s="278">
        <v>1.15915858795853</v>
      </c>
      <c r="K117" s="278">
        <v>0.43019286013446723</v>
      </c>
      <c r="L117" s="278">
        <f t="shared" si="54"/>
        <v>1.5893514480929971</v>
      </c>
      <c r="M117" s="212"/>
      <c r="N117" s="212"/>
    </row>
    <row r="118" spans="1:14">
      <c r="A118" s="213" t="str">
        <f>name!E$11</f>
        <v>Process, plant and machine operatives</v>
      </c>
      <c r="B118" s="278">
        <v>6.1353419489067864</v>
      </c>
      <c r="C118" s="278">
        <v>3.6301604522507804</v>
      </c>
      <c r="D118" s="278">
        <f t="shared" si="52"/>
        <v>9.7655024011575673</v>
      </c>
      <c r="E118" s="279"/>
      <c r="F118" s="278">
        <v>3.8894871598335552</v>
      </c>
      <c r="G118" s="278">
        <v>4.0271804718416755</v>
      </c>
      <c r="H118" s="278">
        <f t="shared" si="53"/>
        <v>7.9166676316752307</v>
      </c>
      <c r="I118" s="279"/>
      <c r="J118" s="278">
        <v>2.457034015499711</v>
      </c>
      <c r="K118" s="278">
        <v>2.9901246854303323</v>
      </c>
      <c r="L118" s="278">
        <f t="shared" si="54"/>
        <v>5.4471587009300428</v>
      </c>
      <c r="M118" s="212"/>
      <c r="N118" s="212"/>
    </row>
    <row r="119" spans="1:14">
      <c r="A119" s="213" t="str">
        <f>name!E$12</f>
        <v>Elementary occupations</v>
      </c>
      <c r="B119" s="278">
        <v>2.618720091788707</v>
      </c>
      <c r="C119" s="278">
        <v>4.172713617391576</v>
      </c>
      <c r="D119" s="278">
        <f t="shared" si="52"/>
        <v>6.791433709180283</v>
      </c>
      <c r="E119" s="279"/>
      <c r="F119" s="278">
        <v>2.4908332707653855</v>
      </c>
      <c r="G119" s="278">
        <v>3.5123029642112686</v>
      </c>
      <c r="H119" s="278">
        <f t="shared" si="53"/>
        <v>6.0031362349766546</v>
      </c>
      <c r="I119" s="279"/>
      <c r="J119" s="278">
        <v>2.5200842794615359</v>
      </c>
      <c r="K119" s="278">
        <v>2.5724447605539442</v>
      </c>
      <c r="L119" s="278">
        <f t="shared" si="54"/>
        <v>5.0925290400154797</v>
      </c>
      <c r="M119" s="212"/>
      <c r="N119" s="212"/>
    </row>
    <row r="120" spans="1:14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  <c r="N120" s="212"/>
    </row>
    <row r="121" spans="1:14">
      <c r="A121" s="220" t="s">
        <v>119</v>
      </c>
      <c r="B121" s="282">
        <f>SUM(B111:B119)</f>
        <v>30.190000000214244</v>
      </c>
      <c r="C121" s="282">
        <f t="shared" ref="C121:D121" si="55">SUM(C111:C119)</f>
        <v>18.231000000156271</v>
      </c>
      <c r="D121" s="282">
        <f t="shared" si="55"/>
        <v>48.421000000370526</v>
      </c>
      <c r="E121" s="282"/>
      <c r="F121" s="282">
        <f t="shared" ref="F121:H121" si="56">SUM(F111:F119)</f>
        <v>29.44799999996647</v>
      </c>
      <c r="G121" s="282">
        <f t="shared" si="56"/>
        <v>19.831000000045343</v>
      </c>
      <c r="H121" s="282">
        <f t="shared" si="56"/>
        <v>49.27900000001182</v>
      </c>
      <c r="I121" s="282"/>
      <c r="J121" s="282">
        <f t="shared" ref="J121:L121" si="57">SUM(J111:J119)</f>
        <v>22.336000000236147</v>
      </c>
      <c r="K121" s="282">
        <f t="shared" si="57"/>
        <v>15.294000000039869</v>
      </c>
      <c r="L121" s="282">
        <f t="shared" si="57"/>
        <v>37.630000000276013</v>
      </c>
      <c r="M121" s="212"/>
      <c r="N121" s="212"/>
    </row>
    <row r="122" spans="1:14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  <c r="N122" s="212"/>
    </row>
    <row r="123" spans="1:14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32" t="s">
        <v>114</v>
      </c>
      <c r="M123" s="212"/>
      <c r="N123" s="212"/>
    </row>
    <row r="124" spans="1:14" ht="12.95">
      <c r="A124" s="218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12"/>
      <c r="M124" s="212"/>
      <c r="N124" s="212"/>
    </row>
    <row r="125" spans="1:14" ht="12.95">
      <c r="A125" s="217" t="str">
        <f>name!A10</f>
        <v xml:space="preserve">Wood and cork </v>
      </c>
      <c r="B125" s="367">
        <f>B$6</f>
        <v>2015</v>
      </c>
      <c r="C125" s="367"/>
      <c r="D125" s="367"/>
      <c r="E125" s="229"/>
      <c r="F125" s="367">
        <f>F108</f>
        <v>2020</v>
      </c>
      <c r="G125" s="367"/>
      <c r="H125" s="367"/>
      <c r="I125" s="229"/>
      <c r="J125" s="367">
        <f>J108</f>
        <v>2035</v>
      </c>
      <c r="K125" s="367"/>
      <c r="L125" s="367"/>
      <c r="M125" s="212"/>
      <c r="N125" s="212"/>
    </row>
    <row r="126" spans="1:14" ht="12.95">
      <c r="A126" s="230"/>
      <c r="B126" s="231" t="s">
        <v>173</v>
      </c>
      <c r="C126" s="231" t="s">
        <v>174</v>
      </c>
      <c r="D126" s="231" t="s">
        <v>119</v>
      </c>
      <c r="E126" s="231"/>
      <c r="F126" s="231" t="s">
        <v>173</v>
      </c>
      <c r="G126" s="231" t="s">
        <v>174</v>
      </c>
      <c r="H126" s="231" t="s">
        <v>119</v>
      </c>
      <c r="I126" s="231"/>
      <c r="J126" s="231" t="s">
        <v>173</v>
      </c>
      <c r="K126" s="231" t="s">
        <v>174</v>
      </c>
      <c r="L126" s="231" t="s">
        <v>119</v>
      </c>
      <c r="M126" s="212"/>
      <c r="N126" s="212"/>
    </row>
    <row r="127" spans="1:14" ht="12.95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  <c r="N127" s="212"/>
    </row>
    <row r="128" spans="1:14">
      <c r="A128" s="213" t="str">
        <f>name!E$4</f>
        <v>Managers, directors and senior officials</v>
      </c>
      <c r="B128" s="278">
        <v>1.5857388466070652</v>
      </c>
      <c r="C128" s="278">
        <v>3.834550284037165</v>
      </c>
      <c r="D128" s="278">
        <f>SUM(B128:C128)</f>
        <v>5.42028913064423</v>
      </c>
      <c r="E128" s="279"/>
      <c r="F128" s="278">
        <v>2.4251033335384151</v>
      </c>
      <c r="G128" s="278">
        <v>6.4981448432999427</v>
      </c>
      <c r="H128" s="278">
        <f>SUM(F128:G128)</f>
        <v>8.9232481768383582</v>
      </c>
      <c r="I128" s="279"/>
      <c r="J128" s="278">
        <v>2.4204575692019747</v>
      </c>
      <c r="K128" s="278">
        <v>6.1257590537160374</v>
      </c>
      <c r="L128" s="278">
        <f>SUM(J128:K128)</f>
        <v>8.5462166229180117</v>
      </c>
      <c r="M128" s="212"/>
      <c r="N128" s="212"/>
    </row>
    <row r="129" spans="1:14">
      <c r="A129" s="213" t="str">
        <f>name!E$5</f>
        <v>Professional occupations</v>
      </c>
      <c r="B129" s="278">
        <v>1.5003359250348645</v>
      </c>
      <c r="C129" s="278">
        <v>2.1564452531943887</v>
      </c>
      <c r="D129" s="278">
        <f t="shared" ref="D129:D136" si="58">SUM(B129:C129)</f>
        <v>3.6567811782292532</v>
      </c>
      <c r="E129" s="279"/>
      <c r="F129" s="278">
        <v>2.4647192721588032</v>
      </c>
      <c r="G129" s="278">
        <v>3.8309774296269916</v>
      </c>
      <c r="H129" s="278">
        <f t="shared" ref="H129:H136" si="59">SUM(F129:G129)</f>
        <v>6.2956967017857952</v>
      </c>
      <c r="I129" s="279"/>
      <c r="J129" s="278">
        <v>2.8512941960018998</v>
      </c>
      <c r="K129" s="278">
        <v>4.7079584245549153</v>
      </c>
      <c r="L129" s="278">
        <f t="shared" ref="L129:L136" si="60">SUM(J129:K129)</f>
        <v>7.5592526205568156</v>
      </c>
      <c r="M129" s="212"/>
      <c r="N129" s="212"/>
    </row>
    <row r="130" spans="1:14">
      <c r="A130" s="213" t="str">
        <f>name!E$6</f>
        <v>Associate professional occupations</v>
      </c>
      <c r="B130" s="278">
        <v>1.3982274769703349</v>
      </c>
      <c r="C130" s="278">
        <v>3.5454642965074163</v>
      </c>
      <c r="D130" s="278">
        <f t="shared" si="58"/>
        <v>4.9436917734777515</v>
      </c>
      <c r="E130" s="279"/>
      <c r="F130" s="278">
        <v>1.8821589147692206</v>
      </c>
      <c r="G130" s="278">
        <v>5.7723833094259955</v>
      </c>
      <c r="H130" s="278">
        <f t="shared" si="59"/>
        <v>7.6545422241952163</v>
      </c>
      <c r="I130" s="279"/>
      <c r="J130" s="278">
        <v>2.071007167410829</v>
      </c>
      <c r="K130" s="278">
        <v>5.8525593698889011</v>
      </c>
      <c r="L130" s="278">
        <f t="shared" si="60"/>
        <v>7.9235665372997302</v>
      </c>
      <c r="M130" s="212"/>
      <c r="N130" s="212"/>
    </row>
    <row r="131" spans="1:14">
      <c r="A131" s="213" t="str">
        <f>name!E$7</f>
        <v>Administrative and secretarial occupations</v>
      </c>
      <c r="B131" s="278">
        <v>4.3579013752687725</v>
      </c>
      <c r="C131" s="278">
        <v>0.96411576847702163</v>
      </c>
      <c r="D131" s="278">
        <f t="shared" si="58"/>
        <v>5.3220171437457946</v>
      </c>
      <c r="E131" s="279"/>
      <c r="F131" s="278">
        <v>3.5025642337543155</v>
      </c>
      <c r="G131" s="278">
        <v>1.3700379576524637</v>
      </c>
      <c r="H131" s="278">
        <f t="shared" si="59"/>
        <v>4.872602191406779</v>
      </c>
      <c r="I131" s="279"/>
      <c r="J131" s="278">
        <v>2.8952535861872351</v>
      </c>
      <c r="K131" s="278">
        <v>1.5457084485983346</v>
      </c>
      <c r="L131" s="278">
        <f t="shared" si="60"/>
        <v>4.4409620347855698</v>
      </c>
      <c r="M131" s="212"/>
      <c r="N131" s="212"/>
    </row>
    <row r="132" spans="1:14">
      <c r="A132" s="213" t="str">
        <f>name!E$8</f>
        <v>Skilled trades occupations</v>
      </c>
      <c r="B132" s="278">
        <v>0.72593117329835022</v>
      </c>
      <c r="C132" s="278">
        <v>22.51533251639027</v>
      </c>
      <c r="D132" s="278">
        <f t="shared" si="58"/>
        <v>23.241263689688619</v>
      </c>
      <c r="E132" s="279"/>
      <c r="F132" s="278">
        <v>0.68071097926487201</v>
      </c>
      <c r="G132" s="278">
        <v>22.898353106086986</v>
      </c>
      <c r="H132" s="278">
        <f t="shared" si="59"/>
        <v>23.57906408535186</v>
      </c>
      <c r="I132" s="279"/>
      <c r="J132" s="278">
        <v>0.69706477488474938</v>
      </c>
      <c r="K132" s="278">
        <v>20.141809837544749</v>
      </c>
      <c r="L132" s="278">
        <f t="shared" si="60"/>
        <v>20.8388746124295</v>
      </c>
      <c r="M132" s="212"/>
      <c r="N132" s="212"/>
    </row>
    <row r="133" spans="1:14">
      <c r="A133" s="213" t="str">
        <f>name!E$9</f>
        <v>Caring, leisure and other service occupations</v>
      </c>
      <c r="B133" s="278">
        <v>0.69724851395199083</v>
      </c>
      <c r="C133" s="278">
        <v>0.36266247366110721</v>
      </c>
      <c r="D133" s="278">
        <f t="shared" si="58"/>
        <v>1.0599109876130981</v>
      </c>
      <c r="E133" s="279"/>
      <c r="F133" s="278">
        <v>0.81516600211893397</v>
      </c>
      <c r="G133" s="278">
        <v>0.65146771993326436</v>
      </c>
      <c r="H133" s="278">
        <f t="shared" si="59"/>
        <v>1.4666337220521983</v>
      </c>
      <c r="I133" s="279"/>
      <c r="J133" s="278">
        <v>0.75855366328077345</v>
      </c>
      <c r="K133" s="278">
        <v>0.91186234159918134</v>
      </c>
      <c r="L133" s="278">
        <f t="shared" si="60"/>
        <v>1.6704160048799548</v>
      </c>
      <c r="M133" s="212"/>
      <c r="N133" s="212"/>
    </row>
    <row r="134" spans="1:14">
      <c r="A134" s="213" t="str">
        <f>name!E$10</f>
        <v>Sales and customer service occupations</v>
      </c>
      <c r="B134" s="278">
        <v>1.0473102700183632</v>
      </c>
      <c r="C134" s="278">
        <v>0.89529084629761313</v>
      </c>
      <c r="D134" s="278">
        <f>SUM(B134:C134)</f>
        <v>1.9426011163159762</v>
      </c>
      <c r="E134" s="279"/>
      <c r="F134" s="278">
        <v>0.87676357515141456</v>
      </c>
      <c r="G134" s="278">
        <v>1.09550322619994</v>
      </c>
      <c r="H134" s="278">
        <f t="shared" si="59"/>
        <v>1.9722668013513545</v>
      </c>
      <c r="I134" s="279"/>
      <c r="J134" s="278">
        <v>0.81897094495264078</v>
      </c>
      <c r="K134" s="278">
        <v>1.1645971339170453</v>
      </c>
      <c r="L134" s="278">
        <f t="shared" si="60"/>
        <v>1.9835680788696861</v>
      </c>
      <c r="M134" s="212"/>
      <c r="N134" s="212"/>
    </row>
    <row r="135" spans="1:14">
      <c r="A135" s="213" t="str">
        <f>name!E$11</f>
        <v>Process, plant and machine operatives</v>
      </c>
      <c r="B135" s="278">
        <v>0.88976619212569041</v>
      </c>
      <c r="C135" s="278">
        <v>14.235543367622132</v>
      </c>
      <c r="D135" s="278">
        <f t="shared" si="58"/>
        <v>15.125309559747823</v>
      </c>
      <c r="E135" s="279"/>
      <c r="F135" s="278">
        <v>0.60169581140494832</v>
      </c>
      <c r="G135" s="278">
        <v>15.153147706831849</v>
      </c>
      <c r="H135" s="278">
        <f t="shared" si="59"/>
        <v>15.754843518236797</v>
      </c>
      <c r="I135" s="279"/>
      <c r="J135" s="278">
        <v>0.58717255458063766</v>
      </c>
      <c r="K135" s="278">
        <v>13.757999686759389</v>
      </c>
      <c r="L135" s="278">
        <f t="shared" si="60"/>
        <v>14.345172241340027</v>
      </c>
      <c r="M135" s="212"/>
      <c r="N135" s="212"/>
    </row>
    <row r="136" spans="1:14">
      <c r="A136" s="213" t="str">
        <f>name!E$12</f>
        <v>Elementary occupations</v>
      </c>
      <c r="B136" s="278">
        <v>1.0075402267429099</v>
      </c>
      <c r="C136" s="278">
        <v>4.6385951936769123</v>
      </c>
      <c r="D136" s="278">
        <f t="shared" si="58"/>
        <v>5.6461354204198226</v>
      </c>
      <c r="E136" s="279"/>
      <c r="F136" s="278">
        <v>0.70711787778478252</v>
      </c>
      <c r="G136" s="278">
        <v>5.4859847008730043</v>
      </c>
      <c r="H136" s="278">
        <f t="shared" si="59"/>
        <v>6.1931025786577871</v>
      </c>
      <c r="I136" s="279"/>
      <c r="J136" s="278">
        <v>1.0132255437667157</v>
      </c>
      <c r="K136" s="278">
        <v>5.1807457031618043</v>
      </c>
      <c r="L136" s="278">
        <f t="shared" si="60"/>
        <v>6.1939712469285197</v>
      </c>
      <c r="M136" s="212"/>
      <c r="N136" s="212"/>
    </row>
    <row r="137" spans="1:14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  <c r="N137" s="212"/>
    </row>
    <row r="138" spans="1:14">
      <c r="A138" s="220" t="s">
        <v>119</v>
      </c>
      <c r="B138" s="282">
        <f>SUM(B128:B136)</f>
        <v>13.210000000018342</v>
      </c>
      <c r="C138" s="282">
        <f t="shared" ref="C138" si="61">SUM(C128:C136)</f>
        <v>53.147999999864034</v>
      </c>
      <c r="D138" s="282">
        <f>SUM(D128:D136)</f>
        <v>66.357999999882367</v>
      </c>
      <c r="E138" s="282"/>
      <c r="F138" s="282">
        <f t="shared" ref="F138:H138" si="62">SUM(F128:F136)</f>
        <v>13.955999999945705</v>
      </c>
      <c r="G138" s="282">
        <f t="shared" si="62"/>
        <v>62.755999999930438</v>
      </c>
      <c r="H138" s="282">
        <f t="shared" si="62"/>
        <v>76.711999999876141</v>
      </c>
      <c r="I138" s="282"/>
      <c r="J138" s="282">
        <f t="shared" ref="J138:L138" si="63">SUM(J128:J136)</f>
        <v>14.113000000267455</v>
      </c>
      <c r="K138" s="282">
        <f t="shared" si="63"/>
        <v>59.388999999740363</v>
      </c>
      <c r="L138" s="282">
        <f t="shared" si="63"/>
        <v>73.502000000007826</v>
      </c>
      <c r="M138" s="212"/>
      <c r="N138" s="212"/>
    </row>
    <row r="139" spans="1:14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  <c r="N139" s="212"/>
    </row>
    <row r="140" spans="1:14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32" t="s">
        <v>114</v>
      </c>
      <c r="M140" s="212"/>
      <c r="N140" s="212"/>
    </row>
    <row r="141" spans="1:14" ht="12.95">
      <c r="A141" s="218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12"/>
      <c r="M141" s="212"/>
      <c r="N141" s="212"/>
    </row>
    <row r="142" spans="1:14" ht="12.95">
      <c r="A142" s="217" t="str">
        <f>name!A11</f>
        <v>Paper, etc</v>
      </c>
      <c r="B142" s="367">
        <f>B$6</f>
        <v>2015</v>
      </c>
      <c r="C142" s="367"/>
      <c r="D142" s="367"/>
      <c r="E142" s="229"/>
      <c r="F142" s="367">
        <f>F125</f>
        <v>2020</v>
      </c>
      <c r="G142" s="367"/>
      <c r="H142" s="367"/>
      <c r="I142" s="229"/>
      <c r="J142" s="367">
        <f>J125</f>
        <v>2035</v>
      </c>
      <c r="K142" s="367"/>
      <c r="L142" s="367"/>
      <c r="M142" s="212"/>
      <c r="N142" s="212"/>
    </row>
    <row r="143" spans="1:14" ht="12.95">
      <c r="A143" s="230"/>
      <c r="B143" s="231" t="s">
        <v>173</v>
      </c>
      <c r="C143" s="231" t="s">
        <v>174</v>
      </c>
      <c r="D143" s="231" t="s">
        <v>119</v>
      </c>
      <c r="E143" s="231"/>
      <c r="F143" s="231" t="s">
        <v>173</v>
      </c>
      <c r="G143" s="231" t="s">
        <v>174</v>
      </c>
      <c r="H143" s="231" t="s">
        <v>119</v>
      </c>
      <c r="I143" s="231"/>
      <c r="J143" s="231" t="s">
        <v>173</v>
      </c>
      <c r="K143" s="231" t="s">
        <v>174</v>
      </c>
      <c r="L143" s="231" t="s">
        <v>119</v>
      </c>
      <c r="M143" s="212"/>
      <c r="N143" s="212"/>
    </row>
    <row r="144" spans="1:14" ht="12.95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  <c r="N144" s="212"/>
    </row>
    <row r="145" spans="1:14">
      <c r="A145" s="213" t="str">
        <f>name!E$4</f>
        <v>Managers, directors and senior officials</v>
      </c>
      <c r="B145" s="278">
        <v>0.58068323235795427</v>
      </c>
      <c r="C145" s="278">
        <v>6.9008528768221735</v>
      </c>
      <c r="D145" s="278">
        <f>SUM(B145:C145)</f>
        <v>7.4815361091801282</v>
      </c>
      <c r="E145" s="279"/>
      <c r="F145" s="278">
        <v>0.61352349093347913</v>
      </c>
      <c r="G145" s="278">
        <v>5.2916178120922792</v>
      </c>
      <c r="H145" s="278">
        <f>SUM(F145:G145)</f>
        <v>5.9051413030257587</v>
      </c>
      <c r="I145" s="279"/>
      <c r="J145" s="278">
        <v>0.55974474095402504</v>
      </c>
      <c r="K145" s="278">
        <v>5.3464187655011441</v>
      </c>
      <c r="L145" s="278">
        <f>SUM(J145:K145)</f>
        <v>5.9061635064551687</v>
      </c>
      <c r="M145" s="212"/>
      <c r="N145" s="212"/>
    </row>
    <row r="146" spans="1:14">
      <c r="A146" s="213" t="str">
        <f>name!E$5</f>
        <v>Professional occupations</v>
      </c>
      <c r="B146" s="278">
        <v>0.69338734737426722</v>
      </c>
      <c r="C146" s="278">
        <v>4.5345665726316637</v>
      </c>
      <c r="D146" s="278">
        <f t="shared" ref="D146:D153" si="64">SUM(B146:C146)</f>
        <v>5.2279539200059313</v>
      </c>
      <c r="E146" s="279"/>
      <c r="F146" s="278">
        <v>0.75504898872542037</v>
      </c>
      <c r="G146" s="278">
        <v>4.5376896725097691</v>
      </c>
      <c r="H146" s="278">
        <f t="shared" ref="H146:H153" si="65">SUM(F146:G146)</f>
        <v>5.2927386612351892</v>
      </c>
      <c r="I146" s="279"/>
      <c r="J146" s="278">
        <v>0.88946879941768842</v>
      </c>
      <c r="K146" s="278">
        <v>6.0926855830798612</v>
      </c>
      <c r="L146" s="278">
        <f t="shared" ref="L146:L153" si="66">SUM(J146:K146)</f>
        <v>6.9821543824975496</v>
      </c>
      <c r="M146" s="212"/>
      <c r="N146" s="212"/>
    </row>
    <row r="147" spans="1:14">
      <c r="A147" s="213" t="str">
        <f>name!E$6</f>
        <v>Associate professional occupations</v>
      </c>
      <c r="B147" s="278">
        <v>1.2187500418284254</v>
      </c>
      <c r="C147" s="278">
        <v>4.8049977717721921</v>
      </c>
      <c r="D147" s="278">
        <f t="shared" si="64"/>
        <v>6.0237478136006173</v>
      </c>
      <c r="E147" s="279"/>
      <c r="F147" s="278">
        <v>1.1179016515424773</v>
      </c>
      <c r="G147" s="278">
        <v>4.5024082577795488</v>
      </c>
      <c r="H147" s="278">
        <f t="shared" si="65"/>
        <v>5.6203099093220263</v>
      </c>
      <c r="I147" s="279"/>
      <c r="J147" s="278">
        <v>1.2219832172532969</v>
      </c>
      <c r="K147" s="278">
        <v>4.3739387697032726</v>
      </c>
      <c r="L147" s="278">
        <f t="shared" si="66"/>
        <v>5.5959219869565695</v>
      </c>
      <c r="M147" s="212"/>
      <c r="N147" s="212"/>
    </row>
    <row r="148" spans="1:14">
      <c r="A148" s="213" t="str">
        <f>name!E$7</f>
        <v>Administrative and secretarial occupations</v>
      </c>
      <c r="B148" s="278">
        <v>1.8509264007009167</v>
      </c>
      <c r="C148" s="278">
        <v>1.5314006848105595</v>
      </c>
      <c r="D148" s="278">
        <f t="shared" si="64"/>
        <v>3.3823270855114762</v>
      </c>
      <c r="E148" s="279"/>
      <c r="F148" s="278">
        <v>1.114590115050859</v>
      </c>
      <c r="G148" s="278">
        <v>1.4887137101951924</v>
      </c>
      <c r="H148" s="278">
        <f t="shared" si="65"/>
        <v>2.6033038252460514</v>
      </c>
      <c r="I148" s="279"/>
      <c r="J148" s="278">
        <v>0.86334188074960105</v>
      </c>
      <c r="K148" s="278">
        <v>1.7163422213652944</v>
      </c>
      <c r="L148" s="278">
        <f t="shared" si="66"/>
        <v>2.5796841021148955</v>
      </c>
      <c r="M148" s="212"/>
      <c r="N148" s="212"/>
    </row>
    <row r="149" spans="1:14">
      <c r="A149" s="213" t="str">
        <f>name!E$8</f>
        <v>Skilled trades occupations</v>
      </c>
      <c r="B149" s="278">
        <v>0.2230390206662767</v>
      </c>
      <c r="C149" s="278">
        <v>10.282336795599623</v>
      </c>
      <c r="D149" s="278">
        <f t="shared" si="64"/>
        <v>10.5053758162659</v>
      </c>
      <c r="E149" s="279"/>
      <c r="F149" s="278">
        <v>0.17393975832453809</v>
      </c>
      <c r="G149" s="278">
        <v>6.1169847805389557</v>
      </c>
      <c r="H149" s="278">
        <f t="shared" si="65"/>
        <v>6.2909245388634938</v>
      </c>
      <c r="I149" s="279"/>
      <c r="J149" s="278">
        <v>0.12883830596964768</v>
      </c>
      <c r="K149" s="278">
        <v>5.2052825760028938</v>
      </c>
      <c r="L149" s="278">
        <f t="shared" si="66"/>
        <v>5.3341208819725416</v>
      </c>
      <c r="M149" s="212"/>
      <c r="N149" s="212"/>
    </row>
    <row r="150" spans="1:14">
      <c r="A150" s="213" t="str">
        <f>name!E$9</f>
        <v>Caring, leisure and other service occupations</v>
      </c>
      <c r="B150" s="278">
        <v>0.44577230344923985</v>
      </c>
      <c r="C150" s="278">
        <v>0.26272924346407306</v>
      </c>
      <c r="D150" s="278">
        <f t="shared" si="64"/>
        <v>0.70850154691331291</v>
      </c>
      <c r="E150" s="279"/>
      <c r="F150" s="278">
        <v>0.32106294416415115</v>
      </c>
      <c r="G150" s="278">
        <v>0.23503055990408131</v>
      </c>
      <c r="H150" s="278">
        <f t="shared" si="65"/>
        <v>0.55609350406823244</v>
      </c>
      <c r="I150" s="279"/>
      <c r="J150" s="278">
        <v>0.31544178637668963</v>
      </c>
      <c r="K150" s="278">
        <v>0.17937605958361511</v>
      </c>
      <c r="L150" s="278">
        <f t="shared" si="66"/>
        <v>0.49481784596030476</v>
      </c>
      <c r="M150" s="212"/>
      <c r="N150" s="212"/>
    </row>
    <row r="151" spans="1:14">
      <c r="A151" s="213" t="str">
        <f>name!E$10</f>
        <v>Sales and customer service occupations</v>
      </c>
      <c r="B151" s="278">
        <v>0.67785602485823282</v>
      </c>
      <c r="C151" s="278">
        <v>1.0078896827607497</v>
      </c>
      <c r="D151" s="278">
        <f t="shared" si="64"/>
        <v>1.6857457076189826</v>
      </c>
      <c r="E151" s="279"/>
      <c r="F151" s="278">
        <v>0.42711513885530566</v>
      </c>
      <c r="G151" s="278">
        <v>0.67476833622230603</v>
      </c>
      <c r="H151" s="278">
        <f t="shared" si="65"/>
        <v>1.1018834750776116</v>
      </c>
      <c r="I151" s="279"/>
      <c r="J151" s="278">
        <v>0.37317052017896468</v>
      </c>
      <c r="K151" s="278">
        <v>0.82388019776273036</v>
      </c>
      <c r="L151" s="278">
        <f t="shared" si="66"/>
        <v>1.1970507179416949</v>
      </c>
      <c r="M151" s="212"/>
      <c r="N151" s="212"/>
    </row>
    <row r="152" spans="1:14">
      <c r="A152" s="213" t="str">
        <f>name!E$11</f>
        <v>Process, plant and machine operatives</v>
      </c>
      <c r="B152" s="278">
        <v>0.62799921059933028</v>
      </c>
      <c r="C152" s="278">
        <v>12.982408397734083</v>
      </c>
      <c r="D152" s="278">
        <f t="shared" si="64"/>
        <v>13.610407608333414</v>
      </c>
      <c r="E152" s="279"/>
      <c r="F152" s="278">
        <v>0.40158509970486889</v>
      </c>
      <c r="G152" s="278">
        <v>9.3028568386928168</v>
      </c>
      <c r="H152" s="278">
        <f t="shared" si="65"/>
        <v>9.7044419383976859</v>
      </c>
      <c r="I152" s="279"/>
      <c r="J152" s="278">
        <v>0.40317724158812984</v>
      </c>
      <c r="K152" s="278">
        <v>7.041473484895227</v>
      </c>
      <c r="L152" s="278">
        <f t="shared" si="66"/>
        <v>7.4446507264833564</v>
      </c>
      <c r="M152" s="212"/>
      <c r="N152" s="212"/>
    </row>
    <row r="153" spans="1:14">
      <c r="A153" s="213" t="str">
        <f>name!E$12</f>
        <v>Elementary occupations</v>
      </c>
      <c r="B153" s="278">
        <v>1.3985864182055534</v>
      </c>
      <c r="C153" s="278">
        <v>4.8598179744880712</v>
      </c>
      <c r="D153" s="278">
        <f t="shared" si="64"/>
        <v>6.2584043926936248</v>
      </c>
      <c r="E153" s="279"/>
      <c r="F153" s="278">
        <v>0.72523281265894646</v>
      </c>
      <c r="G153" s="278">
        <v>3.5999300321784387</v>
      </c>
      <c r="H153" s="278">
        <f t="shared" si="65"/>
        <v>4.3251628448373847</v>
      </c>
      <c r="I153" s="279"/>
      <c r="J153" s="278">
        <v>0.91583350764365834</v>
      </c>
      <c r="K153" s="278">
        <v>3.3586023422714626</v>
      </c>
      <c r="L153" s="278">
        <f t="shared" si="66"/>
        <v>4.2744358499151209</v>
      </c>
      <c r="M153" s="212"/>
      <c r="N153" s="212"/>
    </row>
    <row r="154" spans="1:14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  <c r="N154" s="212"/>
    </row>
    <row r="155" spans="1:14">
      <c r="A155" s="220" t="s">
        <v>119</v>
      </c>
      <c r="B155" s="282">
        <f>SUM(B145:B153)</f>
        <v>7.7170000000401968</v>
      </c>
      <c r="C155" s="282">
        <f t="shared" ref="C155:D155" si="67">SUM(C145:C153)</f>
        <v>47.167000000083192</v>
      </c>
      <c r="D155" s="282">
        <f t="shared" si="67"/>
        <v>54.884000000123386</v>
      </c>
      <c r="E155" s="282"/>
      <c r="F155" s="282">
        <f t="shared" ref="F155:H155" si="68">SUM(F145:F153)</f>
        <v>5.6499999999600465</v>
      </c>
      <c r="G155" s="282">
        <f t="shared" si="68"/>
        <v>35.750000000113396</v>
      </c>
      <c r="H155" s="282">
        <f t="shared" si="68"/>
        <v>41.400000000073433</v>
      </c>
      <c r="I155" s="282"/>
      <c r="J155" s="282">
        <f t="shared" ref="J155:L155" si="69">SUM(J145:J153)</f>
        <v>5.671000000131702</v>
      </c>
      <c r="K155" s="282">
        <f t="shared" si="69"/>
        <v>34.138000000165498</v>
      </c>
      <c r="L155" s="282">
        <f t="shared" si="69"/>
        <v>39.809000000297203</v>
      </c>
      <c r="M155" s="212"/>
      <c r="N155" s="212"/>
    </row>
    <row r="156" spans="1:14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  <c r="N156" s="212"/>
    </row>
    <row r="157" spans="1:14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32" t="s">
        <v>114</v>
      </c>
      <c r="M157" s="212"/>
      <c r="N157" s="212"/>
    </row>
    <row r="158" spans="1:14" ht="12.95">
      <c r="A158" s="218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12"/>
      <c r="M158" s="212"/>
      <c r="N158" s="212"/>
    </row>
    <row r="159" spans="1:14" ht="12.95">
      <c r="A159" s="217" t="str">
        <f>name!A12</f>
        <v>Printing and recording</v>
      </c>
      <c r="B159" s="367">
        <f>B$6</f>
        <v>2015</v>
      </c>
      <c r="C159" s="367"/>
      <c r="D159" s="367"/>
      <c r="E159" s="229"/>
      <c r="F159" s="367">
        <f>F142</f>
        <v>2020</v>
      </c>
      <c r="G159" s="367"/>
      <c r="H159" s="367"/>
      <c r="I159" s="229"/>
      <c r="J159" s="367">
        <f>J142</f>
        <v>2035</v>
      </c>
      <c r="K159" s="367"/>
      <c r="L159" s="367"/>
      <c r="M159" s="212"/>
      <c r="N159" s="212"/>
    </row>
    <row r="160" spans="1:14" ht="12.95">
      <c r="A160" s="230"/>
      <c r="B160" s="231" t="s">
        <v>173</v>
      </c>
      <c r="C160" s="231" t="s">
        <v>174</v>
      </c>
      <c r="D160" s="231" t="s">
        <v>119</v>
      </c>
      <c r="E160" s="231"/>
      <c r="F160" s="231" t="s">
        <v>173</v>
      </c>
      <c r="G160" s="231" t="s">
        <v>174</v>
      </c>
      <c r="H160" s="231" t="s">
        <v>119</v>
      </c>
      <c r="I160" s="231"/>
      <c r="J160" s="231" t="s">
        <v>173</v>
      </c>
      <c r="K160" s="231" t="s">
        <v>174</v>
      </c>
      <c r="L160" s="231" t="s">
        <v>119</v>
      </c>
      <c r="M160" s="212"/>
      <c r="N160" s="212"/>
    </row>
    <row r="161" spans="1:14" ht="12.95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  <c r="N161" s="212"/>
    </row>
    <row r="162" spans="1:14">
      <c r="A162" s="213" t="str">
        <f>name!E$4</f>
        <v>Managers, directors and senior officials</v>
      </c>
      <c r="B162" s="278">
        <v>3.4148103314515033</v>
      </c>
      <c r="C162" s="278">
        <v>16.631332916540888</v>
      </c>
      <c r="D162" s="278">
        <f>SUM(B162:C162)</f>
        <v>20.04614324799239</v>
      </c>
      <c r="E162" s="279"/>
      <c r="F162" s="278">
        <v>2.8063281797913486</v>
      </c>
      <c r="G162" s="278">
        <v>12.486272364008666</v>
      </c>
      <c r="H162" s="278">
        <f>SUM(F162:G162)</f>
        <v>15.292600543800015</v>
      </c>
      <c r="I162" s="279"/>
      <c r="J162" s="278">
        <v>2.139406534011032</v>
      </c>
      <c r="K162" s="278">
        <v>9.390868256525124</v>
      </c>
      <c r="L162" s="278">
        <f>SUM(J162:K162)</f>
        <v>11.530274790536156</v>
      </c>
      <c r="M162" s="212"/>
      <c r="N162" s="212"/>
    </row>
    <row r="163" spans="1:14">
      <c r="A163" s="213" t="str">
        <f>name!E$5</f>
        <v>Professional occupations</v>
      </c>
      <c r="B163" s="278">
        <v>4.3512972057127071</v>
      </c>
      <c r="C163" s="278">
        <v>11.847141682870731</v>
      </c>
      <c r="D163" s="278">
        <f t="shared" ref="D163:D170" si="70">SUM(B163:C163)</f>
        <v>16.198438888583439</v>
      </c>
      <c r="E163" s="279"/>
      <c r="F163" s="278">
        <v>3.9020023515051561</v>
      </c>
      <c r="G163" s="278">
        <v>10.068869923857122</v>
      </c>
      <c r="H163" s="278">
        <f t="shared" ref="H163:H170" si="71">SUM(F163:G163)</f>
        <v>13.970872275362279</v>
      </c>
      <c r="I163" s="279"/>
      <c r="J163" s="278">
        <v>3.6281671723449684</v>
      </c>
      <c r="K163" s="278">
        <v>9.7357896962133452</v>
      </c>
      <c r="L163" s="278">
        <f t="shared" ref="L163:L170" si="72">SUM(J163:K163)</f>
        <v>13.363956868558313</v>
      </c>
      <c r="M163" s="212"/>
      <c r="N163" s="212"/>
    </row>
    <row r="164" spans="1:14">
      <c r="A164" s="213" t="str">
        <f>name!E$6</f>
        <v>Associate professional occupations</v>
      </c>
      <c r="B164" s="278">
        <v>9.1003642503578472</v>
      </c>
      <c r="C164" s="278">
        <v>14.081241422916083</v>
      </c>
      <c r="D164" s="278">
        <f t="shared" si="70"/>
        <v>23.181605673273928</v>
      </c>
      <c r="E164" s="279"/>
      <c r="F164" s="278">
        <v>7.2021628809796958</v>
      </c>
      <c r="G164" s="278">
        <v>11.052550147512498</v>
      </c>
      <c r="H164" s="278">
        <f t="shared" si="71"/>
        <v>18.254713028492194</v>
      </c>
      <c r="I164" s="279"/>
      <c r="J164" s="278">
        <v>6.1941101131479144</v>
      </c>
      <c r="K164" s="278">
        <v>7.7378652660713181</v>
      </c>
      <c r="L164" s="278">
        <f t="shared" si="72"/>
        <v>13.931975379219232</v>
      </c>
      <c r="M164" s="212"/>
      <c r="N164" s="212"/>
    </row>
    <row r="165" spans="1:14">
      <c r="A165" s="213" t="str">
        <f>name!E$7</f>
        <v>Administrative and secretarial occupations</v>
      </c>
      <c r="B165" s="278">
        <v>7.2918431944275053</v>
      </c>
      <c r="C165" s="278">
        <v>2.3522784612145102</v>
      </c>
      <c r="D165" s="278">
        <f t="shared" si="70"/>
        <v>9.6441216556420155</v>
      </c>
      <c r="E165" s="279"/>
      <c r="F165" s="278">
        <v>5.0953929069415747</v>
      </c>
      <c r="G165" s="278">
        <v>2.0765268173443565</v>
      </c>
      <c r="H165" s="278">
        <f t="shared" si="71"/>
        <v>7.1719197242859316</v>
      </c>
      <c r="I165" s="279"/>
      <c r="J165" s="278">
        <v>3.1893596743038488</v>
      </c>
      <c r="K165" s="278">
        <v>1.7660367160603001</v>
      </c>
      <c r="L165" s="278">
        <f t="shared" si="72"/>
        <v>4.9553963903641485</v>
      </c>
      <c r="M165" s="212"/>
      <c r="N165" s="212"/>
    </row>
    <row r="166" spans="1:14">
      <c r="A166" s="213" t="str">
        <f>name!E$8</f>
        <v>Skilled trades occupations</v>
      </c>
      <c r="B166" s="278">
        <v>1.3246775638841435</v>
      </c>
      <c r="C166" s="278">
        <v>15.612178444743417</v>
      </c>
      <c r="D166" s="278">
        <f t="shared" si="70"/>
        <v>16.936856008627561</v>
      </c>
      <c r="E166" s="279"/>
      <c r="F166" s="278">
        <v>0.9252023365334584</v>
      </c>
      <c r="G166" s="278">
        <v>8.7981817002492448</v>
      </c>
      <c r="H166" s="278">
        <f t="shared" si="71"/>
        <v>9.7233840367827025</v>
      </c>
      <c r="I166" s="279"/>
      <c r="J166" s="278">
        <v>0.52788797574150648</v>
      </c>
      <c r="K166" s="278">
        <v>5.4614912900798762</v>
      </c>
      <c r="L166" s="278">
        <f t="shared" si="72"/>
        <v>5.9893792658213822</v>
      </c>
      <c r="M166" s="212"/>
      <c r="N166" s="212"/>
    </row>
    <row r="167" spans="1:14">
      <c r="A167" s="213" t="str">
        <f>name!E$9</f>
        <v>Caring, leisure and other service occupations</v>
      </c>
      <c r="B167" s="278">
        <v>0.36569649662961279</v>
      </c>
      <c r="C167" s="278">
        <v>0.27559497439415703</v>
      </c>
      <c r="D167" s="278">
        <f t="shared" si="70"/>
        <v>0.64129147102376982</v>
      </c>
      <c r="E167" s="279"/>
      <c r="F167" s="278">
        <v>0.25613037596416027</v>
      </c>
      <c r="G167" s="278">
        <v>0.28059067950012845</v>
      </c>
      <c r="H167" s="278">
        <f t="shared" si="71"/>
        <v>0.53672105546428872</v>
      </c>
      <c r="I167" s="279"/>
      <c r="J167" s="278">
        <v>0.17969974714367168</v>
      </c>
      <c r="K167" s="278">
        <v>0.22024182900570033</v>
      </c>
      <c r="L167" s="278">
        <f t="shared" si="72"/>
        <v>0.39994157614937198</v>
      </c>
      <c r="M167" s="212"/>
      <c r="N167" s="212"/>
    </row>
    <row r="168" spans="1:14">
      <c r="A168" s="213" t="str">
        <f>name!E$10</f>
        <v>Sales and customer service occupations</v>
      </c>
      <c r="B168" s="278">
        <v>3.4135663987122871</v>
      </c>
      <c r="C168" s="278">
        <v>2.3665977680416068</v>
      </c>
      <c r="D168" s="278">
        <f t="shared" si="70"/>
        <v>5.7801641667538934</v>
      </c>
      <c r="E168" s="279"/>
      <c r="F168" s="278">
        <v>2.3198097661168267</v>
      </c>
      <c r="G168" s="278">
        <v>1.703419784907994</v>
      </c>
      <c r="H168" s="278">
        <f t="shared" si="71"/>
        <v>4.023229551024821</v>
      </c>
      <c r="I168" s="279"/>
      <c r="J168" s="278">
        <v>1.6962491243793352</v>
      </c>
      <c r="K168" s="278">
        <v>1.4725040639505047</v>
      </c>
      <c r="L168" s="278">
        <f t="shared" si="72"/>
        <v>3.1687531883298399</v>
      </c>
      <c r="M168" s="212"/>
      <c r="N168" s="212"/>
    </row>
    <row r="169" spans="1:14">
      <c r="A169" s="213" t="str">
        <f>name!E$11</f>
        <v>Process, plant and machine operatives</v>
      </c>
      <c r="B169" s="278">
        <v>1.0442609628180071</v>
      </c>
      <c r="C169" s="278">
        <v>4.6986372506597895</v>
      </c>
      <c r="D169" s="278">
        <f t="shared" si="70"/>
        <v>5.7428982134777966</v>
      </c>
      <c r="E169" s="279"/>
      <c r="F169" s="278">
        <v>0.66301820439711734</v>
      </c>
      <c r="G169" s="278">
        <v>3.528665591847858</v>
      </c>
      <c r="H169" s="278">
        <f t="shared" si="71"/>
        <v>4.1916837962449751</v>
      </c>
      <c r="I169" s="279"/>
      <c r="J169" s="278">
        <v>0.65620737207721236</v>
      </c>
      <c r="K169" s="278">
        <v>2.4130105031266802</v>
      </c>
      <c r="L169" s="278">
        <f t="shared" si="72"/>
        <v>3.0692178752038926</v>
      </c>
      <c r="M169" s="212"/>
      <c r="N169" s="212"/>
    </row>
    <row r="170" spans="1:14">
      <c r="A170" s="213" t="str">
        <f>name!E$12</f>
        <v>Elementary occupations</v>
      </c>
      <c r="B170" s="278">
        <v>4.2044835959566429</v>
      </c>
      <c r="C170" s="278">
        <v>6.4079970786057201</v>
      </c>
      <c r="D170" s="278">
        <f t="shared" si="70"/>
        <v>10.612480674562363</v>
      </c>
      <c r="E170" s="279"/>
      <c r="F170" s="278">
        <v>2.5449529976510297</v>
      </c>
      <c r="G170" s="278">
        <v>5.2339229908197975</v>
      </c>
      <c r="H170" s="278">
        <f t="shared" si="71"/>
        <v>7.7788759884708272</v>
      </c>
      <c r="I170" s="279"/>
      <c r="J170" s="278">
        <v>3.0819122873850491</v>
      </c>
      <c r="K170" s="278">
        <v>3.87619237919936</v>
      </c>
      <c r="L170" s="278">
        <f t="shared" si="72"/>
        <v>6.9581046665844095</v>
      </c>
      <c r="M170" s="212"/>
      <c r="N170" s="212"/>
    </row>
    <row r="171" spans="1:14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  <c r="N171" s="212"/>
    </row>
    <row r="172" spans="1:14">
      <c r="A172" s="220" t="s">
        <v>119</v>
      </c>
      <c r="B172" s="282">
        <f>SUM(B162:B170)</f>
        <v>34.510999999950265</v>
      </c>
      <c r="C172" s="282">
        <f t="shared" ref="C172:D172" si="73">SUM(C162:C170)</f>
        <v>74.272999999986908</v>
      </c>
      <c r="D172" s="282">
        <f t="shared" si="73"/>
        <v>108.78399999993715</v>
      </c>
      <c r="E172" s="282"/>
      <c r="F172" s="282">
        <f t="shared" ref="F172:H172" si="74">SUM(F162:F170)</f>
        <v>25.714999999880369</v>
      </c>
      <c r="G172" s="282">
        <f t="shared" si="74"/>
        <v>55.22900000004767</v>
      </c>
      <c r="H172" s="282">
        <f t="shared" si="74"/>
        <v>80.943999999928039</v>
      </c>
      <c r="I172" s="282"/>
      <c r="J172" s="282">
        <f t="shared" ref="J172:L172" si="75">SUM(J162:J170)</f>
        <v>21.293000000534537</v>
      </c>
      <c r="K172" s="282">
        <f t="shared" si="75"/>
        <v>42.074000000232203</v>
      </c>
      <c r="L172" s="282">
        <f t="shared" si="75"/>
        <v>63.367000000766744</v>
      </c>
      <c r="M172" s="212"/>
      <c r="N172" s="212"/>
    </row>
    <row r="173" spans="1:14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  <c r="N173" s="212"/>
    </row>
    <row r="174" spans="1:14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32" t="s">
        <v>114</v>
      </c>
      <c r="M174" s="212"/>
      <c r="N174" s="212"/>
    </row>
    <row r="175" spans="1:14" ht="12.95">
      <c r="A175" s="218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12"/>
      <c r="M175" s="212"/>
      <c r="N175" s="212"/>
    </row>
    <row r="176" spans="1:14" ht="12.95">
      <c r="A176" s="217" t="str">
        <f>name!A13</f>
        <v>Coke and petroleum; Chemicals, etc</v>
      </c>
      <c r="B176" s="367">
        <f>B$6</f>
        <v>2015</v>
      </c>
      <c r="C176" s="367"/>
      <c r="D176" s="367"/>
      <c r="E176" s="229"/>
      <c r="F176" s="367">
        <f>F159</f>
        <v>2020</v>
      </c>
      <c r="G176" s="367"/>
      <c r="H176" s="367"/>
      <c r="I176" s="229"/>
      <c r="J176" s="367">
        <f>J159</f>
        <v>2035</v>
      </c>
      <c r="K176" s="367"/>
      <c r="L176" s="367"/>
      <c r="M176" s="212"/>
      <c r="N176" s="212"/>
    </row>
    <row r="177" spans="1:14" ht="12.95">
      <c r="A177" s="230"/>
      <c r="B177" s="231" t="s">
        <v>173</v>
      </c>
      <c r="C177" s="231" t="s">
        <v>174</v>
      </c>
      <c r="D177" s="231" t="s">
        <v>119</v>
      </c>
      <c r="E177" s="231"/>
      <c r="F177" s="231" t="s">
        <v>173</v>
      </c>
      <c r="G177" s="231" t="s">
        <v>174</v>
      </c>
      <c r="H177" s="231" t="s">
        <v>119</v>
      </c>
      <c r="I177" s="231"/>
      <c r="J177" s="231" t="s">
        <v>173</v>
      </c>
      <c r="K177" s="231" t="s">
        <v>174</v>
      </c>
      <c r="L177" s="231" t="s">
        <v>119</v>
      </c>
      <c r="M177" s="212"/>
      <c r="N177" s="212"/>
    </row>
    <row r="178" spans="1:14" ht="12.95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  <c r="N178" s="212"/>
    </row>
    <row r="179" spans="1:14">
      <c r="A179" s="213" t="str">
        <f>name!E$4</f>
        <v>Managers, directors and senior officials</v>
      </c>
      <c r="B179" s="278">
        <v>3.0154738064952578</v>
      </c>
      <c r="C179" s="278">
        <v>9.3839218501948114</v>
      </c>
      <c r="D179" s="278">
        <f>SUM(B179:C179)</f>
        <v>12.39939565669007</v>
      </c>
      <c r="E179" s="279"/>
      <c r="F179" s="278">
        <v>4.0110658930444112</v>
      </c>
      <c r="G179" s="278">
        <v>10.731709182184467</v>
      </c>
      <c r="H179" s="278">
        <f>SUM(F179:G179)</f>
        <v>14.742775075228877</v>
      </c>
      <c r="I179" s="279"/>
      <c r="J179" s="278">
        <v>3.4183588095222004</v>
      </c>
      <c r="K179" s="278">
        <v>7.9868344447902171</v>
      </c>
      <c r="L179" s="278">
        <f>SUM(J179:K179)</f>
        <v>11.405193254312417</v>
      </c>
      <c r="M179" s="212"/>
      <c r="N179" s="212"/>
    </row>
    <row r="180" spans="1:14">
      <c r="A180" s="213" t="str">
        <f>name!E$5</f>
        <v>Professional occupations</v>
      </c>
      <c r="B180" s="278">
        <v>4.1085449372139786</v>
      </c>
      <c r="C180" s="278">
        <v>17.324103176009721</v>
      </c>
      <c r="D180" s="278">
        <f t="shared" ref="D180:D187" si="76">SUM(B180:C180)</f>
        <v>21.432648113223699</v>
      </c>
      <c r="E180" s="279"/>
      <c r="F180" s="278">
        <v>5.8082603855948456</v>
      </c>
      <c r="G180" s="278">
        <v>21.325254454543501</v>
      </c>
      <c r="H180" s="278">
        <f t="shared" ref="H180:H187" si="77">SUM(F180:G180)</f>
        <v>27.133514840138346</v>
      </c>
      <c r="I180" s="279"/>
      <c r="J180" s="278">
        <v>6.3226796100959017</v>
      </c>
      <c r="K180" s="278">
        <v>21.386379355293226</v>
      </c>
      <c r="L180" s="278">
        <f t="shared" ref="L180:L187" si="78">SUM(J180:K180)</f>
        <v>27.709058965389126</v>
      </c>
      <c r="M180" s="212"/>
      <c r="N180" s="212"/>
    </row>
    <row r="181" spans="1:14">
      <c r="A181" s="213" t="str">
        <f>name!E$6</f>
        <v>Associate professional occupations</v>
      </c>
      <c r="B181" s="278">
        <v>3.7135493453923094</v>
      </c>
      <c r="C181" s="278">
        <v>8.2263430420782946</v>
      </c>
      <c r="D181" s="278">
        <f t="shared" si="76"/>
        <v>11.939892387470604</v>
      </c>
      <c r="E181" s="279"/>
      <c r="F181" s="278">
        <v>4.6970464192175099</v>
      </c>
      <c r="G181" s="278">
        <v>9.8670156723480069</v>
      </c>
      <c r="H181" s="278">
        <f t="shared" si="77"/>
        <v>14.564062091565518</v>
      </c>
      <c r="I181" s="279"/>
      <c r="J181" s="278">
        <v>4.5200839920847056</v>
      </c>
      <c r="K181" s="278">
        <v>7.6005967865252844</v>
      </c>
      <c r="L181" s="278">
        <f t="shared" si="78"/>
        <v>12.120680778609991</v>
      </c>
      <c r="M181" s="212"/>
      <c r="N181" s="212"/>
    </row>
    <row r="182" spans="1:14">
      <c r="A182" s="213" t="str">
        <f>name!E$7</f>
        <v>Administrative and secretarial occupations</v>
      </c>
      <c r="B182" s="278">
        <v>3.8077918250663392</v>
      </c>
      <c r="C182" s="278">
        <v>3.8972749678443073</v>
      </c>
      <c r="D182" s="278">
        <f t="shared" si="76"/>
        <v>7.705066792910646</v>
      </c>
      <c r="E182" s="279"/>
      <c r="F182" s="278">
        <v>4.0245314259878988</v>
      </c>
      <c r="G182" s="278">
        <v>4.4311027668256902</v>
      </c>
      <c r="H182" s="278">
        <f t="shared" si="77"/>
        <v>8.455634192813589</v>
      </c>
      <c r="I182" s="279"/>
      <c r="J182" s="278">
        <v>2.9491267734569488</v>
      </c>
      <c r="K182" s="278">
        <v>4.3385561741119201</v>
      </c>
      <c r="L182" s="278">
        <f t="shared" si="78"/>
        <v>7.2876829475688689</v>
      </c>
      <c r="M182" s="212"/>
      <c r="N182" s="212"/>
    </row>
    <row r="183" spans="1:14">
      <c r="A183" s="213" t="str">
        <f>name!E$8</f>
        <v>Skilled trades occupations</v>
      </c>
      <c r="B183" s="278">
        <v>0.52113930405418496</v>
      </c>
      <c r="C183" s="278">
        <v>5.5931441724363884</v>
      </c>
      <c r="D183" s="278">
        <f t="shared" si="76"/>
        <v>6.1142834764905736</v>
      </c>
      <c r="E183" s="279"/>
      <c r="F183" s="278">
        <v>0.63608509421009263</v>
      </c>
      <c r="G183" s="278">
        <v>4.5277970728756891</v>
      </c>
      <c r="H183" s="278">
        <f t="shared" si="77"/>
        <v>5.1638821670857817</v>
      </c>
      <c r="I183" s="279"/>
      <c r="J183" s="278">
        <v>0.66620167472816316</v>
      </c>
      <c r="K183" s="278">
        <v>3.1378811615326052</v>
      </c>
      <c r="L183" s="278">
        <f t="shared" si="78"/>
        <v>3.8040828362607684</v>
      </c>
      <c r="M183" s="212"/>
      <c r="N183" s="212"/>
    </row>
    <row r="184" spans="1:14">
      <c r="A184" s="213" t="str">
        <f>name!E$9</f>
        <v>Caring, leisure and other service occupations</v>
      </c>
      <c r="B184" s="278">
        <v>0.77753759335282924</v>
      </c>
      <c r="C184" s="278">
        <v>0.29645300965667198</v>
      </c>
      <c r="D184" s="278">
        <f t="shared" si="76"/>
        <v>1.0739906030095012</v>
      </c>
      <c r="E184" s="279"/>
      <c r="F184" s="278">
        <v>1.0717387693829239</v>
      </c>
      <c r="G184" s="278">
        <v>0.36458090313100905</v>
      </c>
      <c r="H184" s="278">
        <f t="shared" si="77"/>
        <v>1.4363196725139329</v>
      </c>
      <c r="I184" s="279"/>
      <c r="J184" s="278">
        <v>0.7639963024024029</v>
      </c>
      <c r="K184" s="278">
        <v>0.36941189998943369</v>
      </c>
      <c r="L184" s="278">
        <f t="shared" si="78"/>
        <v>1.1334082023918366</v>
      </c>
      <c r="M184" s="212"/>
      <c r="N184" s="212"/>
    </row>
    <row r="185" spans="1:14">
      <c r="A185" s="213" t="str">
        <f>name!E$10</f>
        <v>Sales and customer service occupations</v>
      </c>
      <c r="B185" s="278">
        <v>1.9306860513733455</v>
      </c>
      <c r="C185" s="278">
        <v>1.0957376175723801</v>
      </c>
      <c r="D185" s="278">
        <f t="shared" si="76"/>
        <v>3.0264236689457258</v>
      </c>
      <c r="E185" s="279"/>
      <c r="F185" s="278">
        <v>1.9734195081898223</v>
      </c>
      <c r="G185" s="278">
        <v>1.148414679501605</v>
      </c>
      <c r="H185" s="278">
        <f t="shared" si="77"/>
        <v>3.1218341876914275</v>
      </c>
      <c r="I185" s="279"/>
      <c r="J185" s="278">
        <v>1.5661051652145803</v>
      </c>
      <c r="K185" s="278">
        <v>1.0631235377205936</v>
      </c>
      <c r="L185" s="278">
        <f t="shared" si="78"/>
        <v>2.629228702935174</v>
      </c>
      <c r="M185" s="212"/>
      <c r="N185" s="212"/>
    </row>
    <row r="186" spans="1:14">
      <c r="A186" s="213" t="str">
        <f>name!E$11</f>
        <v>Process, plant and machine operatives</v>
      </c>
      <c r="B186" s="278">
        <v>2.8403445933172677</v>
      </c>
      <c r="C186" s="278">
        <v>14.829140289819829</v>
      </c>
      <c r="D186" s="278">
        <f t="shared" si="76"/>
        <v>17.669484883137098</v>
      </c>
      <c r="E186" s="279"/>
      <c r="F186" s="278">
        <v>2.7570976408610113</v>
      </c>
      <c r="G186" s="278">
        <v>11.681550805773281</v>
      </c>
      <c r="H186" s="278">
        <f t="shared" si="77"/>
        <v>14.438648446634293</v>
      </c>
      <c r="I186" s="279"/>
      <c r="J186" s="278">
        <v>1.857801885233237</v>
      </c>
      <c r="K186" s="278">
        <v>7.5876336308183765</v>
      </c>
      <c r="L186" s="278">
        <f t="shared" si="78"/>
        <v>9.4454355160516137</v>
      </c>
      <c r="M186" s="212"/>
      <c r="N186" s="212"/>
    </row>
    <row r="187" spans="1:14">
      <c r="A187" s="213" t="str">
        <f>name!E$12</f>
        <v>Elementary occupations</v>
      </c>
      <c r="B187" s="278">
        <v>2.7389325436513756</v>
      </c>
      <c r="C187" s="278">
        <v>3.9738818742317066</v>
      </c>
      <c r="D187" s="278">
        <f t="shared" si="76"/>
        <v>6.7128144178830826</v>
      </c>
      <c r="E187" s="279"/>
      <c r="F187" s="278">
        <v>2.6867548633399525</v>
      </c>
      <c r="G187" s="278">
        <v>3.2995744626327932</v>
      </c>
      <c r="H187" s="278">
        <f t="shared" si="77"/>
        <v>5.9863293259727453</v>
      </c>
      <c r="I187" s="279"/>
      <c r="J187" s="278">
        <v>3.5426457879898026</v>
      </c>
      <c r="K187" s="278">
        <v>2.6195830092451393</v>
      </c>
      <c r="L187" s="278">
        <f t="shared" si="78"/>
        <v>6.1622287972349419</v>
      </c>
      <c r="M187" s="212"/>
      <c r="N187" s="212"/>
    </row>
    <row r="188" spans="1:14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  <c r="N188" s="212"/>
    </row>
    <row r="189" spans="1:14">
      <c r="A189" s="220" t="s">
        <v>119</v>
      </c>
      <c r="B189" s="282">
        <f>SUM(B179:B187)</f>
        <v>23.453999999916888</v>
      </c>
      <c r="C189" s="282">
        <f t="shared" ref="C189:D189" si="79">SUM(C179:C187)</f>
        <v>64.619999999844111</v>
      </c>
      <c r="D189" s="282">
        <f t="shared" si="79"/>
        <v>88.073999999760986</v>
      </c>
      <c r="E189" s="282"/>
      <c r="F189" s="282">
        <f t="shared" ref="F189:H189" si="80">SUM(F179:F187)</f>
        <v>27.665999999828468</v>
      </c>
      <c r="G189" s="282">
        <f t="shared" si="80"/>
        <v>67.376999999816036</v>
      </c>
      <c r="H189" s="282">
        <f t="shared" si="80"/>
        <v>95.042999999644522</v>
      </c>
      <c r="I189" s="282"/>
      <c r="J189" s="282">
        <f t="shared" ref="J189:L189" si="81">SUM(J179:J187)</f>
        <v>25.607000000727943</v>
      </c>
      <c r="K189" s="282">
        <f t="shared" si="81"/>
        <v>56.090000000026798</v>
      </c>
      <c r="L189" s="282">
        <f t="shared" si="81"/>
        <v>81.697000000754741</v>
      </c>
      <c r="M189" s="212"/>
      <c r="N189" s="212"/>
    </row>
    <row r="190" spans="1:14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  <c r="N190" s="212"/>
    </row>
    <row r="191" spans="1:14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32" t="s">
        <v>114</v>
      </c>
      <c r="M191" s="212"/>
      <c r="N191" s="212"/>
    </row>
    <row r="192" spans="1:14" ht="12.95">
      <c r="A192" s="218"/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12"/>
      <c r="M192" s="212"/>
      <c r="N192" s="212"/>
    </row>
    <row r="193" spans="1:14" ht="12.95">
      <c r="A193" s="217" t="str">
        <f>name!A14</f>
        <v>Pharmaceuticals</v>
      </c>
      <c r="B193" s="367">
        <f>B$6</f>
        <v>2015</v>
      </c>
      <c r="C193" s="367"/>
      <c r="D193" s="367"/>
      <c r="E193" s="229"/>
      <c r="F193" s="367">
        <f>F176</f>
        <v>2020</v>
      </c>
      <c r="G193" s="367"/>
      <c r="H193" s="367"/>
      <c r="I193" s="229"/>
      <c r="J193" s="367">
        <f>J176</f>
        <v>2035</v>
      </c>
      <c r="K193" s="367"/>
      <c r="L193" s="367"/>
      <c r="M193" s="212"/>
      <c r="N193" s="212"/>
    </row>
    <row r="194" spans="1:14" ht="12.95">
      <c r="A194" s="230"/>
      <c r="B194" s="231" t="s">
        <v>173</v>
      </c>
      <c r="C194" s="231" t="s">
        <v>174</v>
      </c>
      <c r="D194" s="231" t="s">
        <v>119</v>
      </c>
      <c r="E194" s="231"/>
      <c r="F194" s="231" t="s">
        <v>173</v>
      </c>
      <c r="G194" s="231" t="s">
        <v>174</v>
      </c>
      <c r="H194" s="231" t="s">
        <v>119</v>
      </c>
      <c r="I194" s="231"/>
      <c r="J194" s="231" t="s">
        <v>173</v>
      </c>
      <c r="K194" s="231" t="s">
        <v>174</v>
      </c>
      <c r="L194" s="231" t="s">
        <v>119</v>
      </c>
      <c r="M194" s="212"/>
      <c r="N194" s="212"/>
    </row>
    <row r="195" spans="1:14" ht="12.95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  <c r="N195" s="212"/>
    </row>
    <row r="196" spans="1:14">
      <c r="A196" s="213" t="str">
        <f>name!E$4</f>
        <v>Managers, directors and senior officials</v>
      </c>
      <c r="B196" s="278">
        <v>1.0537821550271569</v>
      </c>
      <c r="C196" s="278">
        <v>3.1446205189769962</v>
      </c>
      <c r="D196" s="278">
        <f>SUM(B196:C196)</f>
        <v>4.1984026740041536</v>
      </c>
      <c r="E196" s="279"/>
      <c r="F196" s="278">
        <v>1.3731818726304363</v>
      </c>
      <c r="G196" s="278">
        <v>4.0062834879783296</v>
      </c>
      <c r="H196" s="278">
        <f>SUM(F196:G196)</f>
        <v>5.3794653606087657</v>
      </c>
      <c r="I196" s="279"/>
      <c r="J196" s="278">
        <v>1.2222955104117939</v>
      </c>
      <c r="K196" s="278">
        <v>3.8048634980400484</v>
      </c>
      <c r="L196" s="278">
        <f>SUM(J196:K196)</f>
        <v>5.027159008451842</v>
      </c>
      <c r="M196" s="212"/>
      <c r="N196" s="212"/>
    </row>
    <row r="197" spans="1:14">
      <c r="A197" s="213" t="str">
        <f>name!E$5</f>
        <v>Professional occupations</v>
      </c>
      <c r="B197" s="278">
        <v>4.5372886655634153</v>
      </c>
      <c r="C197" s="278">
        <v>7.6789466840021348</v>
      </c>
      <c r="D197" s="278">
        <f t="shared" ref="D197:D204" si="82">SUM(B197:C197)</f>
        <v>12.216235349565551</v>
      </c>
      <c r="E197" s="279"/>
      <c r="F197" s="278">
        <v>6.1960022288068775</v>
      </c>
      <c r="G197" s="278">
        <v>10.430531772080911</v>
      </c>
      <c r="H197" s="278">
        <f t="shared" ref="H197:H204" si="83">SUM(F197:G197)</f>
        <v>16.626534000887787</v>
      </c>
      <c r="I197" s="279"/>
      <c r="J197" s="278">
        <v>6.6681120264726088</v>
      </c>
      <c r="K197" s="278">
        <v>12.686439805714112</v>
      </c>
      <c r="L197" s="278">
        <f t="shared" ref="L197:L204" si="84">SUM(J197:K197)</f>
        <v>19.354551832186722</v>
      </c>
      <c r="M197" s="212"/>
      <c r="N197" s="212"/>
    </row>
    <row r="198" spans="1:14">
      <c r="A198" s="213" t="str">
        <f>name!E$6</f>
        <v>Associate professional occupations</v>
      </c>
      <c r="B198" s="278">
        <v>2.5956119481472779</v>
      </c>
      <c r="C198" s="278">
        <v>2.9149905094768225</v>
      </c>
      <c r="D198" s="278">
        <f t="shared" si="82"/>
        <v>5.5106024576241008</v>
      </c>
      <c r="E198" s="279"/>
      <c r="F198" s="278">
        <v>3.4078306869227988</v>
      </c>
      <c r="G198" s="278">
        <v>3.8018959623742807</v>
      </c>
      <c r="H198" s="278">
        <f t="shared" si="83"/>
        <v>7.20972664929708</v>
      </c>
      <c r="I198" s="279"/>
      <c r="J198" s="278">
        <v>3.4299819224752599</v>
      </c>
      <c r="K198" s="278">
        <v>3.907116954414835</v>
      </c>
      <c r="L198" s="278">
        <f t="shared" si="84"/>
        <v>7.3370988768900949</v>
      </c>
      <c r="M198" s="212"/>
      <c r="N198" s="212"/>
    </row>
    <row r="199" spans="1:14">
      <c r="A199" s="213" t="str">
        <f>name!E$7</f>
        <v>Administrative and secretarial occupations</v>
      </c>
      <c r="B199" s="278">
        <v>1.7974506782162423</v>
      </c>
      <c r="C199" s="278">
        <v>0.47576110411320183</v>
      </c>
      <c r="D199" s="278">
        <f t="shared" si="82"/>
        <v>2.2732117823294442</v>
      </c>
      <c r="E199" s="279"/>
      <c r="F199" s="278">
        <v>1.8113199207512818</v>
      </c>
      <c r="G199" s="278">
        <v>0.52569096676852334</v>
      </c>
      <c r="H199" s="278">
        <f t="shared" si="83"/>
        <v>2.337010887519805</v>
      </c>
      <c r="I199" s="279"/>
      <c r="J199" s="278">
        <v>1.3605119958925811</v>
      </c>
      <c r="K199" s="278">
        <v>0.63786609939598782</v>
      </c>
      <c r="L199" s="278">
        <f t="shared" si="84"/>
        <v>1.9983780952885688</v>
      </c>
      <c r="M199" s="212"/>
      <c r="N199" s="212"/>
    </row>
    <row r="200" spans="1:14">
      <c r="A200" s="213" t="str">
        <f>name!E$8</f>
        <v>Skilled trades occupations</v>
      </c>
      <c r="B200" s="278">
        <v>0.16518313589888534</v>
      </c>
      <c r="C200" s="278">
        <v>1.9577550897564777</v>
      </c>
      <c r="D200" s="278">
        <f t="shared" si="82"/>
        <v>2.1229382256553633</v>
      </c>
      <c r="E200" s="279"/>
      <c r="F200" s="278">
        <v>0.32791347268130733</v>
      </c>
      <c r="G200" s="278">
        <v>2.0057611479717155</v>
      </c>
      <c r="H200" s="278">
        <f t="shared" si="83"/>
        <v>2.3336746206530226</v>
      </c>
      <c r="I200" s="279"/>
      <c r="J200" s="278">
        <v>0.3906562257288741</v>
      </c>
      <c r="K200" s="278">
        <v>1.8882683819288733</v>
      </c>
      <c r="L200" s="278">
        <f t="shared" si="84"/>
        <v>2.2789246076577472</v>
      </c>
      <c r="M200" s="212"/>
      <c r="N200" s="212"/>
    </row>
    <row r="201" spans="1:14">
      <c r="A201" s="213" t="str">
        <f>name!E$9</f>
        <v>Caring, leisure and other service occupations</v>
      </c>
      <c r="B201" s="278">
        <v>0.5076409180736301</v>
      </c>
      <c r="C201" s="278">
        <v>0.25320016342338519</v>
      </c>
      <c r="D201" s="278">
        <f t="shared" si="82"/>
        <v>0.76084108149701524</v>
      </c>
      <c r="E201" s="279"/>
      <c r="F201" s="278">
        <v>0.4159269234733628</v>
      </c>
      <c r="G201" s="278">
        <v>0.27901559627898415</v>
      </c>
      <c r="H201" s="278">
        <f t="shared" si="83"/>
        <v>0.69494251975234689</v>
      </c>
      <c r="I201" s="279"/>
      <c r="J201" s="278">
        <v>0.27295329514977368</v>
      </c>
      <c r="K201" s="278">
        <v>0.26997645836594153</v>
      </c>
      <c r="L201" s="278">
        <f t="shared" si="84"/>
        <v>0.54292975351571515</v>
      </c>
      <c r="M201" s="212"/>
      <c r="N201" s="212"/>
    </row>
    <row r="202" spans="1:14">
      <c r="A202" s="213" t="str">
        <f>name!E$10</f>
        <v>Sales and customer service occupations</v>
      </c>
      <c r="B202" s="278">
        <v>0.49937714162198393</v>
      </c>
      <c r="C202" s="278">
        <v>0.46027697060362416</v>
      </c>
      <c r="D202" s="278">
        <f t="shared" si="82"/>
        <v>0.95965411222560815</v>
      </c>
      <c r="E202" s="279"/>
      <c r="F202" s="278">
        <v>0.51983946090510436</v>
      </c>
      <c r="G202" s="278">
        <v>0.45216301265364173</v>
      </c>
      <c r="H202" s="278">
        <f t="shared" si="83"/>
        <v>0.97200247355874603</v>
      </c>
      <c r="I202" s="279"/>
      <c r="J202" s="278">
        <v>0.4676904359807878</v>
      </c>
      <c r="K202" s="278">
        <v>0.52588862906881473</v>
      </c>
      <c r="L202" s="278">
        <f t="shared" si="84"/>
        <v>0.99357906504960258</v>
      </c>
      <c r="M202" s="212"/>
      <c r="N202" s="212"/>
    </row>
    <row r="203" spans="1:14">
      <c r="A203" s="213" t="str">
        <f>name!E$11</f>
        <v>Process, plant and machine operatives</v>
      </c>
      <c r="B203" s="278">
        <v>0.86188967215123014</v>
      </c>
      <c r="C203" s="278">
        <v>2.8751161434073698</v>
      </c>
      <c r="D203" s="278">
        <f t="shared" si="82"/>
        <v>3.7370058155586001</v>
      </c>
      <c r="E203" s="279"/>
      <c r="F203" s="278">
        <v>0.70791451302305375</v>
      </c>
      <c r="G203" s="278">
        <v>2.6932167506617328</v>
      </c>
      <c r="H203" s="278">
        <f t="shared" si="83"/>
        <v>3.4011312636847864</v>
      </c>
      <c r="I203" s="279"/>
      <c r="J203" s="278">
        <v>0.57376396196850832</v>
      </c>
      <c r="K203" s="278">
        <v>2.2333991691853665</v>
      </c>
      <c r="L203" s="278">
        <f t="shared" si="84"/>
        <v>2.8071631311538749</v>
      </c>
      <c r="M203" s="212"/>
      <c r="N203" s="212"/>
    </row>
    <row r="204" spans="1:14">
      <c r="A204" s="213" t="str">
        <f>name!E$12</f>
        <v>Elementary occupations</v>
      </c>
      <c r="B204" s="278">
        <v>1.6197756852353642</v>
      </c>
      <c r="C204" s="278">
        <v>0.82233281619819343</v>
      </c>
      <c r="D204" s="278">
        <f t="shared" si="82"/>
        <v>2.4421085014335575</v>
      </c>
      <c r="E204" s="279"/>
      <c r="F204" s="278">
        <v>0.84007092071717815</v>
      </c>
      <c r="G204" s="278">
        <v>0.692441303158565</v>
      </c>
      <c r="H204" s="278">
        <f t="shared" si="83"/>
        <v>1.5325122238757432</v>
      </c>
      <c r="I204" s="279"/>
      <c r="J204" s="278">
        <v>1.3900346262317318</v>
      </c>
      <c r="K204" s="278">
        <v>0.68618100393055637</v>
      </c>
      <c r="L204" s="278">
        <f t="shared" si="84"/>
        <v>2.0762156301622881</v>
      </c>
      <c r="M204" s="212"/>
      <c r="N204" s="212"/>
    </row>
    <row r="205" spans="1:14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  <c r="N205" s="212"/>
    </row>
    <row r="206" spans="1:14">
      <c r="A206" s="220" t="s">
        <v>119</v>
      </c>
      <c r="B206" s="282">
        <f>SUM(B196:B204)</f>
        <v>13.637999999935186</v>
      </c>
      <c r="C206" s="282">
        <f t="shared" ref="C206:D206" si="85">SUM(C196:C204)</f>
        <v>20.582999999958208</v>
      </c>
      <c r="D206" s="282">
        <f t="shared" si="85"/>
        <v>34.220999999893394</v>
      </c>
      <c r="E206" s="282"/>
      <c r="F206" s="282">
        <f t="shared" ref="F206:H206" si="86">SUM(F196:F204)</f>
        <v>15.5999999999114</v>
      </c>
      <c r="G206" s="282">
        <f t="shared" si="86"/>
        <v>24.886999999926683</v>
      </c>
      <c r="H206" s="282">
        <f t="shared" si="86"/>
        <v>40.486999999838083</v>
      </c>
      <c r="I206" s="282"/>
      <c r="J206" s="282">
        <f t="shared" ref="J206:L206" si="87">SUM(J196:J204)</f>
        <v>15.776000000311919</v>
      </c>
      <c r="K206" s="282">
        <f t="shared" si="87"/>
        <v>26.640000000044537</v>
      </c>
      <c r="L206" s="282">
        <f t="shared" si="87"/>
        <v>42.416000000356462</v>
      </c>
      <c r="M206" s="212"/>
      <c r="N206" s="212"/>
    </row>
    <row r="207" spans="1:14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  <c r="N207" s="212"/>
    </row>
    <row r="208" spans="1:14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32" t="s">
        <v>114</v>
      </c>
      <c r="M208" s="212"/>
      <c r="N208" s="212"/>
    </row>
    <row r="209" spans="1:14" ht="12.95">
      <c r="A209" s="218"/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12"/>
      <c r="M209" s="212"/>
      <c r="N209" s="212"/>
    </row>
    <row r="210" spans="1:14" ht="12.95">
      <c r="A210" s="217" t="str">
        <f>name!A15</f>
        <v>Rubber and plastic</v>
      </c>
      <c r="B210" s="367">
        <f>B$6</f>
        <v>2015</v>
      </c>
      <c r="C210" s="367"/>
      <c r="D210" s="367"/>
      <c r="E210" s="229"/>
      <c r="F210" s="367">
        <f>F193</f>
        <v>2020</v>
      </c>
      <c r="G210" s="367"/>
      <c r="H210" s="367"/>
      <c r="I210" s="229"/>
      <c r="J210" s="367">
        <f>J193</f>
        <v>2035</v>
      </c>
      <c r="K210" s="367"/>
      <c r="L210" s="367"/>
      <c r="M210" s="212"/>
      <c r="N210" s="212"/>
    </row>
    <row r="211" spans="1:14" ht="12.95">
      <c r="A211" s="230"/>
      <c r="B211" s="231" t="s">
        <v>173</v>
      </c>
      <c r="C211" s="231" t="s">
        <v>174</v>
      </c>
      <c r="D211" s="231" t="s">
        <v>119</v>
      </c>
      <c r="E211" s="231"/>
      <c r="F211" s="231" t="s">
        <v>173</v>
      </c>
      <c r="G211" s="231" t="s">
        <v>174</v>
      </c>
      <c r="H211" s="231" t="s">
        <v>119</v>
      </c>
      <c r="I211" s="231"/>
      <c r="J211" s="231" t="s">
        <v>173</v>
      </c>
      <c r="K211" s="231" t="s">
        <v>174</v>
      </c>
      <c r="L211" s="231" t="s">
        <v>119</v>
      </c>
      <c r="M211" s="212"/>
      <c r="N211" s="212"/>
    </row>
    <row r="212" spans="1:14" ht="12.95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  <c r="N212" s="212"/>
    </row>
    <row r="213" spans="1:14">
      <c r="A213" s="213" t="str">
        <f>name!E$4</f>
        <v>Managers, directors and senior officials</v>
      </c>
      <c r="B213" s="278">
        <v>3.0520359170726286</v>
      </c>
      <c r="C213" s="278">
        <v>15.541103623386217</v>
      </c>
      <c r="D213" s="278">
        <f>SUM(B213:C213)</f>
        <v>18.593139540458846</v>
      </c>
      <c r="E213" s="279"/>
      <c r="F213" s="278">
        <v>4.0940817888130283</v>
      </c>
      <c r="G213" s="278">
        <v>17.868207534814065</v>
      </c>
      <c r="H213" s="278">
        <f>SUM(F213:G213)</f>
        <v>21.962289323627093</v>
      </c>
      <c r="I213" s="279"/>
      <c r="J213" s="278">
        <v>3.4653737330774375</v>
      </c>
      <c r="K213" s="278">
        <v>15.031352835374317</v>
      </c>
      <c r="L213" s="278">
        <f>SUM(J213:K213)</f>
        <v>18.496726568451756</v>
      </c>
      <c r="M213" s="212"/>
      <c r="N213" s="212"/>
    </row>
    <row r="214" spans="1:14">
      <c r="A214" s="213" t="str">
        <f>name!E$5</f>
        <v>Professional occupations</v>
      </c>
      <c r="B214" s="278">
        <v>2.8615315414760598</v>
      </c>
      <c r="C214" s="278">
        <v>11.980203075870531</v>
      </c>
      <c r="D214" s="278">
        <f t="shared" ref="D214:D221" si="88">SUM(B214:C214)</f>
        <v>14.84173461734659</v>
      </c>
      <c r="E214" s="279"/>
      <c r="F214" s="278">
        <v>4.2926592210672467</v>
      </c>
      <c r="G214" s="278">
        <v>15.67000678181491</v>
      </c>
      <c r="H214" s="278">
        <f t="shared" ref="H214:H221" si="89">SUM(F214:G214)</f>
        <v>19.962666002882159</v>
      </c>
      <c r="I214" s="279"/>
      <c r="J214" s="278">
        <v>4.4601902373004449</v>
      </c>
      <c r="K214" s="278">
        <v>18.366664149922123</v>
      </c>
      <c r="L214" s="278">
        <f t="shared" ref="L214:L221" si="90">SUM(J214:K214)</f>
        <v>22.826854387222568</v>
      </c>
      <c r="M214" s="212"/>
      <c r="N214" s="212"/>
    </row>
    <row r="215" spans="1:14">
      <c r="A215" s="213" t="str">
        <f>name!E$6</f>
        <v>Associate professional occupations</v>
      </c>
      <c r="B215" s="278">
        <v>3.3630326800002899</v>
      </c>
      <c r="C215" s="278">
        <v>11.095391629880364</v>
      </c>
      <c r="D215" s="278">
        <f t="shared" si="88"/>
        <v>14.458424309880654</v>
      </c>
      <c r="E215" s="279"/>
      <c r="F215" s="278">
        <v>4.139983362283294</v>
      </c>
      <c r="G215" s="278">
        <v>13.787753149003269</v>
      </c>
      <c r="H215" s="278">
        <f t="shared" si="89"/>
        <v>17.927736511286561</v>
      </c>
      <c r="I215" s="279"/>
      <c r="J215" s="278">
        <v>3.7004163004379111</v>
      </c>
      <c r="K215" s="278">
        <v>12.563088907660019</v>
      </c>
      <c r="L215" s="278">
        <f t="shared" si="90"/>
        <v>16.263505208097929</v>
      </c>
      <c r="M215" s="212"/>
      <c r="N215" s="212"/>
    </row>
    <row r="216" spans="1:14">
      <c r="A216" s="213" t="str">
        <f>name!E$7</f>
        <v>Administrative and secretarial occupations</v>
      </c>
      <c r="B216" s="278">
        <v>8.9241472124124996</v>
      </c>
      <c r="C216" s="278">
        <v>2.7809138569598053</v>
      </c>
      <c r="D216" s="278">
        <f t="shared" si="88"/>
        <v>11.705061069372306</v>
      </c>
      <c r="E216" s="279"/>
      <c r="F216" s="278">
        <v>9.3195777713765295</v>
      </c>
      <c r="G216" s="278">
        <v>3.1893344845705869</v>
      </c>
      <c r="H216" s="278">
        <f t="shared" si="89"/>
        <v>12.508912255947116</v>
      </c>
      <c r="I216" s="279"/>
      <c r="J216" s="278">
        <v>6.5840569723690967</v>
      </c>
      <c r="K216" s="278">
        <v>3.4817323620023668</v>
      </c>
      <c r="L216" s="278">
        <f t="shared" si="90"/>
        <v>10.065789334371463</v>
      </c>
      <c r="M216" s="212"/>
      <c r="N216" s="212"/>
    </row>
    <row r="217" spans="1:14">
      <c r="A217" s="213" t="str">
        <f>name!E$8</f>
        <v>Skilled trades occupations</v>
      </c>
      <c r="B217" s="278">
        <v>1.6599472885763304</v>
      </c>
      <c r="C217" s="278">
        <v>28.00880981490247</v>
      </c>
      <c r="D217" s="278">
        <f t="shared" si="88"/>
        <v>29.6687571034788</v>
      </c>
      <c r="E217" s="279"/>
      <c r="F217" s="278">
        <v>1.7235609031192274</v>
      </c>
      <c r="G217" s="278">
        <v>22.761243152862018</v>
      </c>
      <c r="H217" s="278">
        <f t="shared" si="89"/>
        <v>24.484804055981247</v>
      </c>
      <c r="I217" s="279"/>
      <c r="J217" s="278">
        <v>1.5095011959864906</v>
      </c>
      <c r="K217" s="278">
        <v>17.776919679615329</v>
      </c>
      <c r="L217" s="278">
        <f t="shared" si="90"/>
        <v>19.28642087560182</v>
      </c>
      <c r="M217" s="212"/>
      <c r="N217" s="212"/>
    </row>
    <row r="218" spans="1:14">
      <c r="A218" s="213" t="str">
        <f>name!E$9</f>
        <v>Caring, leisure and other service occupations</v>
      </c>
      <c r="B218" s="278">
        <v>1.308745945373285</v>
      </c>
      <c r="C218" s="278">
        <v>1.2143729045482887</v>
      </c>
      <c r="D218" s="278">
        <f t="shared" si="88"/>
        <v>2.5231188499215738</v>
      </c>
      <c r="E218" s="279"/>
      <c r="F218" s="278">
        <v>1.2454367266485726</v>
      </c>
      <c r="G218" s="278">
        <v>1.514769110464028</v>
      </c>
      <c r="H218" s="278">
        <f t="shared" si="89"/>
        <v>2.7602058371126006</v>
      </c>
      <c r="I218" s="279"/>
      <c r="J218" s="278">
        <v>0.73574805367534191</v>
      </c>
      <c r="K218" s="278">
        <v>1.8623568365991801</v>
      </c>
      <c r="L218" s="278">
        <f t="shared" si="90"/>
        <v>2.5981048902745218</v>
      </c>
      <c r="M218" s="212"/>
      <c r="N218" s="212"/>
    </row>
    <row r="219" spans="1:14">
      <c r="A219" s="213" t="str">
        <f>name!E$10</f>
        <v>Sales and customer service occupations</v>
      </c>
      <c r="B219" s="278">
        <v>2.2683696684306969</v>
      </c>
      <c r="C219" s="278">
        <v>3.8144823273480557</v>
      </c>
      <c r="D219" s="278">
        <f t="shared" si="88"/>
        <v>6.0828519957787526</v>
      </c>
      <c r="E219" s="279"/>
      <c r="F219" s="278">
        <v>2.401329880844167</v>
      </c>
      <c r="G219" s="278">
        <v>3.7680571632342668</v>
      </c>
      <c r="H219" s="278">
        <f t="shared" si="89"/>
        <v>6.1693870440784337</v>
      </c>
      <c r="I219" s="279"/>
      <c r="J219" s="278">
        <v>1.9599895545104646</v>
      </c>
      <c r="K219" s="278">
        <v>3.7719846461340447</v>
      </c>
      <c r="L219" s="278">
        <f t="shared" si="90"/>
        <v>5.7319742006445091</v>
      </c>
      <c r="M219" s="212"/>
      <c r="N219" s="212"/>
    </row>
    <row r="220" spans="1:14">
      <c r="A220" s="213" t="str">
        <f>name!E$11</f>
        <v>Process, plant and machine operatives</v>
      </c>
      <c r="B220" s="278">
        <v>4.6196473235825835</v>
      </c>
      <c r="C220" s="278">
        <v>40.367594641186287</v>
      </c>
      <c r="D220" s="278">
        <f t="shared" si="88"/>
        <v>44.98724196476887</v>
      </c>
      <c r="E220" s="279"/>
      <c r="F220" s="278">
        <v>3.9710260443412713</v>
      </c>
      <c r="G220" s="278">
        <v>35.857248466332258</v>
      </c>
      <c r="H220" s="278">
        <f t="shared" si="89"/>
        <v>39.828274510673531</v>
      </c>
      <c r="I220" s="279"/>
      <c r="J220" s="278">
        <v>3.7138727889293057</v>
      </c>
      <c r="K220" s="278">
        <v>28.097611664973957</v>
      </c>
      <c r="L220" s="278">
        <f t="shared" si="90"/>
        <v>31.811484453903262</v>
      </c>
      <c r="M220" s="212"/>
      <c r="N220" s="212"/>
    </row>
    <row r="221" spans="1:14">
      <c r="A221" s="213" t="str">
        <f>name!E$12</f>
        <v>Elementary occupations</v>
      </c>
      <c r="B221" s="278">
        <v>3.5235424231097077</v>
      </c>
      <c r="C221" s="278">
        <v>10.170128125889828</v>
      </c>
      <c r="D221" s="278">
        <f t="shared" si="88"/>
        <v>13.693670548999537</v>
      </c>
      <c r="E221" s="279"/>
      <c r="F221" s="278">
        <v>2.7103443013305348</v>
      </c>
      <c r="G221" s="278">
        <v>8.6623801568907357</v>
      </c>
      <c r="H221" s="278">
        <f t="shared" si="89"/>
        <v>11.372724458221271</v>
      </c>
      <c r="I221" s="279"/>
      <c r="J221" s="278">
        <v>3.1188511645114834</v>
      </c>
      <c r="K221" s="278">
        <v>7.46728891795743</v>
      </c>
      <c r="L221" s="278">
        <f t="shared" si="90"/>
        <v>10.586140082468914</v>
      </c>
      <c r="M221" s="212"/>
      <c r="N221" s="212"/>
    </row>
    <row r="222" spans="1:14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  <c r="N222" s="212"/>
    </row>
    <row r="223" spans="1:14">
      <c r="A223" s="220" t="s">
        <v>119</v>
      </c>
      <c r="B223" s="282">
        <f>SUM(B213:B221)</f>
        <v>31.581000000034081</v>
      </c>
      <c r="C223" s="282">
        <f t="shared" ref="C223:D223" si="91">SUM(C213:C221)</f>
        <v>124.97299999997185</v>
      </c>
      <c r="D223" s="282">
        <f t="shared" si="91"/>
        <v>156.55400000000594</v>
      </c>
      <c r="E223" s="282"/>
      <c r="F223" s="282">
        <f t="shared" ref="F223:H223" si="92">SUM(F213:F221)</f>
        <v>33.897999999823874</v>
      </c>
      <c r="G223" s="282">
        <f t="shared" si="92"/>
        <v>123.07899999998612</v>
      </c>
      <c r="H223" s="282">
        <f t="shared" si="92"/>
        <v>156.97699999981</v>
      </c>
      <c r="I223" s="282"/>
      <c r="J223" s="282">
        <f t="shared" ref="J223:L223" si="93">SUM(J213:J221)</f>
        <v>29.248000000797973</v>
      </c>
      <c r="K223" s="282">
        <f t="shared" si="93"/>
        <v>108.41900000023875</v>
      </c>
      <c r="L223" s="282">
        <f t="shared" si="93"/>
        <v>137.66700000103674</v>
      </c>
      <c r="M223" s="212"/>
      <c r="N223" s="212"/>
    </row>
    <row r="224" spans="1:14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  <c r="N224" s="212"/>
    </row>
    <row r="225" spans="1:14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32" t="s">
        <v>114</v>
      </c>
      <c r="M225" s="212"/>
      <c r="N225" s="212"/>
    </row>
    <row r="226" spans="1:14" ht="12.95">
      <c r="A226" s="218"/>
      <c r="B226" s="226"/>
      <c r="C226" s="226"/>
      <c r="D226" s="226"/>
      <c r="E226" s="226"/>
      <c r="F226" s="226"/>
      <c r="G226" s="226"/>
      <c r="H226" s="226"/>
      <c r="I226" s="226"/>
      <c r="J226" s="226"/>
      <c r="K226" s="226"/>
      <c r="L226" s="212"/>
      <c r="M226" s="212"/>
      <c r="N226" s="212"/>
    </row>
    <row r="227" spans="1:14" ht="12.95">
      <c r="A227" s="217" t="str">
        <f>name!A16</f>
        <v>Other non-metallic</v>
      </c>
      <c r="B227" s="367">
        <f>B$6</f>
        <v>2015</v>
      </c>
      <c r="C227" s="367"/>
      <c r="D227" s="367"/>
      <c r="E227" s="229"/>
      <c r="F227" s="367">
        <f>F210</f>
        <v>2020</v>
      </c>
      <c r="G227" s="367"/>
      <c r="H227" s="367"/>
      <c r="I227" s="229"/>
      <c r="J227" s="367">
        <f>J210</f>
        <v>2035</v>
      </c>
      <c r="K227" s="367"/>
      <c r="L227" s="367"/>
      <c r="M227" s="212"/>
      <c r="N227" s="212"/>
    </row>
    <row r="228" spans="1:14" ht="12.95">
      <c r="A228" s="230"/>
      <c r="B228" s="231" t="s">
        <v>173</v>
      </c>
      <c r="C228" s="231" t="s">
        <v>174</v>
      </c>
      <c r="D228" s="231" t="s">
        <v>119</v>
      </c>
      <c r="E228" s="231"/>
      <c r="F228" s="231" t="s">
        <v>173</v>
      </c>
      <c r="G228" s="231" t="s">
        <v>174</v>
      </c>
      <c r="H228" s="231" t="s">
        <v>119</v>
      </c>
      <c r="I228" s="231"/>
      <c r="J228" s="231" t="s">
        <v>173</v>
      </c>
      <c r="K228" s="231" t="s">
        <v>174</v>
      </c>
      <c r="L228" s="231" t="s">
        <v>119</v>
      </c>
      <c r="M228" s="212"/>
      <c r="N228" s="212"/>
    </row>
    <row r="229" spans="1:14" ht="12.95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  <c r="N229" s="212"/>
    </row>
    <row r="230" spans="1:14">
      <c r="A230" s="213" t="str">
        <f>name!E$4</f>
        <v>Managers, directors and senior officials</v>
      </c>
      <c r="B230" s="278">
        <v>1.4540126969353115</v>
      </c>
      <c r="C230" s="278">
        <v>8.115842096594772</v>
      </c>
      <c r="D230" s="278">
        <f>SUM(B230:C230)</f>
        <v>9.5698547935300837</v>
      </c>
      <c r="E230" s="279"/>
      <c r="F230" s="278">
        <v>2.1218110047996173</v>
      </c>
      <c r="G230" s="278">
        <v>10.123530586294011</v>
      </c>
      <c r="H230" s="278">
        <f>SUM(F230:G230)</f>
        <v>12.245341591093629</v>
      </c>
      <c r="I230" s="279"/>
      <c r="J230" s="278">
        <v>1.6120832574161754</v>
      </c>
      <c r="K230" s="278">
        <v>8.6777568449438398</v>
      </c>
      <c r="L230" s="278">
        <f>SUM(J230:K230)</f>
        <v>10.289840102360015</v>
      </c>
      <c r="M230" s="212"/>
      <c r="N230" s="212"/>
    </row>
    <row r="231" spans="1:14">
      <c r="A231" s="213" t="str">
        <f>name!E$5</f>
        <v>Professional occupations</v>
      </c>
      <c r="B231" s="278">
        <v>1.261257538873894</v>
      </c>
      <c r="C231" s="278">
        <v>5.1542669358115765</v>
      </c>
      <c r="D231" s="278">
        <f t="shared" ref="D231:D238" si="94">SUM(B231:C231)</f>
        <v>6.4155244746854709</v>
      </c>
      <c r="E231" s="279"/>
      <c r="F231" s="278">
        <v>2.113979441705506</v>
      </c>
      <c r="G231" s="278">
        <v>7.5860281373740595</v>
      </c>
      <c r="H231" s="278">
        <f t="shared" ref="H231:H238" si="95">SUM(F231:G231)</f>
        <v>9.7000075790795659</v>
      </c>
      <c r="I231" s="279"/>
      <c r="J231" s="278">
        <v>2.025812062163614</v>
      </c>
      <c r="K231" s="278">
        <v>8.9219109108523007</v>
      </c>
      <c r="L231" s="278">
        <f t="shared" ref="L231:L238" si="96">SUM(J231:K231)</f>
        <v>10.947722973015914</v>
      </c>
      <c r="M231" s="212"/>
      <c r="N231" s="212"/>
    </row>
    <row r="232" spans="1:14">
      <c r="A232" s="213" t="str">
        <f>name!E$6</f>
        <v>Associate professional occupations</v>
      </c>
      <c r="B232" s="278">
        <v>1.6765977633362932</v>
      </c>
      <c r="C232" s="278">
        <v>4.9416687387435756</v>
      </c>
      <c r="D232" s="278">
        <f t="shared" si="94"/>
        <v>6.6182665020798686</v>
      </c>
      <c r="E232" s="279"/>
      <c r="F232" s="278">
        <v>2.3957298733389703</v>
      </c>
      <c r="G232" s="278">
        <v>6.8624562342456166</v>
      </c>
      <c r="H232" s="278">
        <f t="shared" si="95"/>
        <v>9.2581861075845868</v>
      </c>
      <c r="I232" s="279"/>
      <c r="J232" s="278">
        <v>2.1029157170017712</v>
      </c>
      <c r="K232" s="278">
        <v>6.1565786285172832</v>
      </c>
      <c r="L232" s="278">
        <f t="shared" si="96"/>
        <v>8.2594943455190553</v>
      </c>
      <c r="M232" s="212"/>
      <c r="N232" s="212"/>
    </row>
    <row r="233" spans="1:14">
      <c r="A233" s="213" t="str">
        <f>name!E$7</f>
        <v>Administrative and secretarial occupations</v>
      </c>
      <c r="B233" s="278">
        <v>4.08570662778917</v>
      </c>
      <c r="C233" s="278">
        <v>1.33075691069236</v>
      </c>
      <c r="D233" s="278">
        <f t="shared" si="94"/>
        <v>5.4164635384815298</v>
      </c>
      <c r="E233" s="279"/>
      <c r="F233" s="278">
        <v>4.9823442421649595</v>
      </c>
      <c r="G233" s="278">
        <v>1.8737954319384369</v>
      </c>
      <c r="H233" s="278">
        <f t="shared" si="95"/>
        <v>6.856139674103396</v>
      </c>
      <c r="I233" s="279"/>
      <c r="J233" s="278">
        <v>3.4916335518111614</v>
      </c>
      <c r="K233" s="278">
        <v>2.0428408558160189</v>
      </c>
      <c r="L233" s="278">
        <f t="shared" si="96"/>
        <v>5.5344744076271803</v>
      </c>
      <c r="M233" s="212"/>
      <c r="N233" s="212"/>
    </row>
    <row r="234" spans="1:14">
      <c r="A234" s="213" t="str">
        <f>name!E$8</f>
        <v>Skilled trades occupations</v>
      </c>
      <c r="B234" s="278">
        <v>1.0455602471976175</v>
      </c>
      <c r="C234" s="278">
        <v>15.74602956823626</v>
      </c>
      <c r="D234" s="278">
        <f t="shared" si="94"/>
        <v>16.791589815433877</v>
      </c>
      <c r="E234" s="279"/>
      <c r="F234" s="278">
        <v>1.0521426168343142</v>
      </c>
      <c r="G234" s="278">
        <v>14.082836119085238</v>
      </c>
      <c r="H234" s="278">
        <f t="shared" si="95"/>
        <v>15.134978735919553</v>
      </c>
      <c r="I234" s="279"/>
      <c r="J234" s="278">
        <v>0.89313929491436372</v>
      </c>
      <c r="K234" s="278">
        <v>11.349625249486895</v>
      </c>
      <c r="L234" s="278">
        <f t="shared" si="96"/>
        <v>12.242764544401258</v>
      </c>
      <c r="M234" s="212"/>
      <c r="N234" s="212"/>
    </row>
    <row r="235" spans="1:14">
      <c r="A235" s="213" t="str">
        <f>name!E$9</f>
        <v>Caring, leisure and other service occupations</v>
      </c>
      <c r="B235" s="278">
        <v>0.44418562017019964</v>
      </c>
      <c r="C235" s="278">
        <v>0.66528830682362339</v>
      </c>
      <c r="D235" s="278">
        <f t="shared" si="94"/>
        <v>1.109473926993823</v>
      </c>
      <c r="E235" s="279"/>
      <c r="F235" s="278">
        <v>0.51831813521620329</v>
      </c>
      <c r="G235" s="278">
        <v>0.95990369578287182</v>
      </c>
      <c r="H235" s="278">
        <f t="shared" si="95"/>
        <v>1.4782218309990751</v>
      </c>
      <c r="I235" s="279"/>
      <c r="J235" s="278">
        <v>0.37426676189987007</v>
      </c>
      <c r="K235" s="278">
        <v>1.1769626324883411</v>
      </c>
      <c r="L235" s="278">
        <f t="shared" si="96"/>
        <v>1.5512293943882112</v>
      </c>
      <c r="M235" s="212"/>
      <c r="N235" s="212"/>
    </row>
    <row r="236" spans="1:14">
      <c r="A236" s="213" t="str">
        <f>name!E$10</f>
        <v>Sales and customer service occupations</v>
      </c>
      <c r="B236" s="278">
        <v>1.5095144586948241</v>
      </c>
      <c r="C236" s="278">
        <v>1.168766184947545</v>
      </c>
      <c r="D236" s="278">
        <f t="shared" si="94"/>
        <v>2.6782806436423692</v>
      </c>
      <c r="E236" s="279"/>
      <c r="F236" s="278">
        <v>1.5981554977723049</v>
      </c>
      <c r="G236" s="278">
        <v>1.3514034323392032</v>
      </c>
      <c r="H236" s="278">
        <f t="shared" si="95"/>
        <v>2.9495589301115084</v>
      </c>
      <c r="I236" s="279"/>
      <c r="J236" s="278">
        <v>1.3091375412890678</v>
      </c>
      <c r="K236" s="278">
        <v>1.5008219500928535</v>
      </c>
      <c r="L236" s="278">
        <f t="shared" si="96"/>
        <v>2.809959491381921</v>
      </c>
      <c r="M236" s="212"/>
      <c r="N236" s="212"/>
    </row>
    <row r="237" spans="1:14">
      <c r="A237" s="213" t="str">
        <f>name!E$11</f>
        <v>Process, plant and machine operatives</v>
      </c>
      <c r="B237" s="278">
        <v>1.2479538293524752</v>
      </c>
      <c r="C237" s="278">
        <v>17.331770104313652</v>
      </c>
      <c r="D237" s="278">
        <f t="shared" si="94"/>
        <v>18.579723933666127</v>
      </c>
      <c r="E237" s="279"/>
      <c r="F237" s="278">
        <v>1.1210710287598808</v>
      </c>
      <c r="G237" s="278">
        <v>17.528485097922818</v>
      </c>
      <c r="H237" s="278">
        <f t="shared" si="95"/>
        <v>18.6495561266827</v>
      </c>
      <c r="I237" s="279"/>
      <c r="J237" s="278">
        <v>1.3749779706266525</v>
      </c>
      <c r="K237" s="278">
        <v>13.411856301637444</v>
      </c>
      <c r="L237" s="278">
        <f t="shared" si="96"/>
        <v>14.786834272264096</v>
      </c>
      <c r="M237" s="212"/>
      <c r="N237" s="212"/>
    </row>
    <row r="238" spans="1:14">
      <c r="A238" s="213" t="str">
        <f>name!E$12</f>
        <v>Elementary occupations</v>
      </c>
      <c r="B238" s="278">
        <v>1.933211217670765</v>
      </c>
      <c r="C238" s="278">
        <v>4.7016111536857945</v>
      </c>
      <c r="D238" s="278">
        <f t="shared" si="94"/>
        <v>6.6348223713565595</v>
      </c>
      <c r="E238" s="279"/>
      <c r="F238" s="278">
        <v>1.5384481593523847</v>
      </c>
      <c r="G238" s="278">
        <v>4.6655612650296732</v>
      </c>
      <c r="H238" s="278">
        <f t="shared" si="95"/>
        <v>6.2040094243820576</v>
      </c>
      <c r="I238" s="279"/>
      <c r="J238" s="278">
        <v>1.6110338433155789</v>
      </c>
      <c r="K238" s="278">
        <v>4.0636466261524387</v>
      </c>
      <c r="L238" s="278">
        <f t="shared" si="96"/>
        <v>5.6746804694680177</v>
      </c>
      <c r="M238" s="212"/>
      <c r="N238" s="212"/>
    </row>
    <row r="239" spans="1:14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  <c r="N239" s="212"/>
    </row>
    <row r="240" spans="1:14">
      <c r="A240" s="220" t="s">
        <v>119</v>
      </c>
      <c r="B240" s="282">
        <f>SUM(B230:B238)</f>
        <v>14.658000000020548</v>
      </c>
      <c r="C240" s="282">
        <f t="shared" ref="C240:D240" si="97">SUM(C230:C238)</f>
        <v>59.155999999849165</v>
      </c>
      <c r="D240" s="282">
        <f t="shared" si="97"/>
        <v>73.813999999869708</v>
      </c>
      <c r="E240" s="282"/>
      <c r="F240" s="282">
        <f t="shared" ref="F240:H240" si="98">SUM(F230:F238)</f>
        <v>17.441999999944141</v>
      </c>
      <c r="G240" s="282">
        <f t="shared" si="98"/>
        <v>65.034000000011929</v>
      </c>
      <c r="H240" s="282">
        <f t="shared" si="98"/>
        <v>82.475999999956059</v>
      </c>
      <c r="I240" s="282"/>
      <c r="J240" s="282">
        <f t="shared" ref="J240:L240" si="99">SUM(J230:J238)</f>
        <v>14.795000000438256</v>
      </c>
      <c r="K240" s="282">
        <f t="shared" si="99"/>
        <v>57.301999999987423</v>
      </c>
      <c r="L240" s="282">
        <f t="shared" si="99"/>
        <v>72.09700000042568</v>
      </c>
      <c r="M240" s="212"/>
      <c r="N240" s="212"/>
    </row>
    <row r="241" spans="1:14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  <c r="N241" s="212"/>
    </row>
    <row r="242" spans="1:14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32" t="s">
        <v>114</v>
      </c>
      <c r="M242" s="212"/>
      <c r="N242" s="212"/>
    </row>
    <row r="243" spans="1:14" ht="12.95">
      <c r="A243" s="218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12"/>
      <c r="M243" s="212"/>
      <c r="N243" s="212"/>
    </row>
    <row r="244" spans="1:14" ht="12.95">
      <c r="A244" s="217" t="str">
        <f>name!A17</f>
        <v>Basic metals</v>
      </c>
      <c r="B244" s="367">
        <f>B$6</f>
        <v>2015</v>
      </c>
      <c r="C244" s="367"/>
      <c r="D244" s="367"/>
      <c r="E244" s="229"/>
      <c r="F244" s="367">
        <f>F227</f>
        <v>2020</v>
      </c>
      <c r="G244" s="367"/>
      <c r="H244" s="367"/>
      <c r="I244" s="229"/>
      <c r="J244" s="367">
        <f>J227</f>
        <v>2035</v>
      </c>
      <c r="K244" s="367"/>
      <c r="L244" s="367"/>
      <c r="M244" s="212"/>
      <c r="N244" s="212"/>
    </row>
    <row r="245" spans="1:14" ht="12.95">
      <c r="A245" s="230"/>
      <c r="B245" s="231" t="s">
        <v>173</v>
      </c>
      <c r="C245" s="231" t="s">
        <v>174</v>
      </c>
      <c r="D245" s="231" t="s">
        <v>119</v>
      </c>
      <c r="E245" s="231"/>
      <c r="F245" s="231" t="s">
        <v>173</v>
      </c>
      <c r="G245" s="231" t="s">
        <v>174</v>
      </c>
      <c r="H245" s="231" t="s">
        <v>119</v>
      </c>
      <c r="I245" s="231"/>
      <c r="J245" s="231" t="s">
        <v>173</v>
      </c>
      <c r="K245" s="231" t="s">
        <v>174</v>
      </c>
      <c r="L245" s="231" t="s">
        <v>119</v>
      </c>
      <c r="M245" s="212"/>
      <c r="N245" s="212"/>
    </row>
    <row r="246" spans="1:14" ht="12.95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  <c r="N246" s="212"/>
    </row>
    <row r="247" spans="1:14">
      <c r="A247" s="213" t="str">
        <f>name!E$4</f>
        <v>Managers, directors and senior officials</v>
      </c>
      <c r="B247" s="278">
        <v>0.47445286429950057</v>
      </c>
      <c r="C247" s="278">
        <v>3.7700460411217698</v>
      </c>
      <c r="D247" s="278">
        <f>SUM(B247:C247)</f>
        <v>4.2444989054212705</v>
      </c>
      <c r="E247" s="279"/>
      <c r="F247" s="278">
        <v>0.5671546698857558</v>
      </c>
      <c r="G247" s="278">
        <v>3.9458852228047565</v>
      </c>
      <c r="H247" s="278">
        <f>SUM(F247:G247)</f>
        <v>4.5130398926905126</v>
      </c>
      <c r="I247" s="279"/>
      <c r="J247" s="278">
        <v>0.496765973470008</v>
      </c>
      <c r="K247" s="278">
        <v>3.0950220036378027</v>
      </c>
      <c r="L247" s="278">
        <f>SUM(J247:K247)</f>
        <v>3.5917879771078107</v>
      </c>
      <c r="M247" s="212"/>
      <c r="N247" s="212"/>
    </row>
    <row r="248" spans="1:14">
      <c r="A248" s="213" t="str">
        <f>name!E$5</f>
        <v>Professional occupations</v>
      </c>
      <c r="B248" s="278">
        <v>0.68488842268453165</v>
      </c>
      <c r="C248" s="278">
        <v>6.7211091916038184</v>
      </c>
      <c r="D248" s="278">
        <f t="shared" ref="D248:D255" si="100">SUM(B248:C248)</f>
        <v>7.4059976142883501</v>
      </c>
      <c r="E248" s="279"/>
      <c r="F248" s="278">
        <v>0.87118285786197358</v>
      </c>
      <c r="G248" s="278">
        <v>7.6937005676814119</v>
      </c>
      <c r="H248" s="278">
        <f t="shared" ref="H248:H255" si="101">SUM(F248:G248)</f>
        <v>8.5648834255433854</v>
      </c>
      <c r="I248" s="279"/>
      <c r="J248" s="278">
        <v>0.89482211936643763</v>
      </c>
      <c r="K248" s="278">
        <v>8.7397794507180659</v>
      </c>
      <c r="L248" s="278">
        <f t="shared" ref="L248:L255" si="102">SUM(J248:K248)</f>
        <v>9.634601570084504</v>
      </c>
      <c r="M248" s="212"/>
      <c r="N248" s="212"/>
    </row>
    <row r="249" spans="1:14">
      <c r="A249" s="213" t="str">
        <f>name!E$6</f>
        <v>Associate professional occupations</v>
      </c>
      <c r="B249" s="278">
        <v>0.78148539646004178</v>
      </c>
      <c r="C249" s="278">
        <v>3.9649158046928958</v>
      </c>
      <c r="D249" s="278">
        <f t="shared" si="100"/>
        <v>4.7464012011529375</v>
      </c>
      <c r="E249" s="279"/>
      <c r="F249" s="278">
        <v>0.86499079914246657</v>
      </c>
      <c r="G249" s="278">
        <v>4.5136451906225421</v>
      </c>
      <c r="H249" s="278">
        <f t="shared" si="101"/>
        <v>5.3786359897650087</v>
      </c>
      <c r="I249" s="279"/>
      <c r="J249" s="278">
        <v>0.85503454530676071</v>
      </c>
      <c r="K249" s="278">
        <v>3.7488063741422293</v>
      </c>
      <c r="L249" s="278">
        <f t="shared" si="102"/>
        <v>4.6038409194489898</v>
      </c>
      <c r="M249" s="212"/>
      <c r="N249" s="212"/>
    </row>
    <row r="250" spans="1:14">
      <c r="A250" s="213" t="str">
        <f>name!E$7</f>
        <v>Administrative and secretarial occupations</v>
      </c>
      <c r="B250" s="278">
        <v>2.60443986819452</v>
      </c>
      <c r="C250" s="278">
        <v>1.6233178865436193</v>
      </c>
      <c r="D250" s="278">
        <f t="shared" si="100"/>
        <v>4.2277577547381391</v>
      </c>
      <c r="E250" s="279"/>
      <c r="F250" s="278">
        <v>2.203276126525413</v>
      </c>
      <c r="G250" s="278">
        <v>1.8584646732826768</v>
      </c>
      <c r="H250" s="278">
        <f t="shared" si="101"/>
        <v>4.0617407998080903</v>
      </c>
      <c r="I250" s="279"/>
      <c r="J250" s="278">
        <v>1.8342649022180475</v>
      </c>
      <c r="K250" s="278">
        <v>1.8800541193617768</v>
      </c>
      <c r="L250" s="278">
        <f t="shared" si="102"/>
        <v>3.7143190215798243</v>
      </c>
      <c r="M250" s="212"/>
      <c r="N250" s="212"/>
    </row>
    <row r="251" spans="1:14">
      <c r="A251" s="213" t="str">
        <f>name!E$8</f>
        <v>Skilled trades occupations</v>
      </c>
      <c r="B251" s="278">
        <v>0.17626564272489942</v>
      </c>
      <c r="C251" s="278">
        <v>17.783510924138188</v>
      </c>
      <c r="D251" s="278">
        <f t="shared" si="100"/>
        <v>17.959776566863088</v>
      </c>
      <c r="E251" s="279"/>
      <c r="F251" s="278">
        <v>0.18089254932333121</v>
      </c>
      <c r="G251" s="278">
        <v>13.817167752443616</v>
      </c>
      <c r="H251" s="278">
        <f t="shared" si="101"/>
        <v>13.998060301766948</v>
      </c>
      <c r="I251" s="279"/>
      <c r="J251" s="278">
        <v>0.22486313387529089</v>
      </c>
      <c r="K251" s="278">
        <v>10.02667306165379</v>
      </c>
      <c r="L251" s="278">
        <f t="shared" si="102"/>
        <v>10.251536195529081</v>
      </c>
      <c r="M251" s="212"/>
      <c r="N251" s="212"/>
    </row>
    <row r="252" spans="1:14">
      <c r="A252" s="213" t="str">
        <f>name!E$9</f>
        <v>Caring, leisure and other service occupations</v>
      </c>
      <c r="B252" s="278">
        <v>0.1338329040166906</v>
      </c>
      <c r="C252" s="278">
        <v>0.60662863021763802</v>
      </c>
      <c r="D252" s="278">
        <f t="shared" si="100"/>
        <v>0.74046153423432859</v>
      </c>
      <c r="E252" s="279"/>
      <c r="F252" s="278">
        <v>0.14176344225052626</v>
      </c>
      <c r="G252" s="278">
        <v>0.68247487886726366</v>
      </c>
      <c r="H252" s="278">
        <f t="shared" si="101"/>
        <v>0.82423832111778994</v>
      </c>
      <c r="I252" s="279"/>
      <c r="J252" s="278">
        <v>0.10963408693750158</v>
      </c>
      <c r="K252" s="278">
        <v>0.61479964423163147</v>
      </c>
      <c r="L252" s="278">
        <f t="shared" si="102"/>
        <v>0.72443373116913301</v>
      </c>
      <c r="M252" s="212"/>
      <c r="N252" s="212"/>
    </row>
    <row r="253" spans="1:14">
      <c r="A253" s="213" t="str">
        <f>name!E$10</f>
        <v>Sales and customer service occupations</v>
      </c>
      <c r="B253" s="278">
        <v>0.1854769046659967</v>
      </c>
      <c r="C253" s="278">
        <v>0.43484681515183971</v>
      </c>
      <c r="D253" s="278">
        <f t="shared" si="100"/>
        <v>0.62032371981783641</v>
      </c>
      <c r="E253" s="279"/>
      <c r="F253" s="278">
        <v>0.16816058915597948</v>
      </c>
      <c r="G253" s="278">
        <v>0.41842879069298133</v>
      </c>
      <c r="H253" s="278">
        <f t="shared" si="101"/>
        <v>0.58658937984896076</v>
      </c>
      <c r="I253" s="279"/>
      <c r="J253" s="278">
        <v>0.15273296718940005</v>
      </c>
      <c r="K253" s="278">
        <v>0.41464291089233019</v>
      </c>
      <c r="L253" s="278">
        <f t="shared" si="102"/>
        <v>0.56737587808173018</v>
      </c>
      <c r="M253" s="212"/>
      <c r="N253" s="212"/>
    </row>
    <row r="254" spans="1:14">
      <c r="A254" s="213" t="str">
        <f>name!E$11</f>
        <v>Process, plant and machine operatives</v>
      </c>
      <c r="B254" s="278">
        <v>0.49189495975814862</v>
      </c>
      <c r="C254" s="278">
        <v>10.255219302651719</v>
      </c>
      <c r="D254" s="278">
        <f t="shared" si="100"/>
        <v>10.747114262409868</v>
      </c>
      <c r="E254" s="279"/>
      <c r="F254" s="278">
        <v>0.33923727513389135</v>
      </c>
      <c r="G254" s="278">
        <v>7.9422993737044143</v>
      </c>
      <c r="H254" s="278">
        <f t="shared" si="101"/>
        <v>8.2815366488383049</v>
      </c>
      <c r="I254" s="279"/>
      <c r="J254" s="278">
        <v>0.36637605531390338</v>
      </c>
      <c r="K254" s="278">
        <v>6.0216835863654987</v>
      </c>
      <c r="L254" s="278">
        <f t="shared" si="102"/>
        <v>6.3880596416794022</v>
      </c>
      <c r="M254" s="212"/>
      <c r="N254" s="212"/>
    </row>
    <row r="255" spans="1:14">
      <c r="A255" s="213" t="str">
        <f>name!E$12</f>
        <v>Elementary occupations</v>
      </c>
      <c r="B255" s="278">
        <v>0.37526303718528642</v>
      </c>
      <c r="C255" s="278">
        <v>2.2774054038122178</v>
      </c>
      <c r="D255" s="278">
        <f t="shared" si="100"/>
        <v>2.6526684409975041</v>
      </c>
      <c r="E255" s="279"/>
      <c r="F255" s="278">
        <v>0.31334169068464213</v>
      </c>
      <c r="G255" s="278">
        <v>1.6969335498436695</v>
      </c>
      <c r="H255" s="278">
        <f t="shared" si="101"/>
        <v>2.0102752405283115</v>
      </c>
      <c r="I255" s="279"/>
      <c r="J255" s="278">
        <v>0.34050621645372109</v>
      </c>
      <c r="K255" s="278">
        <v>1.4485388489795294</v>
      </c>
      <c r="L255" s="278">
        <f t="shared" si="102"/>
        <v>1.7890450654332506</v>
      </c>
      <c r="M255" s="212"/>
      <c r="N255" s="212"/>
    </row>
    <row r="256" spans="1:14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  <c r="N256" s="212"/>
    </row>
    <row r="257" spans="1:14">
      <c r="A257" s="220" t="s">
        <v>119</v>
      </c>
      <c r="B257" s="282">
        <f>SUM(B247:B255)</f>
        <v>5.9079999999896167</v>
      </c>
      <c r="C257" s="282">
        <f t="shared" ref="C257:D257" si="103">SUM(C247:C255)</f>
        <v>47.436999999933711</v>
      </c>
      <c r="D257" s="282">
        <f t="shared" si="103"/>
        <v>53.344999999923317</v>
      </c>
      <c r="E257" s="282"/>
      <c r="F257" s="282">
        <f t="shared" ref="F257:H257" si="104">SUM(F247:F255)</f>
        <v>5.6499999999639785</v>
      </c>
      <c r="G257" s="282">
        <f t="shared" si="104"/>
        <v>42.56899999994333</v>
      </c>
      <c r="H257" s="282">
        <f t="shared" si="104"/>
        <v>48.218999999907311</v>
      </c>
      <c r="I257" s="282"/>
      <c r="J257" s="282">
        <f t="shared" ref="J257:L257" si="105">SUM(J247:J255)</f>
        <v>5.2750000001310697</v>
      </c>
      <c r="K257" s="282">
        <f t="shared" si="105"/>
        <v>35.989999999982658</v>
      </c>
      <c r="L257" s="282">
        <f t="shared" si="105"/>
        <v>41.265000000113723</v>
      </c>
      <c r="M257" s="212"/>
      <c r="N257" s="212"/>
    </row>
    <row r="258" spans="1:14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  <c r="N258" s="212"/>
    </row>
    <row r="259" spans="1:14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32" t="s">
        <v>114</v>
      </c>
      <c r="M259" s="212"/>
      <c r="N259" s="212"/>
    </row>
    <row r="260" spans="1:14" ht="12.95">
      <c r="A260" s="218"/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12"/>
      <c r="M260" s="212"/>
      <c r="N260" s="212"/>
    </row>
    <row r="261" spans="1:14" ht="12.95">
      <c r="A261" s="217" t="str">
        <f>name!A18</f>
        <v>Metal products</v>
      </c>
      <c r="B261" s="367">
        <f>B$6</f>
        <v>2015</v>
      </c>
      <c r="C261" s="367"/>
      <c r="D261" s="367"/>
      <c r="E261" s="229"/>
      <c r="F261" s="367">
        <f>F244</f>
        <v>2020</v>
      </c>
      <c r="G261" s="367"/>
      <c r="H261" s="367"/>
      <c r="I261" s="229"/>
      <c r="J261" s="367">
        <f>J244</f>
        <v>2035</v>
      </c>
      <c r="K261" s="367"/>
      <c r="L261" s="367"/>
      <c r="M261" s="212"/>
      <c r="N261" s="212"/>
    </row>
    <row r="262" spans="1:14" ht="12.95">
      <c r="A262" s="230"/>
      <c r="B262" s="231" t="s">
        <v>173</v>
      </c>
      <c r="C262" s="231" t="s">
        <v>174</v>
      </c>
      <c r="D262" s="231" t="s">
        <v>119</v>
      </c>
      <c r="E262" s="231"/>
      <c r="F262" s="231" t="s">
        <v>173</v>
      </c>
      <c r="G262" s="231" t="s">
        <v>174</v>
      </c>
      <c r="H262" s="231" t="s">
        <v>119</v>
      </c>
      <c r="I262" s="231"/>
      <c r="J262" s="231" t="s">
        <v>173</v>
      </c>
      <c r="K262" s="231" t="s">
        <v>174</v>
      </c>
      <c r="L262" s="231" t="s">
        <v>119</v>
      </c>
      <c r="M262" s="212"/>
      <c r="N262" s="212"/>
    </row>
    <row r="263" spans="1:14" ht="12.95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  <c r="N263" s="212"/>
    </row>
    <row r="264" spans="1:14">
      <c r="A264" s="213" t="str">
        <f>name!E$4</f>
        <v>Managers, directors and senior officials</v>
      </c>
      <c r="B264" s="278">
        <v>4.5823450101387682</v>
      </c>
      <c r="C264" s="278">
        <v>25.090307062123909</v>
      </c>
      <c r="D264" s="278">
        <f>SUM(B264:C264)</f>
        <v>29.672652072262679</v>
      </c>
      <c r="E264" s="279"/>
      <c r="F264" s="278">
        <v>5.4411416601034164</v>
      </c>
      <c r="G264" s="278">
        <v>24.857564989292573</v>
      </c>
      <c r="H264" s="278">
        <f>SUM(F264:G264)</f>
        <v>30.298706649395989</v>
      </c>
      <c r="I264" s="279"/>
      <c r="J264" s="278">
        <v>5.1210362904023006</v>
      </c>
      <c r="K264" s="278">
        <v>20.095534796697248</v>
      </c>
      <c r="L264" s="278">
        <f>SUM(J264:K264)</f>
        <v>25.216571087099549</v>
      </c>
      <c r="M264" s="212"/>
      <c r="N264" s="212"/>
    </row>
    <row r="265" spans="1:14">
      <c r="A265" s="213" t="str">
        <f>name!E$5</f>
        <v>Professional occupations</v>
      </c>
      <c r="B265" s="278">
        <v>4.8579404726414941</v>
      </c>
      <c r="C265" s="278">
        <v>29.848852240524153</v>
      </c>
      <c r="D265" s="278">
        <f t="shared" ref="D265:D272" si="106">SUM(B265:C265)</f>
        <v>34.706792713165648</v>
      </c>
      <c r="E265" s="279"/>
      <c r="F265" s="278">
        <v>5.7187002575132997</v>
      </c>
      <c r="G265" s="278">
        <v>32.235004144314267</v>
      </c>
      <c r="H265" s="278">
        <f t="shared" ref="H265:H272" si="107">SUM(F265:G265)</f>
        <v>37.953704401827565</v>
      </c>
      <c r="I265" s="279"/>
      <c r="J265" s="278">
        <v>6.2076044035384479</v>
      </c>
      <c r="K265" s="278">
        <v>36.438318931235138</v>
      </c>
      <c r="L265" s="278">
        <f t="shared" ref="L265:L272" si="108">SUM(J265:K265)</f>
        <v>42.645923334773585</v>
      </c>
      <c r="M265" s="212"/>
      <c r="N265" s="212"/>
    </row>
    <row r="266" spans="1:14">
      <c r="A266" s="213" t="str">
        <f>name!E$6</f>
        <v>Associate professional occupations</v>
      </c>
      <c r="B266" s="278">
        <v>5.4824967385839809</v>
      </c>
      <c r="C266" s="278">
        <v>25.379897706535235</v>
      </c>
      <c r="D266" s="278">
        <f t="shared" si="106"/>
        <v>30.862394445119214</v>
      </c>
      <c r="E266" s="279"/>
      <c r="F266" s="278">
        <v>5.417069377891111</v>
      </c>
      <c r="G266" s="278">
        <v>26.380362101502367</v>
      </c>
      <c r="H266" s="278">
        <f t="shared" si="107"/>
        <v>31.797431479393477</v>
      </c>
      <c r="I266" s="279"/>
      <c r="J266" s="278">
        <v>5.1109424620841102</v>
      </c>
      <c r="K266" s="278">
        <v>22.240448840516301</v>
      </c>
      <c r="L266" s="278">
        <f t="shared" si="108"/>
        <v>27.351391302600412</v>
      </c>
      <c r="M266" s="212"/>
      <c r="N266" s="212"/>
    </row>
    <row r="267" spans="1:14">
      <c r="A267" s="213" t="str">
        <f>name!E$7</f>
        <v>Administrative and secretarial occupations</v>
      </c>
      <c r="B267" s="278">
        <v>15.336829240875348</v>
      </c>
      <c r="C267" s="278">
        <v>5.3200860203838403</v>
      </c>
      <c r="D267" s="278">
        <f t="shared" si="106"/>
        <v>20.656915261259186</v>
      </c>
      <c r="E267" s="279"/>
      <c r="F267" s="278">
        <v>12.83161855112645</v>
      </c>
      <c r="G267" s="278">
        <v>5.2934761890663893</v>
      </c>
      <c r="H267" s="278">
        <f t="shared" si="107"/>
        <v>18.125094740192839</v>
      </c>
      <c r="I267" s="279"/>
      <c r="J267" s="278">
        <v>8.5424502302033254</v>
      </c>
      <c r="K267" s="278">
        <v>5.4465015798292438</v>
      </c>
      <c r="L267" s="278">
        <f t="shared" si="108"/>
        <v>13.988951810032569</v>
      </c>
      <c r="M267" s="212"/>
      <c r="N267" s="212"/>
    </row>
    <row r="268" spans="1:14">
      <c r="A268" s="213" t="str">
        <f>name!E$8</f>
        <v>Skilled trades occupations</v>
      </c>
      <c r="B268" s="278">
        <v>1.7020954233330614</v>
      </c>
      <c r="C268" s="278">
        <v>106.97840227082385</v>
      </c>
      <c r="D268" s="278">
        <f t="shared" si="106"/>
        <v>108.68049769415691</v>
      </c>
      <c r="E268" s="279"/>
      <c r="F268" s="278">
        <v>1.6878754598481964</v>
      </c>
      <c r="G268" s="278">
        <v>77.590058521576552</v>
      </c>
      <c r="H268" s="278">
        <f t="shared" si="107"/>
        <v>79.277933981424752</v>
      </c>
      <c r="I268" s="279"/>
      <c r="J268" s="278">
        <v>2.3809534935406824</v>
      </c>
      <c r="K268" s="278">
        <v>56.679334008769537</v>
      </c>
      <c r="L268" s="278">
        <f t="shared" si="108"/>
        <v>59.060287502310217</v>
      </c>
      <c r="M268" s="212"/>
      <c r="N268" s="212"/>
    </row>
    <row r="269" spans="1:14">
      <c r="A269" s="213" t="str">
        <f>name!E$9</f>
        <v>Caring, leisure and other service occupations</v>
      </c>
      <c r="B269" s="278">
        <v>0.73930291093832368</v>
      </c>
      <c r="C269" s="278">
        <v>1.4493330792450272</v>
      </c>
      <c r="D269" s="278">
        <f t="shared" si="106"/>
        <v>2.188635990183351</v>
      </c>
      <c r="E269" s="279"/>
      <c r="F269" s="278">
        <v>0.60641327416940216</v>
      </c>
      <c r="G269" s="278">
        <v>1.4431807532934575</v>
      </c>
      <c r="H269" s="278">
        <f t="shared" si="107"/>
        <v>2.0495940274628595</v>
      </c>
      <c r="I269" s="279"/>
      <c r="J269" s="278">
        <v>0.45811255330766837</v>
      </c>
      <c r="K269" s="278">
        <v>1.6070560518881227</v>
      </c>
      <c r="L269" s="278">
        <f t="shared" si="108"/>
        <v>2.0651686051957912</v>
      </c>
      <c r="M269" s="212"/>
      <c r="N269" s="212"/>
    </row>
    <row r="270" spans="1:14">
      <c r="A270" s="213" t="str">
        <f>name!E$10</f>
        <v>Sales and customer service occupations</v>
      </c>
      <c r="B270" s="278">
        <v>2.0835115354370437</v>
      </c>
      <c r="C270" s="278">
        <v>2.1764155211345795</v>
      </c>
      <c r="D270" s="278">
        <f t="shared" si="106"/>
        <v>4.2599270565716232</v>
      </c>
      <c r="E270" s="279"/>
      <c r="F270" s="278">
        <v>1.7629715877214571</v>
      </c>
      <c r="G270" s="278">
        <v>1.8923041009574022</v>
      </c>
      <c r="H270" s="278">
        <f t="shared" si="107"/>
        <v>3.6552756886788593</v>
      </c>
      <c r="I270" s="279"/>
      <c r="J270" s="278">
        <v>1.5636894166523772</v>
      </c>
      <c r="K270" s="278">
        <v>1.8979001161468982</v>
      </c>
      <c r="L270" s="278">
        <f t="shared" si="108"/>
        <v>3.4615895327992754</v>
      </c>
      <c r="M270" s="212"/>
      <c r="N270" s="212"/>
    </row>
    <row r="271" spans="1:14">
      <c r="A271" s="213" t="str">
        <f>name!E$11</f>
        <v>Process, plant and machine operatives</v>
      </c>
      <c r="B271" s="278">
        <v>5.6787783233488449</v>
      </c>
      <c r="C271" s="278">
        <v>31.580247493859744</v>
      </c>
      <c r="D271" s="278">
        <f t="shared" si="106"/>
        <v>37.259025817208588</v>
      </c>
      <c r="E271" s="279"/>
      <c r="F271" s="278">
        <v>3.8262848642446374</v>
      </c>
      <c r="G271" s="278">
        <v>22.347227514121784</v>
      </c>
      <c r="H271" s="278">
        <f t="shared" si="107"/>
        <v>26.173512378366421</v>
      </c>
      <c r="I271" s="279"/>
      <c r="J271" s="278">
        <v>4.1060725460820811</v>
      </c>
      <c r="K271" s="278">
        <v>16.682243979724465</v>
      </c>
      <c r="L271" s="278">
        <f t="shared" si="108"/>
        <v>20.788316525806547</v>
      </c>
      <c r="M271" s="212"/>
      <c r="N271" s="212"/>
    </row>
    <row r="272" spans="1:14">
      <c r="A272" s="213" t="str">
        <f>name!E$12</f>
        <v>Elementary occupations</v>
      </c>
      <c r="B272" s="278">
        <v>2.8897003446728644</v>
      </c>
      <c r="C272" s="278">
        <v>8.5304586050059186</v>
      </c>
      <c r="D272" s="278">
        <f t="shared" si="106"/>
        <v>11.420158949678783</v>
      </c>
      <c r="E272" s="279"/>
      <c r="F272" s="278">
        <v>2.0289249672362604</v>
      </c>
      <c r="G272" s="278">
        <v>5.9988216854980863</v>
      </c>
      <c r="H272" s="278">
        <f t="shared" si="107"/>
        <v>8.0277466527343471</v>
      </c>
      <c r="I272" s="279"/>
      <c r="J272" s="278">
        <v>2.8251386052051219</v>
      </c>
      <c r="K272" s="278">
        <v>4.8146616952386943</v>
      </c>
      <c r="L272" s="278">
        <f t="shared" si="108"/>
        <v>7.6398003004438166</v>
      </c>
      <c r="M272" s="212"/>
      <c r="N272" s="212"/>
    </row>
    <row r="273" spans="1:14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  <c r="N273" s="212"/>
    </row>
    <row r="274" spans="1:14">
      <c r="A274" s="220" t="s">
        <v>119</v>
      </c>
      <c r="B274" s="282">
        <f>SUM(B264:B272)</f>
        <v>43.352999999969725</v>
      </c>
      <c r="C274" s="282">
        <f t="shared" ref="C274:D274" si="109">SUM(C264:C272)</f>
        <v>236.35399999963627</v>
      </c>
      <c r="D274" s="282">
        <f t="shared" si="109"/>
        <v>279.70699999960601</v>
      </c>
      <c r="E274" s="282"/>
      <c r="F274" s="282">
        <f t="shared" ref="F274:H274" si="110">SUM(F264:F272)</f>
        <v>39.320999999854223</v>
      </c>
      <c r="G274" s="282">
        <f t="shared" si="110"/>
        <v>198.03799999962291</v>
      </c>
      <c r="H274" s="282">
        <f t="shared" si="110"/>
        <v>237.35899999947711</v>
      </c>
      <c r="I274" s="282"/>
      <c r="J274" s="282">
        <f t="shared" ref="J274:L274" si="111">SUM(J264:J272)</f>
        <v>36.316000001016114</v>
      </c>
      <c r="K274" s="282">
        <f t="shared" si="111"/>
        <v>165.90200000004566</v>
      </c>
      <c r="L274" s="282">
        <f t="shared" si="111"/>
        <v>202.2180000010618</v>
      </c>
      <c r="M274" s="212"/>
      <c r="N274" s="212"/>
    </row>
    <row r="275" spans="1:14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  <c r="N275" s="212"/>
    </row>
    <row r="276" spans="1:14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32" t="s">
        <v>114</v>
      </c>
      <c r="M276" s="212"/>
      <c r="N276" s="212"/>
    </row>
    <row r="277" spans="1:14" ht="12.95">
      <c r="A277" s="218"/>
      <c r="B277" s="226"/>
      <c r="C277" s="226"/>
      <c r="D277" s="226"/>
      <c r="E277" s="226"/>
      <c r="F277" s="226"/>
      <c r="G277" s="226"/>
      <c r="H277" s="226"/>
      <c r="I277" s="226"/>
      <c r="J277" s="226"/>
      <c r="K277" s="226"/>
      <c r="L277" s="212"/>
      <c r="M277" s="212"/>
      <c r="N277" s="212"/>
    </row>
    <row r="278" spans="1:14" ht="12.95">
      <c r="A278" s="217" t="str">
        <f>name!A19</f>
        <v>Computer, etc</v>
      </c>
      <c r="B278" s="367">
        <f>B$6</f>
        <v>2015</v>
      </c>
      <c r="C278" s="367"/>
      <c r="D278" s="367"/>
      <c r="E278" s="229"/>
      <c r="F278" s="367">
        <f>F261</f>
        <v>2020</v>
      </c>
      <c r="G278" s="367"/>
      <c r="H278" s="367"/>
      <c r="I278" s="229"/>
      <c r="J278" s="367">
        <f>J261</f>
        <v>2035</v>
      </c>
      <c r="K278" s="367"/>
      <c r="L278" s="367"/>
      <c r="M278" s="212"/>
      <c r="N278" s="212"/>
    </row>
    <row r="279" spans="1:14" ht="12.95">
      <c r="A279" s="230"/>
      <c r="B279" s="231" t="s">
        <v>173</v>
      </c>
      <c r="C279" s="231" t="s">
        <v>174</v>
      </c>
      <c r="D279" s="231" t="s">
        <v>119</v>
      </c>
      <c r="E279" s="231"/>
      <c r="F279" s="231" t="s">
        <v>173</v>
      </c>
      <c r="G279" s="231" t="s">
        <v>174</v>
      </c>
      <c r="H279" s="231" t="s">
        <v>119</v>
      </c>
      <c r="I279" s="231"/>
      <c r="J279" s="231" t="s">
        <v>173</v>
      </c>
      <c r="K279" s="231" t="s">
        <v>174</v>
      </c>
      <c r="L279" s="231" t="s">
        <v>119</v>
      </c>
      <c r="M279" s="212"/>
      <c r="N279" s="212"/>
    </row>
    <row r="280" spans="1:14" ht="12.95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  <c r="N280" s="212"/>
    </row>
    <row r="281" spans="1:14">
      <c r="A281" s="213" t="str">
        <f>name!E$4</f>
        <v>Managers, directors and senior officials</v>
      </c>
      <c r="B281" s="278">
        <v>2.5790989949424237</v>
      </c>
      <c r="C281" s="278">
        <v>12.418497970428893</v>
      </c>
      <c r="D281" s="278">
        <f>SUM(B281:C281)</f>
        <v>14.997596965371317</v>
      </c>
      <c r="E281" s="279"/>
      <c r="F281" s="278">
        <v>3.4640557639716754</v>
      </c>
      <c r="G281" s="278">
        <v>14.121630582481263</v>
      </c>
      <c r="H281" s="278">
        <f>SUM(F281:G281)</f>
        <v>17.585686346452938</v>
      </c>
      <c r="I281" s="279"/>
      <c r="J281" s="278">
        <v>2.4837396595649563</v>
      </c>
      <c r="K281" s="278">
        <v>11.301251370600353</v>
      </c>
      <c r="L281" s="278">
        <f>SUM(J281:K281)</f>
        <v>13.784991030165308</v>
      </c>
      <c r="M281" s="212"/>
      <c r="N281" s="212"/>
    </row>
    <row r="282" spans="1:14">
      <c r="A282" s="213" t="str">
        <f>name!E$5</f>
        <v>Professional occupations</v>
      </c>
      <c r="B282" s="278">
        <v>4.4105015005909332</v>
      </c>
      <c r="C282" s="278">
        <v>23.795581361304762</v>
      </c>
      <c r="D282" s="278">
        <f t="shared" ref="D282:D289" si="112">SUM(B282:C282)</f>
        <v>28.206082861895695</v>
      </c>
      <c r="E282" s="279"/>
      <c r="F282" s="278">
        <v>6.4914358042784119</v>
      </c>
      <c r="G282" s="278">
        <v>28.731399426742996</v>
      </c>
      <c r="H282" s="278">
        <f t="shared" ref="H282:H289" si="113">SUM(F282:G282)</f>
        <v>35.222835231021406</v>
      </c>
      <c r="I282" s="279"/>
      <c r="J282" s="278">
        <v>5.6031735161084013</v>
      </c>
      <c r="K282" s="278">
        <v>31.713876305187799</v>
      </c>
      <c r="L282" s="278">
        <f t="shared" ref="L282:L289" si="114">SUM(J282:K282)</f>
        <v>37.317049821296202</v>
      </c>
      <c r="M282" s="212"/>
      <c r="N282" s="212"/>
    </row>
    <row r="283" spans="1:14">
      <c r="A283" s="213" t="str">
        <f>name!E$6</f>
        <v>Associate professional occupations</v>
      </c>
      <c r="B283" s="278">
        <v>4.287388164504855</v>
      </c>
      <c r="C283" s="278">
        <v>11.013989026874675</v>
      </c>
      <c r="D283" s="278">
        <f t="shared" si="112"/>
        <v>15.30137719137953</v>
      </c>
      <c r="E283" s="279"/>
      <c r="F283" s="278">
        <v>5.4101305992796673</v>
      </c>
      <c r="G283" s="278">
        <v>13.059494847963146</v>
      </c>
      <c r="H283" s="278">
        <f t="shared" si="113"/>
        <v>18.469625447242812</v>
      </c>
      <c r="I283" s="279"/>
      <c r="J283" s="278">
        <v>4.5795773524971342</v>
      </c>
      <c r="K283" s="278">
        <v>10.820710013181451</v>
      </c>
      <c r="L283" s="278">
        <f t="shared" si="114"/>
        <v>15.400287365678585</v>
      </c>
      <c r="M283" s="212"/>
      <c r="N283" s="212"/>
    </row>
    <row r="284" spans="1:14">
      <c r="A284" s="213" t="str">
        <f>name!E$7</f>
        <v>Administrative and secretarial occupations</v>
      </c>
      <c r="B284" s="278">
        <v>5.5276244652217219</v>
      </c>
      <c r="C284" s="278">
        <v>1.9891036785086103</v>
      </c>
      <c r="D284" s="278">
        <f t="shared" si="112"/>
        <v>7.5167281437303322</v>
      </c>
      <c r="E284" s="279"/>
      <c r="F284" s="278">
        <v>5.2672191486259994</v>
      </c>
      <c r="G284" s="278">
        <v>2.1909634664979971</v>
      </c>
      <c r="H284" s="278">
        <f t="shared" si="113"/>
        <v>7.4581826151239969</v>
      </c>
      <c r="I284" s="279"/>
      <c r="J284" s="278">
        <v>3.1206583856947492</v>
      </c>
      <c r="K284" s="278">
        <v>2.2612518032327635</v>
      </c>
      <c r="L284" s="278">
        <f t="shared" si="114"/>
        <v>5.3819101889275132</v>
      </c>
      <c r="M284" s="212"/>
      <c r="N284" s="212"/>
    </row>
    <row r="285" spans="1:14">
      <c r="A285" s="213" t="str">
        <f>name!E$8</f>
        <v>Skilled trades occupations</v>
      </c>
      <c r="B285" s="278">
        <v>1.1926068784659942</v>
      </c>
      <c r="C285" s="278">
        <v>14.560552852453879</v>
      </c>
      <c r="D285" s="278">
        <f t="shared" si="112"/>
        <v>15.753159730919874</v>
      </c>
      <c r="E285" s="279"/>
      <c r="F285" s="278">
        <v>1.2835905117588922</v>
      </c>
      <c r="G285" s="278">
        <v>11.072120952082942</v>
      </c>
      <c r="H285" s="278">
        <f t="shared" si="113"/>
        <v>12.355711463841834</v>
      </c>
      <c r="I285" s="279"/>
      <c r="J285" s="278">
        <v>1.1096174394015368</v>
      </c>
      <c r="K285" s="278">
        <v>7.9389873493661547</v>
      </c>
      <c r="L285" s="278">
        <f t="shared" si="114"/>
        <v>9.0486047887676921</v>
      </c>
      <c r="M285" s="212"/>
      <c r="N285" s="212"/>
    </row>
    <row r="286" spans="1:14">
      <c r="A286" s="213" t="str">
        <f>name!E$9</f>
        <v>Caring, leisure and other service occupations</v>
      </c>
      <c r="B286" s="278">
        <v>0.51376131871582043</v>
      </c>
      <c r="C286" s="278">
        <v>0.32564619024679287</v>
      </c>
      <c r="D286" s="278">
        <f t="shared" si="112"/>
        <v>0.83940750896261329</v>
      </c>
      <c r="E286" s="279"/>
      <c r="F286" s="278">
        <v>0.50550549241029352</v>
      </c>
      <c r="G286" s="278">
        <v>0.32312048739046506</v>
      </c>
      <c r="H286" s="278">
        <f t="shared" si="113"/>
        <v>0.82862597980075858</v>
      </c>
      <c r="I286" s="279"/>
      <c r="J286" s="278">
        <v>0.29216476918533268</v>
      </c>
      <c r="K286" s="278">
        <v>0.34070441563185788</v>
      </c>
      <c r="L286" s="278">
        <f t="shared" si="114"/>
        <v>0.63286918481719057</v>
      </c>
      <c r="M286" s="212"/>
      <c r="N286" s="212"/>
    </row>
    <row r="287" spans="1:14">
      <c r="A287" s="213" t="str">
        <f>name!E$10</f>
        <v>Sales and customer service occupations</v>
      </c>
      <c r="B287" s="278">
        <v>1.5192832982901752</v>
      </c>
      <c r="C287" s="278">
        <v>1.612186307932765</v>
      </c>
      <c r="D287" s="278">
        <f t="shared" si="112"/>
        <v>3.1314696062229403</v>
      </c>
      <c r="E287" s="279"/>
      <c r="F287" s="278">
        <v>1.4760468402916187</v>
      </c>
      <c r="G287" s="278">
        <v>1.7335633276925178</v>
      </c>
      <c r="H287" s="278">
        <f t="shared" si="113"/>
        <v>3.2096101679841365</v>
      </c>
      <c r="I287" s="279"/>
      <c r="J287" s="278">
        <v>1.0268132183985306</v>
      </c>
      <c r="K287" s="278">
        <v>2.1305526433268098</v>
      </c>
      <c r="L287" s="278">
        <f t="shared" si="114"/>
        <v>3.1573658617253404</v>
      </c>
      <c r="M287" s="212"/>
      <c r="N287" s="212"/>
    </row>
    <row r="288" spans="1:14">
      <c r="A288" s="213" t="str">
        <f>name!E$11</f>
        <v>Process, plant and machine operatives</v>
      </c>
      <c r="B288" s="278">
        <v>4.5909804285068763</v>
      </c>
      <c r="C288" s="278">
        <v>4.76469015902968</v>
      </c>
      <c r="D288" s="278">
        <f t="shared" si="112"/>
        <v>9.3556705875365562</v>
      </c>
      <c r="E288" s="279"/>
      <c r="F288" s="278">
        <v>3.2485056741027591</v>
      </c>
      <c r="G288" s="278">
        <v>3.5465980415367135</v>
      </c>
      <c r="H288" s="278">
        <f t="shared" si="113"/>
        <v>6.7951037156394722</v>
      </c>
      <c r="I288" s="279"/>
      <c r="J288" s="278">
        <v>2.2992977840303235</v>
      </c>
      <c r="K288" s="278">
        <v>2.6716910072790627</v>
      </c>
      <c r="L288" s="278">
        <f t="shared" si="114"/>
        <v>4.9709887913093862</v>
      </c>
      <c r="M288" s="212"/>
      <c r="N288" s="212"/>
    </row>
    <row r="289" spans="1:14">
      <c r="A289" s="213" t="str">
        <f>name!E$12</f>
        <v>Elementary occupations</v>
      </c>
      <c r="B289" s="278">
        <v>1.2917549506738819</v>
      </c>
      <c r="C289" s="278">
        <v>1.9437524530094163</v>
      </c>
      <c r="D289" s="278">
        <f t="shared" si="112"/>
        <v>3.2355074036832985</v>
      </c>
      <c r="E289" s="279"/>
      <c r="F289" s="278">
        <v>0.96951016513634525</v>
      </c>
      <c r="G289" s="278">
        <v>1.3711088674437344</v>
      </c>
      <c r="H289" s="278">
        <f t="shared" si="113"/>
        <v>2.3406190325800798</v>
      </c>
      <c r="I289" s="279"/>
      <c r="J289" s="278">
        <v>1.4449578756172401</v>
      </c>
      <c r="K289" s="278">
        <v>1.0389750923458345</v>
      </c>
      <c r="L289" s="278">
        <f t="shared" si="114"/>
        <v>2.4839329679630744</v>
      </c>
      <c r="M289" s="212"/>
      <c r="N289" s="212"/>
    </row>
    <row r="290" spans="1:14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  <c r="N290" s="212"/>
    </row>
    <row r="291" spans="1:14">
      <c r="A291" s="220" t="s">
        <v>119</v>
      </c>
      <c r="B291" s="282">
        <f>SUM(B281:B289)</f>
        <v>25.912999999912685</v>
      </c>
      <c r="C291" s="282">
        <f t="shared" ref="C291:D291" si="115">SUM(C281:C289)</f>
        <v>72.423999999789473</v>
      </c>
      <c r="D291" s="282">
        <f t="shared" si="115"/>
        <v>98.336999999702144</v>
      </c>
      <c r="E291" s="282"/>
      <c r="F291" s="282">
        <f t="shared" ref="F291:H291" si="116">SUM(F281:F289)</f>
        <v>28.115999999855664</v>
      </c>
      <c r="G291" s="282">
        <f t="shared" si="116"/>
        <v>76.149999999831778</v>
      </c>
      <c r="H291" s="282">
        <f t="shared" si="116"/>
        <v>104.26599999968744</v>
      </c>
      <c r="I291" s="282"/>
      <c r="J291" s="282">
        <f t="shared" ref="J291:L291" si="117">SUM(J281:J289)</f>
        <v>21.960000000498205</v>
      </c>
      <c r="K291" s="282">
        <f t="shared" si="117"/>
        <v>70.218000000152102</v>
      </c>
      <c r="L291" s="282">
        <f t="shared" si="117"/>
        <v>92.178000000650272</v>
      </c>
      <c r="M291" s="212"/>
      <c r="N291" s="212"/>
    </row>
    <row r="292" spans="1:14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  <c r="N292" s="212"/>
    </row>
    <row r="293" spans="1:14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32" t="s">
        <v>114</v>
      </c>
      <c r="M293" s="212"/>
      <c r="N293" s="212"/>
    </row>
    <row r="294" spans="1:14" ht="12.95">
      <c r="A294" s="218"/>
      <c r="B294" s="226"/>
      <c r="C294" s="226"/>
      <c r="D294" s="226"/>
      <c r="E294" s="226"/>
      <c r="F294" s="226"/>
      <c r="G294" s="226"/>
      <c r="H294" s="226"/>
      <c r="I294" s="226"/>
      <c r="J294" s="226"/>
      <c r="K294" s="226"/>
      <c r="L294" s="212"/>
      <c r="M294" s="212"/>
      <c r="N294" s="212"/>
    </row>
    <row r="295" spans="1:14" ht="12.95">
      <c r="A295" s="217" t="str">
        <f>name!A20</f>
        <v>Electrical equipment</v>
      </c>
      <c r="B295" s="367">
        <f>B$6</f>
        <v>2015</v>
      </c>
      <c r="C295" s="367"/>
      <c r="D295" s="367"/>
      <c r="E295" s="229"/>
      <c r="F295" s="367">
        <f>F278</f>
        <v>2020</v>
      </c>
      <c r="G295" s="367"/>
      <c r="H295" s="367"/>
      <c r="I295" s="229"/>
      <c r="J295" s="367">
        <f>J278</f>
        <v>2035</v>
      </c>
      <c r="K295" s="367"/>
      <c r="L295" s="367"/>
      <c r="M295" s="212"/>
      <c r="N295" s="212"/>
    </row>
    <row r="296" spans="1:14" ht="12.95">
      <c r="A296" s="230"/>
      <c r="B296" s="231" t="s">
        <v>173</v>
      </c>
      <c r="C296" s="231" t="s">
        <v>174</v>
      </c>
      <c r="D296" s="231" t="s">
        <v>119</v>
      </c>
      <c r="E296" s="231"/>
      <c r="F296" s="231" t="s">
        <v>173</v>
      </c>
      <c r="G296" s="231" t="s">
        <v>174</v>
      </c>
      <c r="H296" s="231" t="s">
        <v>119</v>
      </c>
      <c r="I296" s="231"/>
      <c r="J296" s="231" t="s">
        <v>173</v>
      </c>
      <c r="K296" s="231" t="s">
        <v>174</v>
      </c>
      <c r="L296" s="231" t="s">
        <v>119</v>
      </c>
      <c r="M296" s="212"/>
      <c r="N296" s="212"/>
    </row>
    <row r="297" spans="1:14" ht="12.95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  <c r="N297" s="212"/>
    </row>
    <row r="298" spans="1:14">
      <c r="A298" s="213" t="str">
        <f>name!E$4</f>
        <v>Managers, directors and senior officials</v>
      </c>
      <c r="B298" s="278">
        <v>1.7308191295955226</v>
      </c>
      <c r="C298" s="278">
        <v>8.8051635918667497</v>
      </c>
      <c r="D298" s="278">
        <f>SUM(B298:C298)</f>
        <v>10.535982721462272</v>
      </c>
      <c r="E298" s="279"/>
      <c r="F298" s="278">
        <v>2.5343349904261872</v>
      </c>
      <c r="G298" s="278">
        <v>7.7561439020593648</v>
      </c>
      <c r="H298" s="278">
        <f>SUM(F298:G298)</f>
        <v>10.290478892485552</v>
      </c>
      <c r="I298" s="279"/>
      <c r="J298" s="278">
        <v>2.5529206333493888</v>
      </c>
      <c r="K298" s="278">
        <v>6.402746123773194</v>
      </c>
      <c r="L298" s="278">
        <f>SUM(J298:K298)</f>
        <v>8.9556667571225823</v>
      </c>
      <c r="M298" s="212"/>
      <c r="N298" s="212"/>
    </row>
    <row r="299" spans="1:14">
      <c r="A299" s="213" t="str">
        <f>name!E$5</f>
        <v>Professional occupations</v>
      </c>
      <c r="B299" s="278">
        <v>2.4373290569717803</v>
      </c>
      <c r="C299" s="278">
        <v>10.709401890025536</v>
      </c>
      <c r="D299" s="278">
        <f t="shared" ref="D299:D306" si="118">SUM(B299:C299)</f>
        <v>13.146730946997316</v>
      </c>
      <c r="E299" s="279"/>
      <c r="F299" s="278">
        <v>2.9884103714373063</v>
      </c>
      <c r="G299" s="278">
        <v>10.181506798041871</v>
      </c>
      <c r="H299" s="278">
        <f t="shared" ref="H299:H306" si="119">SUM(F299:G299)</f>
        <v>13.169917169479177</v>
      </c>
      <c r="I299" s="279"/>
      <c r="J299" s="278">
        <v>3.3160596478666209</v>
      </c>
      <c r="K299" s="278">
        <v>11.724611651840936</v>
      </c>
      <c r="L299" s="278">
        <f t="shared" ref="L299:L306" si="120">SUM(J299:K299)</f>
        <v>15.040671299707558</v>
      </c>
      <c r="M299" s="212"/>
      <c r="N299" s="212"/>
    </row>
    <row r="300" spans="1:14">
      <c r="A300" s="213" t="str">
        <f>name!E$6</f>
        <v>Associate professional occupations</v>
      </c>
      <c r="B300" s="278">
        <v>2.7209790185851799</v>
      </c>
      <c r="C300" s="278">
        <v>6.9794460628944623</v>
      </c>
      <c r="D300" s="278">
        <f t="shared" si="118"/>
        <v>9.7004250814796418</v>
      </c>
      <c r="E300" s="279"/>
      <c r="F300" s="278">
        <v>2.7783614385659114</v>
      </c>
      <c r="G300" s="278">
        <v>6.3170579853527817</v>
      </c>
      <c r="H300" s="278">
        <f t="shared" si="119"/>
        <v>9.0954194239186936</v>
      </c>
      <c r="I300" s="279"/>
      <c r="J300" s="278">
        <v>3.0016930778049717</v>
      </c>
      <c r="K300" s="278">
        <v>5.3922955107364618</v>
      </c>
      <c r="L300" s="278">
        <f t="shared" si="120"/>
        <v>8.3939885885414327</v>
      </c>
      <c r="M300" s="212"/>
      <c r="N300" s="212"/>
    </row>
    <row r="301" spans="1:14">
      <c r="A301" s="213" t="str">
        <f>name!E$7</f>
        <v>Administrative and secretarial occupations</v>
      </c>
      <c r="B301" s="278">
        <v>5.5252305389782457</v>
      </c>
      <c r="C301" s="278">
        <v>1.2998584438920393</v>
      </c>
      <c r="D301" s="278">
        <f t="shared" si="118"/>
        <v>6.8250889828702848</v>
      </c>
      <c r="E301" s="279"/>
      <c r="F301" s="278">
        <v>4.7167167085323891</v>
      </c>
      <c r="G301" s="278">
        <v>1.181305614698652</v>
      </c>
      <c r="H301" s="278">
        <f t="shared" si="119"/>
        <v>5.8980223232310411</v>
      </c>
      <c r="I301" s="279"/>
      <c r="J301" s="278">
        <v>3.838080356138851</v>
      </c>
      <c r="K301" s="278">
        <v>1.3186604777816546</v>
      </c>
      <c r="L301" s="278">
        <f t="shared" si="120"/>
        <v>5.1567408339205052</v>
      </c>
      <c r="M301" s="212"/>
      <c r="N301" s="212"/>
    </row>
    <row r="302" spans="1:14">
      <c r="A302" s="213" t="str">
        <f>name!E$8</f>
        <v>Skilled trades occupations</v>
      </c>
      <c r="B302" s="278">
        <v>0.75987877046406882</v>
      </c>
      <c r="C302" s="278">
        <v>15.838613543181904</v>
      </c>
      <c r="D302" s="278">
        <f t="shared" si="118"/>
        <v>16.598492313645973</v>
      </c>
      <c r="E302" s="279"/>
      <c r="F302" s="278">
        <v>0.76735895260071962</v>
      </c>
      <c r="G302" s="278">
        <v>9.507198176095633</v>
      </c>
      <c r="H302" s="278">
        <f t="shared" si="119"/>
        <v>10.274557128696353</v>
      </c>
      <c r="I302" s="279"/>
      <c r="J302" s="278">
        <v>1.0857897354401262</v>
      </c>
      <c r="K302" s="278">
        <v>6.8487512124430259</v>
      </c>
      <c r="L302" s="278">
        <f t="shared" si="120"/>
        <v>7.9345409478831517</v>
      </c>
      <c r="M302" s="212"/>
      <c r="N302" s="212"/>
    </row>
    <row r="303" spans="1:14">
      <c r="A303" s="213" t="str">
        <f>name!E$9</f>
        <v>Caring, leisure and other service occupations</v>
      </c>
      <c r="B303" s="278">
        <v>1.0978613274848048</v>
      </c>
      <c r="C303" s="278">
        <v>0.26026697546072081</v>
      </c>
      <c r="D303" s="278">
        <f t="shared" si="118"/>
        <v>1.3581283029455256</v>
      </c>
      <c r="E303" s="279"/>
      <c r="F303" s="278">
        <v>1.0684718293122544</v>
      </c>
      <c r="G303" s="278">
        <v>0.2252469593899479</v>
      </c>
      <c r="H303" s="278">
        <f t="shared" si="119"/>
        <v>1.2937187887022024</v>
      </c>
      <c r="I303" s="279"/>
      <c r="J303" s="278">
        <v>0.90989216430444664</v>
      </c>
      <c r="K303" s="278">
        <v>0.23611239529714639</v>
      </c>
      <c r="L303" s="278">
        <f t="shared" si="120"/>
        <v>1.1460045596015931</v>
      </c>
      <c r="M303" s="212"/>
      <c r="N303" s="212"/>
    </row>
    <row r="304" spans="1:14">
      <c r="A304" s="213" t="str">
        <f>name!E$10</f>
        <v>Sales and customer service occupations</v>
      </c>
      <c r="B304" s="278">
        <v>1.113119817811437</v>
      </c>
      <c r="C304" s="278">
        <v>1.2967475133876942</v>
      </c>
      <c r="D304" s="278">
        <f t="shared" si="118"/>
        <v>2.4098673311991314</v>
      </c>
      <c r="E304" s="279"/>
      <c r="F304" s="278">
        <v>0.99993917310583535</v>
      </c>
      <c r="G304" s="278">
        <v>1.1359764977272908</v>
      </c>
      <c r="H304" s="278">
        <f t="shared" si="119"/>
        <v>2.1359156708331262</v>
      </c>
      <c r="I304" s="279"/>
      <c r="J304" s="278">
        <v>0.92155645650869855</v>
      </c>
      <c r="K304" s="278">
        <v>1.2253866633091488</v>
      </c>
      <c r="L304" s="278">
        <f t="shared" si="120"/>
        <v>2.1469431198178475</v>
      </c>
      <c r="M304" s="212"/>
      <c r="N304" s="212"/>
    </row>
    <row r="305" spans="1:14">
      <c r="A305" s="213" t="str">
        <f>name!E$11</f>
        <v>Process, plant and machine operatives</v>
      </c>
      <c r="B305" s="278">
        <v>3.2469622948057286</v>
      </c>
      <c r="C305" s="278">
        <v>8.0667599494260891</v>
      </c>
      <c r="D305" s="278">
        <f t="shared" si="118"/>
        <v>11.313722244231817</v>
      </c>
      <c r="E305" s="279"/>
      <c r="F305" s="278">
        <v>1.9261687213964123</v>
      </c>
      <c r="G305" s="278">
        <v>4.6089978413820161</v>
      </c>
      <c r="H305" s="278">
        <f t="shared" si="119"/>
        <v>6.5351665627784286</v>
      </c>
      <c r="I305" s="279"/>
      <c r="J305" s="278">
        <v>1.9627911195833045</v>
      </c>
      <c r="K305" s="278">
        <v>3.4703981521727738</v>
      </c>
      <c r="L305" s="278">
        <f t="shared" si="120"/>
        <v>5.4331892717560786</v>
      </c>
      <c r="M305" s="212"/>
      <c r="N305" s="212"/>
    </row>
    <row r="306" spans="1:14">
      <c r="A306" s="213" t="str">
        <f>name!E$12</f>
        <v>Elementary occupations</v>
      </c>
      <c r="B306" s="278">
        <v>1.0638200452357482</v>
      </c>
      <c r="C306" s="278">
        <v>2.6527420296976461</v>
      </c>
      <c r="D306" s="278">
        <f t="shared" si="118"/>
        <v>3.7165620749333943</v>
      </c>
      <c r="E306" s="279"/>
      <c r="F306" s="278">
        <v>0.80523781454486254</v>
      </c>
      <c r="G306" s="278">
        <v>1.58356622517274</v>
      </c>
      <c r="H306" s="278">
        <f t="shared" si="119"/>
        <v>2.3888040397176025</v>
      </c>
      <c r="I306" s="279"/>
      <c r="J306" s="278">
        <v>1.3392168093244128</v>
      </c>
      <c r="K306" s="278">
        <v>1.3580378126844017</v>
      </c>
      <c r="L306" s="278">
        <f t="shared" si="120"/>
        <v>2.6972546220088143</v>
      </c>
      <c r="M306" s="212"/>
      <c r="N306" s="212"/>
    </row>
    <row r="307" spans="1:14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  <c r="N307" s="212"/>
    </row>
    <row r="308" spans="1:14">
      <c r="A308" s="220" t="s">
        <v>119</v>
      </c>
      <c r="B308" s="282">
        <f>SUM(B298:B306)</f>
        <v>19.695999999932514</v>
      </c>
      <c r="C308" s="282">
        <f t="shared" ref="C308:D308" si="121">SUM(C298:C306)</f>
        <v>55.908999999832844</v>
      </c>
      <c r="D308" s="282">
        <f t="shared" si="121"/>
        <v>75.60499999976534</v>
      </c>
      <c r="E308" s="282"/>
      <c r="F308" s="282">
        <f t="shared" ref="F308:H308" si="122">SUM(F298:F306)</f>
        <v>18.58499999992188</v>
      </c>
      <c r="G308" s="282">
        <f t="shared" si="122"/>
        <v>42.496999999920298</v>
      </c>
      <c r="H308" s="282">
        <f t="shared" si="122"/>
        <v>61.081999999842175</v>
      </c>
      <c r="I308" s="282"/>
      <c r="J308" s="282">
        <f t="shared" ref="J308:L308" si="123">SUM(J298:J306)</f>
        <v>18.928000000320822</v>
      </c>
      <c r="K308" s="282">
        <f t="shared" si="123"/>
        <v>37.977000000038743</v>
      </c>
      <c r="L308" s="282">
        <f t="shared" si="123"/>
        <v>56.905000000359564</v>
      </c>
      <c r="M308" s="212"/>
      <c r="N308" s="212"/>
    </row>
    <row r="309" spans="1:14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  <c r="N309" s="212"/>
    </row>
    <row r="310" spans="1:14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32" t="s">
        <v>114</v>
      </c>
      <c r="M310" s="212"/>
      <c r="N310" s="212"/>
    </row>
    <row r="311" spans="1:14" ht="12.95">
      <c r="A311" s="218"/>
      <c r="B311" s="226"/>
      <c r="C311" s="226"/>
      <c r="D311" s="226"/>
      <c r="E311" s="226"/>
      <c r="F311" s="226"/>
      <c r="G311" s="226"/>
      <c r="H311" s="226"/>
      <c r="I311" s="226"/>
      <c r="J311" s="226"/>
      <c r="K311" s="226"/>
      <c r="L311" s="212"/>
      <c r="M311" s="212"/>
      <c r="N311" s="212"/>
    </row>
    <row r="312" spans="1:14" ht="12.95">
      <c r="A312" s="217" t="str">
        <f>name!A21</f>
        <v>Machinery n.e.c.</v>
      </c>
      <c r="B312" s="367">
        <f>B$6</f>
        <v>2015</v>
      </c>
      <c r="C312" s="367"/>
      <c r="D312" s="367"/>
      <c r="E312" s="229"/>
      <c r="F312" s="367">
        <f>F295</f>
        <v>2020</v>
      </c>
      <c r="G312" s="367"/>
      <c r="H312" s="367"/>
      <c r="I312" s="229"/>
      <c r="J312" s="367">
        <f>J295</f>
        <v>2035</v>
      </c>
      <c r="K312" s="367"/>
      <c r="L312" s="367"/>
      <c r="M312" s="212"/>
      <c r="N312" s="212"/>
    </row>
    <row r="313" spans="1:14" ht="12.95">
      <c r="A313" s="230"/>
      <c r="B313" s="231" t="s">
        <v>173</v>
      </c>
      <c r="C313" s="231" t="s">
        <v>174</v>
      </c>
      <c r="D313" s="231" t="s">
        <v>119</v>
      </c>
      <c r="E313" s="231"/>
      <c r="F313" s="231" t="s">
        <v>173</v>
      </c>
      <c r="G313" s="231" t="s">
        <v>174</v>
      </c>
      <c r="H313" s="231" t="s">
        <v>119</v>
      </c>
      <c r="I313" s="231"/>
      <c r="J313" s="231" t="s">
        <v>173</v>
      </c>
      <c r="K313" s="231" t="s">
        <v>174</v>
      </c>
      <c r="L313" s="231" t="s">
        <v>119</v>
      </c>
      <c r="M313" s="212"/>
      <c r="N313" s="212"/>
    </row>
    <row r="314" spans="1:14" ht="12.95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  <c r="N314" s="212"/>
    </row>
    <row r="315" spans="1:14">
      <c r="A315" s="213" t="str">
        <f>name!E$4</f>
        <v>Managers, directors and senior officials</v>
      </c>
      <c r="B315" s="278">
        <v>2.5746137990650002</v>
      </c>
      <c r="C315" s="278">
        <v>19.048698592117521</v>
      </c>
      <c r="D315" s="278">
        <f>SUM(B315:C315)</f>
        <v>21.623312391182523</v>
      </c>
      <c r="E315" s="279"/>
      <c r="F315" s="278">
        <v>3.9235911172206315</v>
      </c>
      <c r="G315" s="278">
        <v>20.676883726515385</v>
      </c>
      <c r="H315" s="278">
        <f>SUM(F315:G315)</f>
        <v>24.600474843736016</v>
      </c>
      <c r="I315" s="279"/>
      <c r="J315" s="278">
        <v>3.470581939548901</v>
      </c>
      <c r="K315" s="278">
        <v>17.479882156509898</v>
      </c>
      <c r="L315" s="278">
        <f>SUM(J315:K315)</f>
        <v>20.950464096058798</v>
      </c>
      <c r="M315" s="212"/>
      <c r="N315" s="212"/>
    </row>
    <row r="316" spans="1:14">
      <c r="A316" s="213" t="str">
        <f>name!E$5</f>
        <v>Professional occupations</v>
      </c>
      <c r="B316" s="278">
        <v>3.0762478539757265</v>
      </c>
      <c r="C316" s="278">
        <v>25.665794358605062</v>
      </c>
      <c r="D316" s="278">
        <f t="shared" ref="D316:D323" si="124">SUM(B316:C316)</f>
        <v>28.742042212580788</v>
      </c>
      <c r="E316" s="279"/>
      <c r="F316" s="278">
        <v>4.6818256075133728</v>
      </c>
      <c r="G316" s="278">
        <v>30.881953663377367</v>
      </c>
      <c r="H316" s="278">
        <f t="shared" ref="H316:H323" si="125">SUM(F316:G316)</f>
        <v>35.563779270890741</v>
      </c>
      <c r="I316" s="279"/>
      <c r="J316" s="278">
        <v>4.4677485101039585</v>
      </c>
      <c r="K316" s="278">
        <v>35.966408458968218</v>
      </c>
      <c r="L316" s="278">
        <f t="shared" ref="L316:L323" si="126">SUM(J316:K316)</f>
        <v>40.434156969072177</v>
      </c>
      <c r="M316" s="212"/>
      <c r="N316" s="212"/>
    </row>
    <row r="317" spans="1:14">
      <c r="A317" s="213" t="str">
        <f>name!E$6</f>
        <v>Associate professional occupations</v>
      </c>
      <c r="B317" s="278">
        <v>3.5163176167774099</v>
      </c>
      <c r="C317" s="278">
        <v>14.46893905417814</v>
      </c>
      <c r="D317" s="278">
        <f t="shared" si="124"/>
        <v>17.98525667095555</v>
      </c>
      <c r="E317" s="279"/>
      <c r="F317" s="278">
        <v>4.6183363501059294</v>
      </c>
      <c r="G317" s="278">
        <v>16.404401540875131</v>
      </c>
      <c r="H317" s="278">
        <f t="shared" si="125"/>
        <v>21.022737890981062</v>
      </c>
      <c r="I317" s="279"/>
      <c r="J317" s="278">
        <v>4.3621171871954543</v>
      </c>
      <c r="K317" s="278">
        <v>14.210654246598603</v>
      </c>
      <c r="L317" s="278">
        <f t="shared" si="126"/>
        <v>18.572771433794056</v>
      </c>
      <c r="M317" s="212"/>
      <c r="N317" s="212"/>
    </row>
    <row r="318" spans="1:14">
      <c r="A318" s="213" t="str">
        <f>name!E$7</f>
        <v>Administrative and secretarial occupations</v>
      </c>
      <c r="B318" s="278">
        <v>7.9145300192504742</v>
      </c>
      <c r="C318" s="278">
        <v>3.5659569295596496</v>
      </c>
      <c r="D318" s="278">
        <f t="shared" si="124"/>
        <v>11.480486948810125</v>
      </c>
      <c r="E318" s="279"/>
      <c r="F318" s="278">
        <v>8.9889927349416112</v>
      </c>
      <c r="G318" s="278">
        <v>3.8456641918022951</v>
      </c>
      <c r="H318" s="278">
        <f t="shared" si="125"/>
        <v>12.834656926743907</v>
      </c>
      <c r="I318" s="279"/>
      <c r="J318" s="278">
        <v>6.128380517473814</v>
      </c>
      <c r="K318" s="278">
        <v>4.3680398218445387</v>
      </c>
      <c r="L318" s="278">
        <f t="shared" si="126"/>
        <v>10.496420339318352</v>
      </c>
      <c r="M318" s="212"/>
      <c r="N318" s="212"/>
    </row>
    <row r="319" spans="1:14">
      <c r="A319" s="213" t="str">
        <f>name!E$8</f>
        <v>Skilled trades occupations</v>
      </c>
      <c r="B319" s="278">
        <v>0.79704210856527924</v>
      </c>
      <c r="C319" s="278">
        <v>42.502848194379503</v>
      </c>
      <c r="D319" s="278">
        <f t="shared" si="124"/>
        <v>43.299890302944782</v>
      </c>
      <c r="E319" s="279"/>
      <c r="F319" s="278">
        <v>1.0470014322166712</v>
      </c>
      <c r="G319" s="278">
        <v>33.533651428321711</v>
      </c>
      <c r="H319" s="278">
        <f t="shared" si="125"/>
        <v>34.580652860538379</v>
      </c>
      <c r="I319" s="279"/>
      <c r="J319" s="278">
        <v>1.3223678275303596</v>
      </c>
      <c r="K319" s="278">
        <v>24.360216239895099</v>
      </c>
      <c r="L319" s="278">
        <f t="shared" si="126"/>
        <v>25.682584067425459</v>
      </c>
      <c r="M319" s="212"/>
      <c r="N319" s="212"/>
    </row>
    <row r="320" spans="1:14">
      <c r="A320" s="213" t="str">
        <f>name!E$9</f>
        <v>Caring, leisure and other service occupations</v>
      </c>
      <c r="B320" s="278">
        <v>1.458409027440096</v>
      </c>
      <c r="C320" s="278">
        <v>0.25878857594225751</v>
      </c>
      <c r="D320" s="278">
        <f t="shared" si="124"/>
        <v>1.7171976033823535</v>
      </c>
      <c r="E320" s="279"/>
      <c r="F320" s="278">
        <v>1.4049890123734394</v>
      </c>
      <c r="G320" s="278">
        <v>0.27016329940612377</v>
      </c>
      <c r="H320" s="278">
        <f t="shared" si="125"/>
        <v>1.6751523117795633</v>
      </c>
      <c r="I320" s="279"/>
      <c r="J320" s="278">
        <v>1.0303779689206851</v>
      </c>
      <c r="K320" s="278">
        <v>0.27389448430840302</v>
      </c>
      <c r="L320" s="278">
        <f t="shared" si="126"/>
        <v>1.3042724532290881</v>
      </c>
      <c r="M320" s="212"/>
      <c r="N320" s="212"/>
    </row>
    <row r="321" spans="1:14">
      <c r="A321" s="213" t="str">
        <f>name!E$10</f>
        <v>Sales and customer service occupations</v>
      </c>
      <c r="B321" s="278">
        <v>1.8140078236042319</v>
      </c>
      <c r="C321" s="278">
        <v>3.0107210256332229</v>
      </c>
      <c r="D321" s="278">
        <f t="shared" si="124"/>
        <v>4.8247288492374549</v>
      </c>
      <c r="E321" s="279"/>
      <c r="F321" s="278">
        <v>2.042127412459549</v>
      </c>
      <c r="G321" s="278">
        <v>2.9036032488769421</v>
      </c>
      <c r="H321" s="278">
        <f t="shared" si="125"/>
        <v>4.9457306613364906</v>
      </c>
      <c r="I321" s="279"/>
      <c r="J321" s="278">
        <v>1.5201306374651049</v>
      </c>
      <c r="K321" s="278">
        <v>3.0194805753067508</v>
      </c>
      <c r="L321" s="278">
        <f t="shared" si="126"/>
        <v>4.539611212771856</v>
      </c>
      <c r="M321" s="212"/>
      <c r="N321" s="212"/>
    </row>
    <row r="322" spans="1:14">
      <c r="A322" s="213" t="str">
        <f>name!E$11</f>
        <v>Process, plant and machine operatives</v>
      </c>
      <c r="B322" s="278">
        <v>3.354847737439461</v>
      </c>
      <c r="C322" s="278">
        <v>17.027206000728196</v>
      </c>
      <c r="D322" s="278">
        <f t="shared" si="124"/>
        <v>20.382053738167656</v>
      </c>
      <c r="E322" s="279"/>
      <c r="F322" s="278">
        <v>2.9839451328962152</v>
      </c>
      <c r="G322" s="278">
        <v>13.495325221149269</v>
      </c>
      <c r="H322" s="278">
        <f t="shared" si="125"/>
        <v>16.479270354045482</v>
      </c>
      <c r="I322" s="279"/>
      <c r="J322" s="278">
        <v>2.7979183017025897</v>
      </c>
      <c r="K322" s="278">
        <v>10.619199503087412</v>
      </c>
      <c r="L322" s="278">
        <f t="shared" si="126"/>
        <v>13.417117804790001</v>
      </c>
      <c r="M322" s="212"/>
      <c r="N322" s="212"/>
    </row>
    <row r="323" spans="1:14">
      <c r="A323" s="213" t="str">
        <f>name!E$12</f>
        <v>Elementary occupations</v>
      </c>
      <c r="B323" s="278">
        <v>1.5479840138194267</v>
      </c>
      <c r="C323" s="278">
        <v>5.6100472684357809</v>
      </c>
      <c r="D323" s="278">
        <f t="shared" si="124"/>
        <v>7.1580312822552079</v>
      </c>
      <c r="E323" s="279"/>
      <c r="F323" s="278">
        <v>1.3751912001157871</v>
      </c>
      <c r="G323" s="278">
        <v>4.2303536793797578</v>
      </c>
      <c r="H323" s="278">
        <f t="shared" si="125"/>
        <v>5.6055448794955449</v>
      </c>
      <c r="I323" s="279"/>
      <c r="J323" s="278">
        <v>2.0083771106057173</v>
      </c>
      <c r="K323" s="278">
        <v>3.6872245135460489</v>
      </c>
      <c r="L323" s="278">
        <f t="shared" si="126"/>
        <v>5.6956016241517666</v>
      </c>
      <c r="M323" s="212"/>
      <c r="N323" s="212"/>
    </row>
    <row r="324" spans="1:14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  <c r="N324" s="212"/>
    </row>
    <row r="325" spans="1:14">
      <c r="A325" s="220" t="s">
        <v>119</v>
      </c>
      <c r="B325" s="282">
        <f>SUM(B315:B323)</f>
        <v>26.053999999937108</v>
      </c>
      <c r="C325" s="282">
        <f t="shared" ref="C325:D325" si="127">SUM(C315:C323)</f>
        <v>131.15899999957935</v>
      </c>
      <c r="D325" s="282">
        <f t="shared" si="127"/>
        <v>157.21299999951643</v>
      </c>
      <c r="E325" s="282"/>
      <c r="F325" s="282">
        <f t="shared" ref="F325:H325" si="128">SUM(F315:F323)</f>
        <v>31.065999999843207</v>
      </c>
      <c r="G325" s="282">
        <f t="shared" si="128"/>
        <v>126.24199999970399</v>
      </c>
      <c r="H325" s="282">
        <f t="shared" si="128"/>
        <v>157.30799999954718</v>
      </c>
      <c r="I325" s="282"/>
      <c r="J325" s="282">
        <f t="shared" ref="J325:L325" si="129">SUM(J315:J323)</f>
        <v>27.108000000546589</v>
      </c>
      <c r="K325" s="282">
        <f t="shared" si="129"/>
        <v>113.98500000006496</v>
      </c>
      <c r="L325" s="282">
        <f t="shared" si="129"/>
        <v>141.09300000061157</v>
      </c>
      <c r="M325" s="212"/>
      <c r="N325" s="212"/>
    </row>
    <row r="326" spans="1:14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  <c r="N326" s="212"/>
    </row>
    <row r="327" spans="1:14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32" t="s">
        <v>114</v>
      </c>
      <c r="M327" s="212"/>
      <c r="N327" s="212"/>
    </row>
    <row r="328" spans="1:14" ht="12.95">
      <c r="A328" s="218"/>
      <c r="B328" s="226"/>
      <c r="C328" s="226"/>
      <c r="D328" s="226"/>
      <c r="E328" s="226"/>
      <c r="F328" s="226"/>
      <c r="G328" s="226"/>
      <c r="H328" s="226"/>
      <c r="I328" s="226"/>
      <c r="J328" s="226"/>
      <c r="K328" s="226"/>
      <c r="L328" s="212"/>
      <c r="M328" s="212"/>
      <c r="N328" s="212"/>
    </row>
    <row r="329" spans="1:14" ht="12.95">
      <c r="A329" s="217" t="str">
        <f>name!A22</f>
        <v>Motor vehicles, etc</v>
      </c>
      <c r="B329" s="367">
        <f>B$6</f>
        <v>2015</v>
      </c>
      <c r="C329" s="367"/>
      <c r="D329" s="367"/>
      <c r="E329" s="229"/>
      <c r="F329" s="367">
        <f>F312</f>
        <v>2020</v>
      </c>
      <c r="G329" s="367"/>
      <c r="H329" s="367"/>
      <c r="I329" s="229"/>
      <c r="J329" s="367">
        <f>J312</f>
        <v>2035</v>
      </c>
      <c r="K329" s="367"/>
      <c r="L329" s="367"/>
      <c r="M329" s="212"/>
      <c r="N329" s="212"/>
    </row>
    <row r="330" spans="1:14" ht="12.95">
      <c r="A330" s="230"/>
      <c r="B330" s="231" t="s">
        <v>173</v>
      </c>
      <c r="C330" s="231" t="s">
        <v>174</v>
      </c>
      <c r="D330" s="231" t="s">
        <v>119</v>
      </c>
      <c r="E330" s="231"/>
      <c r="F330" s="231" t="s">
        <v>173</v>
      </c>
      <c r="G330" s="231" t="s">
        <v>174</v>
      </c>
      <c r="H330" s="231" t="s">
        <v>119</v>
      </c>
      <c r="I330" s="231"/>
      <c r="J330" s="231" t="s">
        <v>173</v>
      </c>
      <c r="K330" s="231" t="s">
        <v>174</v>
      </c>
      <c r="L330" s="231" t="s">
        <v>119</v>
      </c>
      <c r="M330" s="212"/>
      <c r="N330" s="212"/>
    </row>
    <row r="331" spans="1:14" ht="12.95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  <c r="N331" s="212"/>
    </row>
    <row r="332" spans="1:14">
      <c r="A332" s="213" t="str">
        <f>name!E$4</f>
        <v>Managers, directors and senior officials</v>
      </c>
      <c r="B332" s="278">
        <v>0.90154941179779691</v>
      </c>
      <c r="C332" s="278">
        <v>9.1482327841837172</v>
      </c>
      <c r="D332" s="278">
        <f>SUM(B332:C332)</f>
        <v>10.049782195981514</v>
      </c>
      <c r="E332" s="279"/>
      <c r="F332" s="278">
        <v>1.2279237155085716</v>
      </c>
      <c r="G332" s="278">
        <v>9.8673241243526064</v>
      </c>
      <c r="H332" s="278">
        <f>SUM(F332:G332)</f>
        <v>11.095247839861178</v>
      </c>
      <c r="I332" s="279"/>
      <c r="J332" s="278">
        <v>1.0671492240050584</v>
      </c>
      <c r="K332" s="278">
        <v>7.8747129823798039</v>
      </c>
      <c r="L332" s="278">
        <f>SUM(J332:K332)</f>
        <v>8.9418622063848616</v>
      </c>
      <c r="M332" s="212"/>
      <c r="N332" s="212"/>
    </row>
    <row r="333" spans="1:14">
      <c r="A333" s="213" t="str">
        <f>name!E$5</f>
        <v>Professional occupations</v>
      </c>
      <c r="B333" s="278">
        <v>1.9275673743534985</v>
      </c>
      <c r="C333" s="278">
        <v>22.760356207442637</v>
      </c>
      <c r="D333" s="278">
        <f t="shared" ref="D333:D340" si="130">SUM(B333:C333)</f>
        <v>24.687923581796134</v>
      </c>
      <c r="E333" s="279"/>
      <c r="F333" s="278">
        <v>2.8335358911640367</v>
      </c>
      <c r="G333" s="278">
        <v>26.941381789421719</v>
      </c>
      <c r="H333" s="278">
        <f t="shared" ref="H333:H340" si="131">SUM(F333:G333)</f>
        <v>29.774917680585755</v>
      </c>
      <c r="I333" s="279"/>
      <c r="J333" s="278">
        <v>3.0378712508096877</v>
      </c>
      <c r="K333" s="278">
        <v>31.799297947769762</v>
      </c>
      <c r="L333" s="278">
        <f t="shared" ref="L333:L340" si="132">SUM(J333:K333)</f>
        <v>34.837169198579453</v>
      </c>
      <c r="M333" s="212"/>
      <c r="N333" s="212"/>
    </row>
    <row r="334" spans="1:14">
      <c r="A334" s="213" t="str">
        <f>name!E$6</f>
        <v>Associate professional occupations</v>
      </c>
      <c r="B334" s="278">
        <v>2.4350094259721802</v>
      </c>
      <c r="C334" s="278">
        <v>8.1080540090163549</v>
      </c>
      <c r="D334" s="278">
        <f t="shared" si="130"/>
        <v>10.543063434988536</v>
      </c>
      <c r="E334" s="279"/>
      <c r="F334" s="278">
        <v>3.1230828460719735</v>
      </c>
      <c r="G334" s="278">
        <v>9.5379865911944801</v>
      </c>
      <c r="H334" s="278">
        <f t="shared" si="131"/>
        <v>12.661069437266454</v>
      </c>
      <c r="I334" s="279"/>
      <c r="J334" s="278">
        <v>3.0174267101292851</v>
      </c>
      <c r="K334" s="278">
        <v>8.1273554558565806</v>
      </c>
      <c r="L334" s="278">
        <f t="shared" si="132"/>
        <v>11.144782165985866</v>
      </c>
      <c r="M334" s="212"/>
      <c r="N334" s="212"/>
    </row>
    <row r="335" spans="1:14">
      <c r="A335" s="213" t="str">
        <f>name!E$7</f>
        <v>Administrative and secretarial occupations</v>
      </c>
      <c r="B335" s="278">
        <v>5.3569104985181646</v>
      </c>
      <c r="C335" s="278">
        <v>5.1595052675655628</v>
      </c>
      <c r="D335" s="278">
        <f t="shared" si="130"/>
        <v>10.516415766083728</v>
      </c>
      <c r="E335" s="279"/>
      <c r="F335" s="278">
        <v>5.6487593880465701</v>
      </c>
      <c r="G335" s="278">
        <v>5.6135253473324713</v>
      </c>
      <c r="H335" s="278">
        <f t="shared" si="131"/>
        <v>11.262284735379041</v>
      </c>
      <c r="I335" s="279"/>
      <c r="J335" s="278">
        <v>4.7746033379615822</v>
      </c>
      <c r="K335" s="278">
        <v>6.0900295462952467</v>
      </c>
      <c r="L335" s="278">
        <f t="shared" si="132"/>
        <v>10.864632884256828</v>
      </c>
      <c r="M335" s="212"/>
      <c r="N335" s="212"/>
    </row>
    <row r="336" spans="1:14">
      <c r="A336" s="213" t="str">
        <f>name!E$8</f>
        <v>Skilled trades occupations</v>
      </c>
      <c r="B336" s="278">
        <v>0.8579562770999718</v>
      </c>
      <c r="C336" s="278">
        <v>35.514149740256777</v>
      </c>
      <c r="D336" s="278">
        <f t="shared" si="130"/>
        <v>36.372106017356749</v>
      </c>
      <c r="E336" s="279"/>
      <c r="F336" s="278">
        <v>1.0515916278569728</v>
      </c>
      <c r="G336" s="278">
        <v>28.650829224348524</v>
      </c>
      <c r="H336" s="278">
        <f t="shared" si="131"/>
        <v>29.702420852205496</v>
      </c>
      <c r="I336" s="279"/>
      <c r="J336" s="278">
        <v>1.6253729857001684</v>
      </c>
      <c r="K336" s="278">
        <v>21.63856618237191</v>
      </c>
      <c r="L336" s="278">
        <f t="shared" si="132"/>
        <v>23.263939168072078</v>
      </c>
      <c r="M336" s="212"/>
      <c r="N336" s="212"/>
    </row>
    <row r="337" spans="1:14">
      <c r="A337" s="213" t="str">
        <f>name!E$9</f>
        <v>Caring, leisure and other service occupations</v>
      </c>
      <c r="B337" s="278">
        <v>0.82575799992296162</v>
      </c>
      <c r="C337" s="278">
        <v>1.036384487750271</v>
      </c>
      <c r="D337" s="278">
        <f t="shared" si="130"/>
        <v>1.8621424876732326</v>
      </c>
      <c r="E337" s="279"/>
      <c r="F337" s="278">
        <v>0.80030859847730196</v>
      </c>
      <c r="G337" s="278">
        <v>1.3971034798337971</v>
      </c>
      <c r="H337" s="278">
        <f t="shared" si="131"/>
        <v>2.1974120783110989</v>
      </c>
      <c r="I337" s="279"/>
      <c r="J337" s="278">
        <v>0.57558043228229672</v>
      </c>
      <c r="K337" s="278">
        <v>1.6339344660421289</v>
      </c>
      <c r="L337" s="278">
        <f t="shared" si="132"/>
        <v>2.2095148983244255</v>
      </c>
      <c r="M337" s="212"/>
      <c r="N337" s="212"/>
    </row>
    <row r="338" spans="1:14">
      <c r="A338" s="213" t="str">
        <f>name!E$10</f>
        <v>Sales and customer service occupations</v>
      </c>
      <c r="B338" s="278">
        <v>0.75755916577023052</v>
      </c>
      <c r="C338" s="278">
        <v>2.3420946101839841</v>
      </c>
      <c r="D338" s="278">
        <f t="shared" si="130"/>
        <v>3.0996537759542147</v>
      </c>
      <c r="E338" s="279"/>
      <c r="F338" s="278">
        <v>0.84250120613592372</v>
      </c>
      <c r="G338" s="278">
        <v>2.2525503172838968</v>
      </c>
      <c r="H338" s="278">
        <f t="shared" si="131"/>
        <v>3.0950515234198206</v>
      </c>
      <c r="I338" s="279"/>
      <c r="J338" s="278">
        <v>0.74904207891693408</v>
      </c>
      <c r="K338" s="278">
        <v>2.335034212139568</v>
      </c>
      <c r="L338" s="278">
        <f t="shared" si="132"/>
        <v>3.0840762910565021</v>
      </c>
      <c r="M338" s="212"/>
      <c r="N338" s="212"/>
    </row>
    <row r="339" spans="1:14">
      <c r="A339" s="213" t="str">
        <f>name!E$11</f>
        <v>Process, plant and machine operatives</v>
      </c>
      <c r="B339" s="278">
        <v>3.1010535000059982</v>
      </c>
      <c r="C339" s="278">
        <v>28.664570313853684</v>
      </c>
      <c r="D339" s="278">
        <f t="shared" si="130"/>
        <v>31.765623813859683</v>
      </c>
      <c r="E339" s="279"/>
      <c r="F339" s="278">
        <v>2.5502554476427575</v>
      </c>
      <c r="G339" s="278">
        <v>22.65556673242542</v>
      </c>
      <c r="H339" s="278">
        <f t="shared" si="131"/>
        <v>25.205822180068179</v>
      </c>
      <c r="I339" s="279"/>
      <c r="J339" s="278">
        <v>2.8042227347447186</v>
      </c>
      <c r="K339" s="278">
        <v>18.300317514884604</v>
      </c>
      <c r="L339" s="278">
        <f t="shared" si="132"/>
        <v>21.104540249629324</v>
      </c>
      <c r="M339" s="212"/>
      <c r="N339" s="212"/>
    </row>
    <row r="340" spans="1:14">
      <c r="A340" s="213" t="str">
        <f>name!E$12</f>
        <v>Elementary occupations</v>
      </c>
      <c r="B340" s="278">
        <v>0.75063634651714006</v>
      </c>
      <c r="C340" s="278">
        <v>5.9356525796321149</v>
      </c>
      <c r="D340" s="278">
        <f t="shared" si="130"/>
        <v>6.6862889261492553</v>
      </c>
      <c r="E340" s="279"/>
      <c r="F340" s="278">
        <v>0.64304127899424135</v>
      </c>
      <c r="G340" s="278">
        <v>4.6787323933693949</v>
      </c>
      <c r="H340" s="278">
        <f t="shared" si="131"/>
        <v>5.3217736723636362</v>
      </c>
      <c r="I340" s="279"/>
      <c r="J340" s="278">
        <v>0.65373124595341436</v>
      </c>
      <c r="K340" s="278">
        <v>3.9617516921357367</v>
      </c>
      <c r="L340" s="278">
        <f t="shared" si="132"/>
        <v>4.6154829380891513</v>
      </c>
      <c r="M340" s="212"/>
      <c r="N340" s="212"/>
    </row>
    <row r="341" spans="1:14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  <c r="N341" s="212"/>
    </row>
    <row r="342" spans="1:14">
      <c r="A342" s="220" t="s">
        <v>119</v>
      </c>
      <c r="B342" s="282">
        <f>SUM(B332:B340)</f>
        <v>16.913999999957941</v>
      </c>
      <c r="C342" s="282">
        <f t="shared" ref="C342:D342" si="133">SUM(C332:C340)</f>
        <v>118.6689999998851</v>
      </c>
      <c r="D342" s="282">
        <f t="shared" si="133"/>
        <v>135.58299999984303</v>
      </c>
      <c r="E342" s="282"/>
      <c r="F342" s="282">
        <f t="shared" ref="F342:H342" si="134">SUM(F332:F340)</f>
        <v>18.72099999989835</v>
      </c>
      <c r="G342" s="282">
        <f t="shared" si="134"/>
        <v>111.59499999956232</v>
      </c>
      <c r="H342" s="282">
        <f t="shared" si="134"/>
        <v>130.31599999946067</v>
      </c>
      <c r="I342" s="282"/>
      <c r="J342" s="282">
        <f t="shared" ref="J342:L342" si="135">SUM(J332:J340)</f>
        <v>18.305000000503146</v>
      </c>
      <c r="K342" s="282">
        <f t="shared" si="135"/>
        <v>101.76099999987535</v>
      </c>
      <c r="L342" s="282">
        <f t="shared" si="135"/>
        <v>120.06600000037849</v>
      </c>
      <c r="M342" s="212"/>
      <c r="N342" s="212"/>
    </row>
    <row r="343" spans="1:14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  <c r="N343" s="212"/>
    </row>
    <row r="344" spans="1:14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32" t="s">
        <v>114</v>
      </c>
      <c r="M344" s="212"/>
      <c r="N344" s="212"/>
    </row>
    <row r="345" spans="1:14" ht="12.95">
      <c r="A345" s="218"/>
      <c r="B345" s="226"/>
      <c r="C345" s="226"/>
      <c r="D345" s="226"/>
      <c r="E345" s="226"/>
      <c r="F345" s="226"/>
      <c r="G345" s="226"/>
      <c r="H345" s="226"/>
      <c r="I345" s="226"/>
      <c r="J345" s="226"/>
      <c r="K345" s="226"/>
      <c r="L345" s="212"/>
      <c r="M345" s="212"/>
      <c r="N345" s="212"/>
    </row>
    <row r="346" spans="1:14" ht="12.95">
      <c r="A346" s="217" t="str">
        <f>name!A23</f>
        <v>Other transport equipment</v>
      </c>
      <c r="B346" s="367">
        <f>B$6</f>
        <v>2015</v>
      </c>
      <c r="C346" s="367"/>
      <c r="D346" s="367"/>
      <c r="E346" s="229"/>
      <c r="F346" s="367">
        <f>F329</f>
        <v>2020</v>
      </c>
      <c r="G346" s="367"/>
      <c r="H346" s="367"/>
      <c r="I346" s="229"/>
      <c r="J346" s="367">
        <f>J329</f>
        <v>2035</v>
      </c>
      <c r="K346" s="367"/>
      <c r="L346" s="367"/>
      <c r="M346" s="212"/>
      <c r="N346" s="212"/>
    </row>
    <row r="347" spans="1:14" ht="12.95">
      <c r="A347" s="230"/>
      <c r="B347" s="231" t="s">
        <v>173</v>
      </c>
      <c r="C347" s="231" t="s">
        <v>174</v>
      </c>
      <c r="D347" s="231" t="s">
        <v>119</v>
      </c>
      <c r="E347" s="231"/>
      <c r="F347" s="231" t="s">
        <v>173</v>
      </c>
      <c r="G347" s="231" t="s">
        <v>174</v>
      </c>
      <c r="H347" s="231" t="s">
        <v>119</v>
      </c>
      <c r="I347" s="231"/>
      <c r="J347" s="231" t="s">
        <v>173</v>
      </c>
      <c r="K347" s="231" t="s">
        <v>174</v>
      </c>
      <c r="L347" s="231" t="s">
        <v>119</v>
      </c>
      <c r="M347" s="212"/>
      <c r="N347" s="212"/>
    </row>
    <row r="348" spans="1:14" ht="12.95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  <c r="N348" s="212"/>
    </row>
    <row r="349" spans="1:14">
      <c r="A349" s="213" t="str">
        <f>name!E$4</f>
        <v>Managers, directors and senior officials</v>
      </c>
      <c r="B349" s="278">
        <v>1.0431660831136325</v>
      </c>
      <c r="C349" s="278">
        <v>8.966124863160239</v>
      </c>
      <c r="D349" s="278">
        <f>SUM(B349:C349)</f>
        <v>10.009290946273872</v>
      </c>
      <c r="E349" s="279"/>
      <c r="F349" s="278">
        <v>1.631623101804337</v>
      </c>
      <c r="G349" s="278">
        <v>10.213509397420975</v>
      </c>
      <c r="H349" s="278">
        <f>SUM(F349:G349)</f>
        <v>11.845132499225311</v>
      </c>
      <c r="I349" s="279"/>
      <c r="J349" s="278">
        <v>1.3964883644233361</v>
      </c>
      <c r="K349" s="278">
        <v>7.4465315122483258</v>
      </c>
      <c r="L349" s="278">
        <f>SUM(J349:K349)</f>
        <v>8.8430198766716615</v>
      </c>
      <c r="M349" s="212"/>
      <c r="N349" s="212"/>
    </row>
    <row r="350" spans="1:14">
      <c r="A350" s="213" t="str">
        <f>name!E$5</f>
        <v>Professional occupations</v>
      </c>
      <c r="B350" s="278">
        <v>2.3097591692233927</v>
      </c>
      <c r="C350" s="278">
        <v>27.650025870099874</v>
      </c>
      <c r="D350" s="278">
        <f t="shared" ref="D350:D357" si="136">SUM(B350:C350)</f>
        <v>29.959785039323268</v>
      </c>
      <c r="E350" s="279"/>
      <c r="F350" s="278">
        <v>3.7607895717611028</v>
      </c>
      <c r="G350" s="278">
        <v>33.436977248680655</v>
      </c>
      <c r="H350" s="278">
        <f t="shared" ref="H350:H357" si="137">SUM(F350:G350)</f>
        <v>37.197766820441757</v>
      </c>
      <c r="I350" s="279"/>
      <c r="J350" s="278">
        <v>3.610016315535336</v>
      </c>
      <c r="K350" s="278">
        <v>35.233692718827292</v>
      </c>
      <c r="L350" s="278">
        <f t="shared" ref="L350:L357" si="138">SUM(J350:K350)</f>
        <v>38.843709034362625</v>
      </c>
      <c r="M350" s="212"/>
      <c r="N350" s="212"/>
    </row>
    <row r="351" spans="1:14">
      <c r="A351" s="213" t="str">
        <f>name!E$6</f>
        <v>Associate professional occupations</v>
      </c>
      <c r="B351" s="278">
        <v>1.9916399625344936</v>
      </c>
      <c r="C351" s="278">
        <v>9.7301647092118326</v>
      </c>
      <c r="D351" s="278">
        <f t="shared" si="136"/>
        <v>11.721804671746327</v>
      </c>
      <c r="E351" s="279"/>
      <c r="F351" s="278">
        <v>2.7691263961410111</v>
      </c>
      <c r="G351" s="278">
        <v>11.654577062300737</v>
      </c>
      <c r="H351" s="278">
        <f t="shared" si="137"/>
        <v>14.423703458441748</v>
      </c>
      <c r="I351" s="279"/>
      <c r="J351" s="278">
        <v>2.4638395603757615</v>
      </c>
      <c r="K351" s="278">
        <v>8.9879426255888983</v>
      </c>
      <c r="L351" s="278">
        <f t="shared" si="138"/>
        <v>11.45178218596466</v>
      </c>
      <c r="M351" s="212"/>
      <c r="N351" s="212"/>
    </row>
    <row r="352" spans="1:14">
      <c r="A352" s="213" t="str">
        <f>name!E$7</f>
        <v>Administrative and secretarial occupations</v>
      </c>
      <c r="B352" s="278">
        <v>5.2777993250998021</v>
      </c>
      <c r="C352" s="278">
        <v>3.0687764319773576</v>
      </c>
      <c r="D352" s="278">
        <f t="shared" si="136"/>
        <v>8.3465757570771597</v>
      </c>
      <c r="E352" s="279"/>
      <c r="F352" s="278">
        <v>6.5359949081910305</v>
      </c>
      <c r="G352" s="278">
        <v>3.3790336029187555</v>
      </c>
      <c r="H352" s="278">
        <f t="shared" si="137"/>
        <v>9.9150285111097851</v>
      </c>
      <c r="I352" s="279"/>
      <c r="J352" s="278">
        <v>6.5894574978568343</v>
      </c>
      <c r="K352" s="278">
        <v>3.1710814293905152</v>
      </c>
      <c r="L352" s="278">
        <f t="shared" si="138"/>
        <v>9.7605389272473495</v>
      </c>
      <c r="M352" s="212"/>
      <c r="N352" s="212"/>
    </row>
    <row r="353" spans="1:14">
      <c r="A353" s="213" t="str">
        <f>name!E$8</f>
        <v>Skilled trades occupations</v>
      </c>
      <c r="B353" s="278">
        <v>0.76652391377932072</v>
      </c>
      <c r="C353" s="278">
        <v>36.619686416687976</v>
      </c>
      <c r="D353" s="278">
        <f t="shared" si="136"/>
        <v>37.3862103304673</v>
      </c>
      <c r="E353" s="279"/>
      <c r="F353" s="278">
        <v>1.006995894580214</v>
      </c>
      <c r="G353" s="278">
        <v>30.875577892518169</v>
      </c>
      <c r="H353" s="278">
        <f t="shared" si="137"/>
        <v>31.882573787098384</v>
      </c>
      <c r="I353" s="279"/>
      <c r="J353" s="278">
        <v>1.3545533416441953</v>
      </c>
      <c r="K353" s="278">
        <v>20.548041339548362</v>
      </c>
      <c r="L353" s="278">
        <f t="shared" si="138"/>
        <v>21.902594681192557</v>
      </c>
      <c r="M353" s="212"/>
      <c r="N353" s="212"/>
    </row>
    <row r="354" spans="1:14">
      <c r="A354" s="213" t="str">
        <f>name!E$9</f>
        <v>Caring, leisure and other service occupations</v>
      </c>
      <c r="B354" s="278">
        <v>0.20761604797793992</v>
      </c>
      <c r="C354" s="278">
        <v>0.19656462451817741</v>
      </c>
      <c r="D354" s="278">
        <f t="shared" si="136"/>
        <v>0.40418067249611733</v>
      </c>
      <c r="E354" s="279"/>
      <c r="F354" s="278">
        <v>0.238037532388339</v>
      </c>
      <c r="G354" s="278">
        <v>0.2500544624968733</v>
      </c>
      <c r="H354" s="278">
        <f t="shared" si="137"/>
        <v>0.48809199488521227</v>
      </c>
      <c r="I354" s="279"/>
      <c r="J354" s="278">
        <v>0.18970556146131987</v>
      </c>
      <c r="K354" s="278">
        <v>0.21579712926576344</v>
      </c>
      <c r="L354" s="278">
        <f t="shared" si="138"/>
        <v>0.40550269072708334</v>
      </c>
      <c r="M354" s="212"/>
      <c r="N354" s="212"/>
    </row>
    <row r="355" spans="1:14">
      <c r="A355" s="213" t="str">
        <f>name!E$10</f>
        <v>Sales and customer service occupations</v>
      </c>
      <c r="B355" s="278">
        <v>0.66482244719451822</v>
      </c>
      <c r="C355" s="278">
        <v>1.0139445569946961</v>
      </c>
      <c r="D355" s="278">
        <f t="shared" si="136"/>
        <v>1.6787670041892144</v>
      </c>
      <c r="E355" s="279"/>
      <c r="F355" s="278">
        <v>0.89722940691449482</v>
      </c>
      <c r="G355" s="278">
        <v>1.2488571615685755</v>
      </c>
      <c r="H355" s="278">
        <f t="shared" si="137"/>
        <v>2.1460865684830703</v>
      </c>
      <c r="I355" s="279"/>
      <c r="J355" s="278">
        <v>0.81886945206153317</v>
      </c>
      <c r="K355" s="278">
        <v>1.199464466793539</v>
      </c>
      <c r="L355" s="278">
        <f t="shared" si="138"/>
        <v>2.0183339188550722</v>
      </c>
      <c r="M355" s="212"/>
      <c r="N355" s="212"/>
    </row>
    <row r="356" spans="1:14">
      <c r="A356" s="213" t="str">
        <f>name!E$11</f>
        <v>Process, plant and machine operatives</v>
      </c>
      <c r="B356" s="278">
        <v>0.68816790663326433</v>
      </c>
      <c r="C356" s="278">
        <v>11.343994453829799</v>
      </c>
      <c r="D356" s="278">
        <f t="shared" si="136"/>
        <v>12.032162360463063</v>
      </c>
      <c r="E356" s="279"/>
      <c r="F356" s="278">
        <v>0.60981853628892058</v>
      </c>
      <c r="G356" s="278">
        <v>9.2546863311488341</v>
      </c>
      <c r="H356" s="278">
        <f t="shared" si="137"/>
        <v>9.8645048674377556</v>
      </c>
      <c r="I356" s="279"/>
      <c r="J356" s="278">
        <v>0.53947139618102258</v>
      </c>
      <c r="K356" s="278">
        <v>7.0049807990626389</v>
      </c>
      <c r="L356" s="278">
        <f t="shared" si="138"/>
        <v>7.5444521952436618</v>
      </c>
      <c r="M356" s="212"/>
      <c r="N356" s="212"/>
    </row>
    <row r="357" spans="1:14">
      <c r="A357" s="213" t="str">
        <f>name!E$12</f>
        <v>Elementary occupations</v>
      </c>
      <c r="B357" s="278">
        <v>0.44350514434747917</v>
      </c>
      <c r="C357" s="278">
        <v>2.1407180731327391</v>
      </c>
      <c r="D357" s="278">
        <f t="shared" si="136"/>
        <v>2.5842232174802184</v>
      </c>
      <c r="E357" s="279"/>
      <c r="F357" s="278">
        <v>0.50138465182578684</v>
      </c>
      <c r="G357" s="278">
        <v>1.7877268406205784</v>
      </c>
      <c r="H357" s="278">
        <f t="shared" si="137"/>
        <v>2.2891114924463651</v>
      </c>
      <c r="I357" s="279"/>
      <c r="J357" s="278">
        <v>0.51659851088566511</v>
      </c>
      <c r="K357" s="278">
        <v>1.2944679791534279</v>
      </c>
      <c r="L357" s="278">
        <f t="shared" si="138"/>
        <v>1.8110664900390931</v>
      </c>
      <c r="M357" s="212"/>
      <c r="N357" s="212"/>
    </row>
    <row r="358" spans="1:14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  <c r="N358" s="212"/>
    </row>
    <row r="359" spans="1:14">
      <c r="A359" s="220" t="s">
        <v>119</v>
      </c>
      <c r="B359" s="282">
        <f>SUM(B349:B357)</f>
        <v>13.392999999903845</v>
      </c>
      <c r="C359" s="282">
        <f t="shared" ref="C359:D359" si="139">SUM(C349:C357)</f>
        <v>100.7299999996127</v>
      </c>
      <c r="D359" s="282">
        <f t="shared" si="139"/>
        <v>114.12299999951652</v>
      </c>
      <c r="E359" s="282"/>
      <c r="F359" s="282">
        <f t="shared" ref="F359:H359" si="140">SUM(F349:F357)</f>
        <v>17.950999999895238</v>
      </c>
      <c r="G359" s="282">
        <f t="shared" si="140"/>
        <v>102.10099999967416</v>
      </c>
      <c r="H359" s="282">
        <f t="shared" si="140"/>
        <v>120.05199999956939</v>
      </c>
      <c r="I359" s="282"/>
      <c r="J359" s="282">
        <f t="shared" ref="J359:L359" si="141">SUM(J349:J357)</f>
        <v>17.479000000425003</v>
      </c>
      <c r="K359" s="282">
        <f t="shared" si="141"/>
        <v>85.101999999878771</v>
      </c>
      <c r="L359" s="282">
        <f t="shared" si="141"/>
        <v>102.58100000030377</v>
      </c>
      <c r="M359" s="212"/>
      <c r="N359" s="212"/>
    </row>
    <row r="360" spans="1:14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  <c r="N360" s="212"/>
    </row>
    <row r="361" spans="1:14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32" t="s">
        <v>114</v>
      </c>
      <c r="M361" s="212"/>
      <c r="N361" s="212"/>
    </row>
    <row r="362" spans="1:14" ht="12.95">
      <c r="A362" s="218"/>
      <c r="B362" s="226"/>
      <c r="C362" s="226"/>
      <c r="D362" s="226"/>
      <c r="E362" s="226"/>
      <c r="F362" s="226"/>
      <c r="G362" s="226"/>
      <c r="H362" s="226"/>
      <c r="I362" s="226"/>
      <c r="J362" s="226"/>
      <c r="K362" s="226"/>
      <c r="L362" s="212"/>
      <c r="M362" s="212"/>
      <c r="N362" s="212"/>
    </row>
    <row r="363" spans="1:14" ht="12.95">
      <c r="A363" s="217" t="str">
        <f>name!A24</f>
        <v>Furniture</v>
      </c>
      <c r="B363" s="367">
        <f>B$6</f>
        <v>2015</v>
      </c>
      <c r="C363" s="367"/>
      <c r="D363" s="367"/>
      <c r="E363" s="229"/>
      <c r="F363" s="367">
        <f>F346</f>
        <v>2020</v>
      </c>
      <c r="G363" s="367"/>
      <c r="H363" s="367"/>
      <c r="I363" s="229"/>
      <c r="J363" s="367">
        <f>J346</f>
        <v>2035</v>
      </c>
      <c r="K363" s="367"/>
      <c r="L363" s="367"/>
      <c r="M363" s="212"/>
      <c r="N363" s="212"/>
    </row>
    <row r="364" spans="1:14" ht="12.95">
      <c r="A364" s="230"/>
      <c r="B364" s="231" t="s">
        <v>173</v>
      </c>
      <c r="C364" s="231" t="s">
        <v>174</v>
      </c>
      <c r="D364" s="231" t="s">
        <v>119</v>
      </c>
      <c r="E364" s="231"/>
      <c r="F364" s="231" t="s">
        <v>173</v>
      </c>
      <c r="G364" s="231" t="s">
        <v>174</v>
      </c>
      <c r="H364" s="231" t="s">
        <v>119</v>
      </c>
      <c r="I364" s="231"/>
      <c r="J364" s="231" t="s">
        <v>173</v>
      </c>
      <c r="K364" s="231" t="s">
        <v>174</v>
      </c>
      <c r="L364" s="231" t="s">
        <v>119</v>
      </c>
      <c r="M364" s="212"/>
      <c r="N364" s="212"/>
    </row>
    <row r="365" spans="1:14" ht="12.95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  <c r="N365" s="212"/>
    </row>
    <row r="366" spans="1:14">
      <c r="A366" s="213" t="str">
        <f>name!E$4</f>
        <v>Managers, directors and senior officials</v>
      </c>
      <c r="B366" s="278">
        <v>1.2982595344616819</v>
      </c>
      <c r="C366" s="278">
        <v>6.1257101837088959</v>
      </c>
      <c r="D366" s="278">
        <f>SUM(B366:C366)</f>
        <v>7.4239697181705777</v>
      </c>
      <c r="E366" s="279"/>
      <c r="F366" s="278">
        <v>2.1340361309237124</v>
      </c>
      <c r="G366" s="278">
        <v>7.4917678843796001</v>
      </c>
      <c r="H366" s="278">
        <f>SUM(F366:G366)</f>
        <v>9.6258040153033129</v>
      </c>
      <c r="I366" s="279"/>
      <c r="J366" s="278">
        <v>1.7411187596961195</v>
      </c>
      <c r="K366" s="278">
        <v>5.7898702119955381</v>
      </c>
      <c r="L366" s="278">
        <f>SUM(J366:K366)</f>
        <v>7.5309889716916576</v>
      </c>
      <c r="M366" s="212"/>
      <c r="N366" s="212"/>
    </row>
    <row r="367" spans="1:14">
      <c r="A367" s="213" t="str">
        <f>name!E$5</f>
        <v>Professional occupations</v>
      </c>
      <c r="B367" s="278">
        <v>1.3678551258839242</v>
      </c>
      <c r="C367" s="278">
        <v>4.6302247984405778</v>
      </c>
      <c r="D367" s="278">
        <f t="shared" ref="D367:D374" si="142">SUM(B367:C367)</f>
        <v>5.998079924324502</v>
      </c>
      <c r="E367" s="279"/>
      <c r="F367" s="278">
        <v>2.4503590997396758</v>
      </c>
      <c r="G367" s="278">
        <v>6.8558790591743124</v>
      </c>
      <c r="H367" s="278">
        <f t="shared" ref="H367:H374" si="143">SUM(F367:G367)</f>
        <v>9.3062381589139882</v>
      </c>
      <c r="I367" s="279"/>
      <c r="J367" s="278">
        <v>2.307344434532796</v>
      </c>
      <c r="K367" s="278">
        <v>7.4450193962133024</v>
      </c>
      <c r="L367" s="278">
        <f t="shared" ref="L367:L374" si="144">SUM(J367:K367)</f>
        <v>9.7523638307460985</v>
      </c>
      <c r="M367" s="212"/>
      <c r="N367" s="212"/>
    </row>
    <row r="368" spans="1:14">
      <c r="A368" s="213" t="str">
        <f>name!E$6</f>
        <v>Associate professional occupations</v>
      </c>
      <c r="B368" s="278">
        <v>1.6777216566401412</v>
      </c>
      <c r="C368" s="278">
        <v>4.1018169335144874</v>
      </c>
      <c r="D368" s="278">
        <f t="shared" si="142"/>
        <v>5.7795385901546288</v>
      </c>
      <c r="E368" s="279"/>
      <c r="F368" s="278">
        <v>2.3454628241915678</v>
      </c>
      <c r="G368" s="278">
        <v>5.6854913231209334</v>
      </c>
      <c r="H368" s="278">
        <f t="shared" si="143"/>
        <v>8.0309541473125012</v>
      </c>
      <c r="I368" s="279"/>
      <c r="J368" s="278">
        <v>1.9207056104338665</v>
      </c>
      <c r="K368" s="278">
        <v>4.601760115534149</v>
      </c>
      <c r="L368" s="278">
        <f t="shared" si="144"/>
        <v>6.522465725968015</v>
      </c>
      <c r="M368" s="212"/>
      <c r="N368" s="212"/>
    </row>
    <row r="369" spans="1:14">
      <c r="A369" s="213" t="str">
        <f>name!E$7</f>
        <v>Administrative and secretarial occupations</v>
      </c>
      <c r="B369" s="278">
        <v>3.6761941890307561</v>
      </c>
      <c r="C369" s="278">
        <v>3.0558974608880938</v>
      </c>
      <c r="D369" s="278">
        <f t="shared" si="142"/>
        <v>6.7320916499188499</v>
      </c>
      <c r="E369" s="279"/>
      <c r="F369" s="278">
        <v>4.5378001109996129</v>
      </c>
      <c r="G369" s="278">
        <v>4.0065721072924454</v>
      </c>
      <c r="H369" s="278">
        <f t="shared" si="143"/>
        <v>8.5443722182920574</v>
      </c>
      <c r="I369" s="279"/>
      <c r="J369" s="278">
        <v>2.9979102664962891</v>
      </c>
      <c r="K369" s="278">
        <v>4.0597082916182572</v>
      </c>
      <c r="L369" s="278">
        <f t="shared" si="144"/>
        <v>7.0576185581145463</v>
      </c>
      <c r="M369" s="212"/>
      <c r="N369" s="212"/>
    </row>
    <row r="370" spans="1:14">
      <c r="A370" s="213" t="str">
        <f>name!E$8</f>
        <v>Skilled trades occupations</v>
      </c>
      <c r="B370" s="278">
        <v>2.3696247315144214</v>
      </c>
      <c r="C370" s="278">
        <v>31.845532432212739</v>
      </c>
      <c r="D370" s="278">
        <f t="shared" si="142"/>
        <v>34.215157163727163</v>
      </c>
      <c r="E370" s="279"/>
      <c r="F370" s="278">
        <v>2.3689859405690243</v>
      </c>
      <c r="G370" s="278">
        <v>26.008383302958507</v>
      </c>
      <c r="H370" s="278">
        <f t="shared" si="143"/>
        <v>28.377369243527532</v>
      </c>
      <c r="I370" s="279"/>
      <c r="J370" s="278">
        <v>1.829903798181223</v>
      </c>
      <c r="K370" s="278">
        <v>19.521158524084356</v>
      </c>
      <c r="L370" s="278">
        <f t="shared" si="144"/>
        <v>21.35106232226558</v>
      </c>
      <c r="M370" s="212"/>
      <c r="N370" s="212"/>
    </row>
    <row r="371" spans="1:14">
      <c r="A371" s="213" t="str">
        <f>name!E$9</f>
        <v>Caring, leisure and other service occupations</v>
      </c>
      <c r="B371" s="278">
        <v>0.26567731882786677</v>
      </c>
      <c r="C371" s="278">
        <v>0.16097386466043234</v>
      </c>
      <c r="D371" s="278">
        <f t="shared" si="142"/>
        <v>0.42665118348829911</v>
      </c>
      <c r="E371" s="279"/>
      <c r="F371" s="278">
        <v>0.34632471241426976</v>
      </c>
      <c r="G371" s="278">
        <v>0.3377535064993667</v>
      </c>
      <c r="H371" s="278">
        <f t="shared" si="143"/>
        <v>0.68407821891363652</v>
      </c>
      <c r="I371" s="279"/>
      <c r="J371" s="278">
        <v>0.21122710053782254</v>
      </c>
      <c r="K371" s="278">
        <v>0.36398204987865201</v>
      </c>
      <c r="L371" s="278">
        <f t="shared" si="144"/>
        <v>0.57520915041647458</v>
      </c>
      <c r="M371" s="212"/>
      <c r="N371" s="212"/>
    </row>
    <row r="372" spans="1:14">
      <c r="A372" s="213" t="str">
        <f>name!E$10</f>
        <v>Sales and customer service occupations</v>
      </c>
      <c r="B372" s="278">
        <v>1.0222937035414144</v>
      </c>
      <c r="C372" s="278">
        <v>2.4091814860134493</v>
      </c>
      <c r="D372" s="278">
        <f t="shared" si="142"/>
        <v>3.4314751895548636</v>
      </c>
      <c r="E372" s="279"/>
      <c r="F372" s="278">
        <v>1.2833544684313842</v>
      </c>
      <c r="G372" s="278">
        <v>2.9494179583099913</v>
      </c>
      <c r="H372" s="278">
        <f t="shared" si="143"/>
        <v>4.2327724267413753</v>
      </c>
      <c r="I372" s="279"/>
      <c r="J372" s="278">
        <v>0.97183109974298332</v>
      </c>
      <c r="K372" s="278">
        <v>2.9424448834513708</v>
      </c>
      <c r="L372" s="278">
        <f t="shared" si="144"/>
        <v>3.9142759831943543</v>
      </c>
      <c r="M372" s="212"/>
      <c r="N372" s="212"/>
    </row>
    <row r="373" spans="1:14">
      <c r="A373" s="213" t="str">
        <f>name!E$11</f>
        <v>Process, plant and machine operatives</v>
      </c>
      <c r="B373" s="278">
        <v>2.3143134712276945</v>
      </c>
      <c r="C373" s="278">
        <v>10.754361052519815</v>
      </c>
      <c r="D373" s="278">
        <f t="shared" si="142"/>
        <v>13.068674523747511</v>
      </c>
      <c r="E373" s="279"/>
      <c r="F373" s="278">
        <v>2.5727398965631547</v>
      </c>
      <c r="G373" s="278">
        <v>10.325381437805813</v>
      </c>
      <c r="H373" s="278">
        <f t="shared" si="143"/>
        <v>12.898121334368968</v>
      </c>
      <c r="I373" s="279"/>
      <c r="J373" s="278">
        <v>2.5480217672155483</v>
      </c>
      <c r="K373" s="278">
        <v>7.9200725364483082</v>
      </c>
      <c r="L373" s="278">
        <f t="shared" si="144"/>
        <v>10.468094303663857</v>
      </c>
      <c r="M373" s="212"/>
      <c r="N373" s="212"/>
    </row>
    <row r="374" spans="1:14">
      <c r="A374" s="213" t="str">
        <f>name!E$12</f>
        <v>Elementary occupations</v>
      </c>
      <c r="B374" s="278">
        <v>0.94806026890863226</v>
      </c>
      <c r="C374" s="278">
        <v>4.4023017879715658</v>
      </c>
      <c r="D374" s="278">
        <f t="shared" si="142"/>
        <v>5.3503620568801979</v>
      </c>
      <c r="E374" s="279"/>
      <c r="F374" s="278">
        <v>0.79193681607005928</v>
      </c>
      <c r="G374" s="278">
        <v>4.599353420528085</v>
      </c>
      <c r="H374" s="278">
        <f t="shared" si="143"/>
        <v>5.3912902365981443</v>
      </c>
      <c r="I374" s="279"/>
      <c r="J374" s="278">
        <v>1.0459371635653749</v>
      </c>
      <c r="K374" s="278">
        <v>3.7099839908788388</v>
      </c>
      <c r="L374" s="278">
        <f t="shared" si="144"/>
        <v>4.7559211544442137</v>
      </c>
      <c r="M374" s="212"/>
      <c r="N374" s="212"/>
    </row>
    <row r="375" spans="1:14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  <c r="N375" s="212"/>
    </row>
    <row r="376" spans="1:14">
      <c r="A376" s="220" t="s">
        <v>119</v>
      </c>
      <c r="B376" s="282">
        <f>SUM(B366:B374)</f>
        <v>14.940000000036532</v>
      </c>
      <c r="C376" s="282">
        <f t="shared" ref="C376:D376" si="145">SUM(C366:C374)</f>
        <v>67.485999999930058</v>
      </c>
      <c r="D376" s="282">
        <f t="shared" si="145"/>
        <v>82.425999999966606</v>
      </c>
      <c r="E376" s="282"/>
      <c r="F376" s="282">
        <f t="shared" ref="F376:H376" si="146">SUM(F366:F374)</f>
        <v>18.83099999990246</v>
      </c>
      <c r="G376" s="282">
        <f t="shared" si="146"/>
        <v>68.26000000006907</v>
      </c>
      <c r="H376" s="282">
        <f t="shared" si="146"/>
        <v>87.090999999971501</v>
      </c>
      <c r="I376" s="282"/>
      <c r="J376" s="282">
        <f t="shared" ref="J376:L376" si="147">SUM(J366:J374)</f>
        <v>15.574000000402023</v>
      </c>
      <c r="K376" s="282">
        <f t="shared" si="147"/>
        <v>56.354000000102772</v>
      </c>
      <c r="L376" s="282">
        <f t="shared" si="147"/>
        <v>71.928000000504795</v>
      </c>
      <c r="M376" s="212"/>
      <c r="N376" s="212"/>
    </row>
    <row r="377" spans="1:14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  <c r="N377" s="212"/>
    </row>
    <row r="378" spans="1:14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32" t="s">
        <v>114</v>
      </c>
      <c r="M378" s="212"/>
      <c r="N378" s="212"/>
    </row>
    <row r="379" spans="1:14" ht="12.95">
      <c r="A379" s="218"/>
      <c r="B379" s="226"/>
      <c r="C379" s="226"/>
      <c r="D379" s="226"/>
      <c r="E379" s="226"/>
      <c r="F379" s="226"/>
      <c r="G379" s="226"/>
      <c r="H379" s="226"/>
      <c r="I379" s="226"/>
      <c r="J379" s="226"/>
      <c r="K379" s="226"/>
      <c r="L379" s="212"/>
      <c r="M379" s="212"/>
      <c r="N379" s="212"/>
    </row>
    <row r="380" spans="1:14" ht="12.95">
      <c r="A380" s="217" t="str">
        <f>name!A25</f>
        <v>Other manufacturing</v>
      </c>
      <c r="B380" s="367">
        <f>B$6</f>
        <v>2015</v>
      </c>
      <c r="C380" s="367"/>
      <c r="D380" s="367"/>
      <c r="E380" s="229"/>
      <c r="F380" s="367">
        <f>F363</f>
        <v>2020</v>
      </c>
      <c r="G380" s="367"/>
      <c r="H380" s="367"/>
      <c r="I380" s="229"/>
      <c r="J380" s="367">
        <f>J363</f>
        <v>2035</v>
      </c>
      <c r="K380" s="367"/>
      <c r="L380" s="367"/>
      <c r="M380" s="212"/>
      <c r="N380" s="212"/>
    </row>
    <row r="381" spans="1:14" ht="12.95">
      <c r="A381" s="230"/>
      <c r="B381" s="231" t="s">
        <v>173</v>
      </c>
      <c r="C381" s="231" t="s">
        <v>174</v>
      </c>
      <c r="D381" s="231" t="s">
        <v>119</v>
      </c>
      <c r="E381" s="231"/>
      <c r="F381" s="231" t="s">
        <v>173</v>
      </c>
      <c r="G381" s="231" t="s">
        <v>174</v>
      </c>
      <c r="H381" s="231" t="s">
        <v>119</v>
      </c>
      <c r="I381" s="231"/>
      <c r="J381" s="231" t="s">
        <v>173</v>
      </c>
      <c r="K381" s="231" t="s">
        <v>174</v>
      </c>
      <c r="L381" s="231" t="s">
        <v>119</v>
      </c>
      <c r="M381" s="212"/>
      <c r="N381" s="212"/>
    </row>
    <row r="382" spans="1:14" ht="12.95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  <c r="N382" s="212"/>
    </row>
    <row r="383" spans="1:14">
      <c r="A383" s="213" t="str">
        <f>name!E$4</f>
        <v>Managers, directors and senior officials</v>
      </c>
      <c r="B383" s="278">
        <v>3.3935619844867162</v>
      </c>
      <c r="C383" s="278">
        <v>5.7570925822420138</v>
      </c>
      <c r="D383" s="278">
        <f>SUM(B383:C383)</f>
        <v>9.1506545667287291</v>
      </c>
      <c r="E383" s="279"/>
      <c r="F383" s="278">
        <v>4.6074564922210497</v>
      </c>
      <c r="G383" s="278">
        <v>7.0809628654897683</v>
      </c>
      <c r="H383" s="278">
        <f>SUM(F383:G383)</f>
        <v>11.688419357710817</v>
      </c>
      <c r="I383" s="279"/>
      <c r="J383" s="278">
        <v>3.6156873956637154</v>
      </c>
      <c r="K383" s="278">
        <v>5.4644343166695837</v>
      </c>
      <c r="L383" s="278">
        <f>SUM(J383:K383)</f>
        <v>9.0801217123332982</v>
      </c>
      <c r="M383" s="212"/>
      <c r="N383" s="212"/>
    </row>
    <row r="384" spans="1:14">
      <c r="A384" s="213" t="str">
        <f>name!E$5</f>
        <v>Professional occupations</v>
      </c>
      <c r="B384" s="278">
        <v>3.8262532452778615</v>
      </c>
      <c r="C384" s="278">
        <v>5.4873818940953072</v>
      </c>
      <c r="D384" s="278">
        <f t="shared" ref="D384:D391" si="148">SUM(B384:C384)</f>
        <v>9.3136351393731687</v>
      </c>
      <c r="E384" s="279"/>
      <c r="F384" s="278">
        <v>5.7404496051860585</v>
      </c>
      <c r="G384" s="278">
        <v>7.766414868253845</v>
      </c>
      <c r="H384" s="278">
        <f t="shared" ref="H384:H391" si="149">SUM(F384:G384)</f>
        <v>13.506864473439904</v>
      </c>
      <c r="I384" s="279"/>
      <c r="J384" s="278">
        <v>5.2946106605788223</v>
      </c>
      <c r="K384" s="278">
        <v>8.6547880519961762</v>
      </c>
      <c r="L384" s="278">
        <f t="shared" ref="L384:L391" si="150">SUM(J384:K384)</f>
        <v>13.949398712574999</v>
      </c>
      <c r="M384" s="212"/>
      <c r="N384" s="212"/>
    </row>
    <row r="385" spans="1:14">
      <c r="A385" s="213" t="str">
        <f>name!E$6</f>
        <v>Associate professional occupations</v>
      </c>
      <c r="B385" s="278">
        <v>4.4021148264727268</v>
      </c>
      <c r="C385" s="278">
        <v>4.2359597245482981</v>
      </c>
      <c r="D385" s="278">
        <f t="shared" si="148"/>
        <v>8.638074551021024</v>
      </c>
      <c r="E385" s="279"/>
      <c r="F385" s="278">
        <v>5.3524301439661324</v>
      </c>
      <c r="G385" s="278">
        <v>5.4228434322512822</v>
      </c>
      <c r="H385" s="278">
        <f t="shared" si="149"/>
        <v>10.775273576217415</v>
      </c>
      <c r="I385" s="279"/>
      <c r="J385" s="278">
        <v>4.4339843166103963</v>
      </c>
      <c r="K385" s="278">
        <v>4.4371879324788441</v>
      </c>
      <c r="L385" s="278">
        <f t="shared" si="150"/>
        <v>8.8711722490892413</v>
      </c>
      <c r="M385" s="212"/>
      <c r="N385" s="212"/>
    </row>
    <row r="386" spans="1:14">
      <c r="A386" s="213" t="str">
        <f>name!E$7</f>
        <v>Administrative and secretarial occupations</v>
      </c>
      <c r="B386" s="278">
        <v>7.9621849939181413</v>
      </c>
      <c r="C386" s="278">
        <v>2.1377608621879549</v>
      </c>
      <c r="D386" s="278">
        <f t="shared" si="148"/>
        <v>10.099945856106096</v>
      </c>
      <c r="E386" s="279"/>
      <c r="F386" s="278">
        <v>7.9533282059353114</v>
      </c>
      <c r="G386" s="278">
        <v>2.667431648504476</v>
      </c>
      <c r="H386" s="278">
        <f t="shared" si="149"/>
        <v>10.620759854439788</v>
      </c>
      <c r="I386" s="279"/>
      <c r="J386" s="278">
        <v>5.3198895987691834</v>
      </c>
      <c r="K386" s="278">
        <v>2.5047835347761356</v>
      </c>
      <c r="L386" s="278">
        <f t="shared" si="150"/>
        <v>7.8246731335453195</v>
      </c>
      <c r="M386" s="212"/>
      <c r="N386" s="212"/>
    </row>
    <row r="387" spans="1:14">
      <c r="A387" s="213" t="str">
        <f>name!E$8</f>
        <v>Skilled trades occupations</v>
      </c>
      <c r="B387" s="278">
        <v>4.4088021083471354</v>
      </c>
      <c r="C387" s="278">
        <v>21.964940009529265</v>
      </c>
      <c r="D387" s="278">
        <f t="shared" si="148"/>
        <v>26.3737421178764</v>
      </c>
      <c r="E387" s="279"/>
      <c r="F387" s="278">
        <v>3.6428634902818202</v>
      </c>
      <c r="G387" s="278">
        <v>18.242040282793376</v>
      </c>
      <c r="H387" s="278">
        <f t="shared" si="149"/>
        <v>21.884903773075195</v>
      </c>
      <c r="I387" s="279"/>
      <c r="J387" s="278">
        <v>2.9925317155055868</v>
      </c>
      <c r="K387" s="278">
        <v>13.091591692902082</v>
      </c>
      <c r="L387" s="278">
        <f t="shared" si="150"/>
        <v>16.08412340840767</v>
      </c>
      <c r="M387" s="212"/>
      <c r="N387" s="212"/>
    </row>
    <row r="388" spans="1:14">
      <c r="A388" s="213" t="str">
        <f>name!E$9</f>
        <v>Caring, leisure and other service occupations</v>
      </c>
      <c r="B388" s="278">
        <v>0.62015965340743395</v>
      </c>
      <c r="C388" s="278">
        <v>0.18376805996110476</v>
      </c>
      <c r="D388" s="278">
        <f t="shared" si="148"/>
        <v>0.80392771336853874</v>
      </c>
      <c r="E388" s="279"/>
      <c r="F388" s="278">
        <v>0.71842114872012208</v>
      </c>
      <c r="G388" s="278">
        <v>0.2156442158515193</v>
      </c>
      <c r="H388" s="278">
        <f t="shared" si="149"/>
        <v>0.93406536457164135</v>
      </c>
      <c r="I388" s="279"/>
      <c r="J388" s="278">
        <v>0.48894183242189609</v>
      </c>
      <c r="K388" s="278">
        <v>0.18840995879165812</v>
      </c>
      <c r="L388" s="278">
        <f t="shared" si="150"/>
        <v>0.67735179121355427</v>
      </c>
      <c r="M388" s="212"/>
      <c r="N388" s="212"/>
    </row>
    <row r="389" spans="1:14">
      <c r="A389" s="213" t="str">
        <f>name!E$10</f>
        <v>Sales and customer service occupations</v>
      </c>
      <c r="B389" s="278">
        <v>2.2399093526730223</v>
      </c>
      <c r="C389" s="278">
        <v>1.9452215259315311</v>
      </c>
      <c r="D389" s="278">
        <f t="shared" si="148"/>
        <v>4.1851308786045536</v>
      </c>
      <c r="E389" s="279"/>
      <c r="F389" s="278">
        <v>2.2417245888720947</v>
      </c>
      <c r="G389" s="278">
        <v>1.9854305884956325</v>
      </c>
      <c r="H389" s="278">
        <f t="shared" si="149"/>
        <v>4.2271551773677274</v>
      </c>
      <c r="I389" s="279"/>
      <c r="J389" s="278">
        <v>1.7238699621039211</v>
      </c>
      <c r="K389" s="278">
        <v>1.8022963577959783</v>
      </c>
      <c r="L389" s="278">
        <f t="shared" si="150"/>
        <v>3.5261663198998994</v>
      </c>
      <c r="M389" s="212"/>
      <c r="N389" s="212"/>
    </row>
    <row r="390" spans="1:14">
      <c r="A390" s="213" t="str">
        <f>name!E$11</f>
        <v>Process, plant and machine operatives</v>
      </c>
      <c r="B390" s="278">
        <v>4.8399084977387314</v>
      </c>
      <c r="C390" s="278">
        <v>7.142647758143843</v>
      </c>
      <c r="D390" s="278">
        <f t="shared" si="148"/>
        <v>11.982556255882574</v>
      </c>
      <c r="E390" s="279"/>
      <c r="F390" s="278">
        <v>4.6548032334737028</v>
      </c>
      <c r="G390" s="278">
        <v>6.536888591423585</v>
      </c>
      <c r="H390" s="278">
        <f t="shared" si="149"/>
        <v>11.191691824897287</v>
      </c>
      <c r="I390" s="279"/>
      <c r="J390" s="278">
        <v>4.094016598127256</v>
      </c>
      <c r="K390" s="278">
        <v>4.7510211029653284</v>
      </c>
      <c r="L390" s="278">
        <f t="shared" si="150"/>
        <v>8.8450377010925845</v>
      </c>
      <c r="M390" s="212"/>
      <c r="N390" s="212"/>
    </row>
    <row r="391" spans="1:14">
      <c r="A391" s="213" t="str">
        <f>name!E$12</f>
        <v>Elementary occupations</v>
      </c>
      <c r="B391" s="278">
        <v>1.8951053376899063</v>
      </c>
      <c r="C391" s="278">
        <v>3.1882275833700953</v>
      </c>
      <c r="D391" s="278">
        <f t="shared" si="148"/>
        <v>5.083332921060002</v>
      </c>
      <c r="E391" s="279"/>
      <c r="F391" s="278">
        <v>1.3655230911897029</v>
      </c>
      <c r="G391" s="278">
        <v>2.7013435068679392</v>
      </c>
      <c r="H391" s="278">
        <f t="shared" si="149"/>
        <v>4.0668665980576417</v>
      </c>
      <c r="I391" s="279"/>
      <c r="J391" s="278">
        <v>1.9504679209385931</v>
      </c>
      <c r="K391" s="278">
        <v>2.0464870516320537</v>
      </c>
      <c r="L391" s="278">
        <f t="shared" si="150"/>
        <v>3.9969549725706468</v>
      </c>
      <c r="M391" s="212"/>
      <c r="N391" s="212"/>
    </row>
    <row r="392" spans="1:14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  <c r="N392" s="212"/>
    </row>
    <row r="393" spans="1:14">
      <c r="A393" s="220" t="s">
        <v>119</v>
      </c>
      <c r="B393" s="282">
        <f>SUM(B383:B391)</f>
        <v>33.588000000011675</v>
      </c>
      <c r="C393" s="282">
        <f t="shared" ref="C393:D393" si="151">SUM(C383:C391)</f>
        <v>52.043000000009407</v>
      </c>
      <c r="D393" s="282">
        <f t="shared" si="151"/>
        <v>85.631000000021089</v>
      </c>
      <c r="E393" s="282"/>
      <c r="F393" s="282">
        <f t="shared" ref="F393:H393" si="152">SUM(F383:F391)</f>
        <v>36.276999999845991</v>
      </c>
      <c r="G393" s="282">
        <f t="shared" si="152"/>
        <v>52.618999999931418</v>
      </c>
      <c r="H393" s="282">
        <f t="shared" si="152"/>
        <v>88.895999999777416</v>
      </c>
      <c r="I393" s="282"/>
      <c r="J393" s="282">
        <f t="shared" ref="J393:L393" si="153">SUM(J383:J391)</f>
        <v>29.914000000719369</v>
      </c>
      <c r="K393" s="282">
        <f t="shared" si="153"/>
        <v>42.941000000007847</v>
      </c>
      <c r="L393" s="282">
        <f t="shared" si="153"/>
        <v>72.855000000727216</v>
      </c>
      <c r="M393" s="212"/>
      <c r="N393" s="212"/>
    </row>
    <row r="394" spans="1:14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  <c r="N394" s="212"/>
    </row>
    <row r="395" spans="1:14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32" t="s">
        <v>114</v>
      </c>
      <c r="M395" s="212"/>
      <c r="N395" s="212"/>
    </row>
    <row r="396" spans="1:14" ht="12.95">
      <c r="A396" s="218"/>
      <c r="B396" s="226"/>
      <c r="C396" s="226"/>
      <c r="D396" s="226"/>
      <c r="E396" s="226"/>
      <c r="F396" s="226"/>
      <c r="G396" s="226"/>
      <c r="H396" s="226"/>
      <c r="I396" s="226"/>
      <c r="J396" s="226"/>
      <c r="K396" s="226"/>
      <c r="L396" s="212"/>
      <c r="M396" s="212"/>
      <c r="N396" s="212"/>
    </row>
    <row r="397" spans="1:14" ht="12.95">
      <c r="A397" s="217" t="str">
        <f>name!A26</f>
        <v>Repair and installation</v>
      </c>
      <c r="B397" s="367">
        <f>B$6</f>
        <v>2015</v>
      </c>
      <c r="C397" s="367"/>
      <c r="D397" s="367"/>
      <c r="E397" s="229"/>
      <c r="F397" s="367">
        <f>F380</f>
        <v>2020</v>
      </c>
      <c r="G397" s="367"/>
      <c r="H397" s="367"/>
      <c r="I397" s="229"/>
      <c r="J397" s="367">
        <f>J380</f>
        <v>2035</v>
      </c>
      <c r="K397" s="367"/>
      <c r="L397" s="367"/>
      <c r="M397" s="212"/>
      <c r="N397" s="212"/>
    </row>
    <row r="398" spans="1:14" ht="12.95">
      <c r="A398" s="230"/>
      <c r="B398" s="231" t="s">
        <v>173</v>
      </c>
      <c r="C398" s="231" t="s">
        <v>174</v>
      </c>
      <c r="D398" s="231" t="s">
        <v>119</v>
      </c>
      <c r="E398" s="231"/>
      <c r="F398" s="231" t="s">
        <v>173</v>
      </c>
      <c r="G398" s="231" t="s">
        <v>174</v>
      </c>
      <c r="H398" s="231" t="s">
        <v>119</v>
      </c>
      <c r="I398" s="231"/>
      <c r="J398" s="231" t="s">
        <v>173</v>
      </c>
      <c r="K398" s="231" t="s">
        <v>174</v>
      </c>
      <c r="L398" s="231" t="s">
        <v>119</v>
      </c>
      <c r="M398" s="212"/>
      <c r="N398" s="212"/>
    </row>
    <row r="399" spans="1:14" ht="12.95">
      <c r="A399" s="234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12"/>
      <c r="N399" s="212"/>
    </row>
    <row r="400" spans="1:14">
      <c r="A400" s="213" t="str">
        <f>name!E$4</f>
        <v>Managers, directors and senior officials</v>
      </c>
      <c r="B400" s="278">
        <v>1.482065873680054</v>
      </c>
      <c r="C400" s="278">
        <v>11.556807340626694</v>
      </c>
      <c r="D400" s="278">
        <f>SUM(B400:C400)</f>
        <v>13.038873214306747</v>
      </c>
      <c r="E400" s="279"/>
      <c r="F400" s="278">
        <v>2.3832710297670272</v>
      </c>
      <c r="G400" s="278">
        <v>17.41503270562724</v>
      </c>
      <c r="H400" s="278">
        <f>SUM(F400:G400)</f>
        <v>19.798303735394267</v>
      </c>
      <c r="I400" s="279"/>
      <c r="J400" s="278">
        <v>1.8055614871805554</v>
      </c>
      <c r="K400" s="278">
        <v>13.490501277323164</v>
      </c>
      <c r="L400" s="278">
        <f>SUM(J400:K400)</f>
        <v>15.29606276450372</v>
      </c>
      <c r="M400" s="212"/>
      <c r="N400" s="212"/>
    </row>
    <row r="401" spans="1:14">
      <c r="A401" s="213" t="str">
        <f>name!E$5</f>
        <v>Professional occupations</v>
      </c>
      <c r="B401" s="278">
        <v>1.8121568607210616</v>
      </c>
      <c r="C401" s="278">
        <v>18.910812073975414</v>
      </c>
      <c r="D401" s="278">
        <f t="shared" ref="D401:D408" si="154">SUM(B401:C401)</f>
        <v>20.722968934696475</v>
      </c>
      <c r="E401" s="279"/>
      <c r="F401" s="278">
        <v>3.2444455451939893</v>
      </c>
      <c r="G401" s="278">
        <v>30.70534162027867</v>
      </c>
      <c r="H401" s="278">
        <f t="shared" ref="H401:H408" si="155">SUM(F401:G401)</f>
        <v>33.949787165472657</v>
      </c>
      <c r="I401" s="279"/>
      <c r="J401" s="278">
        <v>2.6968131275797327</v>
      </c>
      <c r="K401" s="278">
        <v>30.632487602513319</v>
      </c>
      <c r="L401" s="278">
        <f t="shared" ref="L401:L408" si="156">SUM(J401:K401)</f>
        <v>33.329300730093053</v>
      </c>
      <c r="M401" s="212"/>
      <c r="N401" s="212"/>
    </row>
    <row r="402" spans="1:14">
      <c r="A402" s="213" t="str">
        <f>name!E$6</f>
        <v>Associate professional occupations</v>
      </c>
      <c r="B402" s="278">
        <v>1.7015893645127877</v>
      </c>
      <c r="C402" s="278">
        <v>8.5671550128291134</v>
      </c>
      <c r="D402" s="278">
        <f t="shared" si="154"/>
        <v>10.268744377341902</v>
      </c>
      <c r="E402" s="279"/>
      <c r="F402" s="278">
        <v>2.685927966005262</v>
      </c>
      <c r="G402" s="278">
        <v>13.503691016454081</v>
      </c>
      <c r="H402" s="278">
        <f t="shared" si="155"/>
        <v>16.189618982459343</v>
      </c>
      <c r="I402" s="279"/>
      <c r="J402" s="278">
        <v>2.1017907354790952</v>
      </c>
      <c r="K402" s="278">
        <v>10.453973424235349</v>
      </c>
      <c r="L402" s="278">
        <f t="shared" si="156"/>
        <v>12.555764159714444</v>
      </c>
      <c r="M402" s="212"/>
      <c r="N402" s="212"/>
    </row>
    <row r="403" spans="1:14">
      <c r="A403" s="213" t="str">
        <f>name!E$7</f>
        <v>Administrative and secretarial occupations</v>
      </c>
      <c r="B403" s="278">
        <v>3.5850487859766855</v>
      </c>
      <c r="C403" s="278">
        <v>2.3292567024503303</v>
      </c>
      <c r="D403" s="278">
        <f t="shared" si="154"/>
        <v>5.9143054884270159</v>
      </c>
      <c r="E403" s="279"/>
      <c r="F403" s="278">
        <v>4.3276140749179017</v>
      </c>
      <c r="G403" s="278">
        <v>3.3326791405176115</v>
      </c>
      <c r="H403" s="278">
        <f t="shared" si="155"/>
        <v>7.6602932154355132</v>
      </c>
      <c r="I403" s="279"/>
      <c r="J403" s="278">
        <v>2.7880203344373107</v>
      </c>
      <c r="K403" s="278">
        <v>3.1791038481224767</v>
      </c>
      <c r="L403" s="278">
        <f t="shared" si="156"/>
        <v>5.9671241825597878</v>
      </c>
      <c r="M403" s="212"/>
      <c r="N403" s="212"/>
    </row>
    <row r="404" spans="1:14">
      <c r="A404" s="213" t="str">
        <f>name!E$8</f>
        <v>Skilled trades occupations</v>
      </c>
      <c r="B404" s="278">
        <v>0.47451242487790035</v>
      </c>
      <c r="C404" s="278">
        <v>26.32533860440877</v>
      </c>
      <c r="D404" s="278">
        <f t="shared" si="154"/>
        <v>26.799851029286671</v>
      </c>
      <c r="E404" s="279"/>
      <c r="F404" s="278">
        <v>0.66349035183748895</v>
      </c>
      <c r="G404" s="278">
        <v>27.300134317614482</v>
      </c>
      <c r="H404" s="278">
        <f t="shared" si="155"/>
        <v>27.963624669451971</v>
      </c>
      <c r="I404" s="279"/>
      <c r="J404" s="278">
        <v>0.7741667983777375</v>
      </c>
      <c r="K404" s="278">
        <v>20.18051412913891</v>
      </c>
      <c r="L404" s="278">
        <f t="shared" si="156"/>
        <v>20.954680927516648</v>
      </c>
      <c r="M404" s="212"/>
      <c r="N404" s="212"/>
    </row>
    <row r="405" spans="1:14">
      <c r="A405" s="213" t="str">
        <f>name!E$9</f>
        <v>Caring, leisure and other service occupations</v>
      </c>
      <c r="B405" s="278">
        <v>0.79886931222151747</v>
      </c>
      <c r="C405" s="278">
        <v>0.52846654310868446</v>
      </c>
      <c r="D405" s="278">
        <f t="shared" si="154"/>
        <v>1.3273358553302019</v>
      </c>
      <c r="E405" s="279"/>
      <c r="F405" s="278">
        <v>0.92153049415843902</v>
      </c>
      <c r="G405" s="278">
        <v>0.98363344469123204</v>
      </c>
      <c r="H405" s="278">
        <f t="shared" si="155"/>
        <v>1.9051639388496711</v>
      </c>
      <c r="I405" s="279"/>
      <c r="J405" s="278">
        <v>0.60557893624512038</v>
      </c>
      <c r="K405" s="278">
        <v>1.0232169140406808</v>
      </c>
      <c r="L405" s="278">
        <f t="shared" si="156"/>
        <v>1.6287958502858011</v>
      </c>
      <c r="M405" s="212"/>
      <c r="N405" s="212"/>
    </row>
    <row r="406" spans="1:14">
      <c r="A406" s="213" t="str">
        <f>name!E$10</f>
        <v>Sales and customer service occupations</v>
      </c>
      <c r="B406" s="278">
        <v>0.79988960965093425</v>
      </c>
      <c r="C406" s="278">
        <v>1.6538692421865249</v>
      </c>
      <c r="D406" s="278">
        <f t="shared" si="154"/>
        <v>2.4537588518374589</v>
      </c>
      <c r="E406" s="279"/>
      <c r="F406" s="278">
        <v>0.98084889210274784</v>
      </c>
      <c r="G406" s="278">
        <v>2.102014986914138</v>
      </c>
      <c r="H406" s="278">
        <f t="shared" si="155"/>
        <v>3.0828638790168856</v>
      </c>
      <c r="I406" s="279"/>
      <c r="J406" s="278">
        <v>0.75639003289925588</v>
      </c>
      <c r="K406" s="278">
        <v>1.8906352167522096</v>
      </c>
      <c r="L406" s="278">
        <f t="shared" si="156"/>
        <v>2.6470252496514655</v>
      </c>
      <c r="M406" s="212"/>
      <c r="N406" s="212"/>
    </row>
    <row r="407" spans="1:14">
      <c r="A407" s="213" t="str">
        <f>name!E$11</f>
        <v>Process, plant and machine operatives</v>
      </c>
      <c r="B407" s="278">
        <v>1.3300971623396958</v>
      </c>
      <c r="C407" s="278">
        <v>10.403924728281122</v>
      </c>
      <c r="D407" s="278">
        <f t="shared" si="154"/>
        <v>11.734021890620818</v>
      </c>
      <c r="E407" s="279"/>
      <c r="F407" s="278">
        <v>1.2904330874866694</v>
      </c>
      <c r="G407" s="278">
        <v>10.751719716907756</v>
      </c>
      <c r="H407" s="278">
        <f t="shared" si="155"/>
        <v>12.042152804394425</v>
      </c>
      <c r="I407" s="279"/>
      <c r="J407" s="278">
        <v>1.137837793514076</v>
      </c>
      <c r="K407" s="278">
        <v>8.034765388579526</v>
      </c>
      <c r="L407" s="278">
        <f t="shared" si="156"/>
        <v>9.1726031820936029</v>
      </c>
      <c r="M407" s="212"/>
      <c r="N407" s="212"/>
    </row>
    <row r="408" spans="1:14">
      <c r="A408" s="213" t="str">
        <f>name!E$12</f>
        <v>Elementary occupations</v>
      </c>
      <c r="B408" s="278">
        <v>0.99977060604447332</v>
      </c>
      <c r="C408" s="278">
        <v>2.9163697520179435</v>
      </c>
      <c r="D408" s="278">
        <f t="shared" si="154"/>
        <v>3.9161403580624166</v>
      </c>
      <c r="E408" s="279"/>
      <c r="F408" s="278">
        <v>0.78343855844840526</v>
      </c>
      <c r="G408" s="278">
        <v>2.9977530506734893</v>
      </c>
      <c r="H408" s="278">
        <f t="shared" si="155"/>
        <v>3.7811916091218944</v>
      </c>
      <c r="I408" s="279"/>
      <c r="J408" s="278">
        <v>0.99984075457424726</v>
      </c>
      <c r="K408" s="278">
        <v>2.2588021991190859</v>
      </c>
      <c r="L408" s="278">
        <f t="shared" si="156"/>
        <v>3.2586429536933332</v>
      </c>
      <c r="M408" s="212"/>
      <c r="N408" s="212"/>
    </row>
    <row r="409" spans="1:14">
      <c r="A409" s="213"/>
      <c r="B409" s="278"/>
      <c r="C409" s="278"/>
      <c r="D409" s="278"/>
      <c r="E409" s="279"/>
      <c r="F409" s="278"/>
      <c r="G409" s="278"/>
      <c r="H409" s="278"/>
      <c r="I409" s="279"/>
      <c r="J409" s="278"/>
      <c r="K409" s="278"/>
      <c r="L409" s="278"/>
      <c r="M409" s="212"/>
      <c r="N409" s="212"/>
    </row>
    <row r="410" spans="1:14">
      <c r="A410" s="220" t="s">
        <v>119</v>
      </c>
      <c r="B410" s="282">
        <f>SUM(B400:B408)</f>
        <v>12.984000000025111</v>
      </c>
      <c r="C410" s="282">
        <f t="shared" ref="C410:D410" si="157">SUM(C400:C408)</f>
        <v>83.191999999884601</v>
      </c>
      <c r="D410" s="282">
        <f t="shared" si="157"/>
        <v>96.175999999909735</v>
      </c>
      <c r="E410" s="282"/>
      <c r="F410" s="282">
        <f t="shared" ref="F410:H410" si="158">SUM(F400:F408)</f>
        <v>17.280999999917931</v>
      </c>
      <c r="G410" s="282">
        <f t="shared" si="158"/>
        <v>109.09199999967872</v>
      </c>
      <c r="H410" s="282">
        <f t="shared" si="158"/>
        <v>126.37299999959663</v>
      </c>
      <c r="I410" s="282"/>
      <c r="J410" s="282">
        <f t="shared" ref="J410:L410" si="159">SUM(J400:J408)</f>
        <v>13.666000000287134</v>
      </c>
      <c r="K410" s="282">
        <f t="shared" si="159"/>
        <v>91.143999999824729</v>
      </c>
      <c r="L410" s="282">
        <f t="shared" si="159"/>
        <v>104.81000000011184</v>
      </c>
      <c r="M410" s="212"/>
      <c r="N410" s="212"/>
    </row>
    <row r="411" spans="1:14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6"/>
      <c r="M411" s="212"/>
      <c r="N411" s="212"/>
    </row>
    <row r="412" spans="1:14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32" t="s">
        <v>114</v>
      </c>
      <c r="M412" s="212"/>
      <c r="N412" s="212"/>
    </row>
    <row r="413" spans="1:14" ht="12.95">
      <c r="A413" s="218"/>
      <c r="B413" s="226"/>
      <c r="C413" s="226"/>
      <c r="D413" s="226"/>
      <c r="E413" s="226"/>
      <c r="F413" s="226"/>
      <c r="G413" s="226"/>
      <c r="H413" s="226"/>
      <c r="I413" s="226"/>
      <c r="J413" s="226"/>
      <c r="K413" s="226"/>
      <c r="L413" s="212"/>
      <c r="M413" s="212"/>
      <c r="N413" s="212"/>
    </row>
    <row r="414" spans="1:14" ht="12.95">
      <c r="A414" s="217" t="str">
        <f>name!A27</f>
        <v>Electricity, gas, etc</v>
      </c>
      <c r="B414" s="367">
        <f>B$6</f>
        <v>2015</v>
      </c>
      <c r="C414" s="367"/>
      <c r="D414" s="367"/>
      <c r="E414" s="229"/>
      <c r="F414" s="367">
        <f>F397</f>
        <v>2020</v>
      </c>
      <c r="G414" s="367"/>
      <c r="H414" s="367"/>
      <c r="I414" s="229"/>
      <c r="J414" s="367">
        <f>J397</f>
        <v>2035</v>
      </c>
      <c r="K414" s="367"/>
      <c r="L414" s="367"/>
      <c r="M414" s="212"/>
      <c r="N414" s="212"/>
    </row>
    <row r="415" spans="1:14" ht="12.95">
      <c r="A415" s="230"/>
      <c r="B415" s="231" t="s">
        <v>173</v>
      </c>
      <c r="C415" s="231" t="s">
        <v>174</v>
      </c>
      <c r="D415" s="231" t="s">
        <v>119</v>
      </c>
      <c r="E415" s="231"/>
      <c r="F415" s="231" t="s">
        <v>173</v>
      </c>
      <c r="G415" s="231" t="s">
        <v>174</v>
      </c>
      <c r="H415" s="231" t="s">
        <v>119</v>
      </c>
      <c r="I415" s="231"/>
      <c r="J415" s="231" t="s">
        <v>173</v>
      </c>
      <c r="K415" s="231" t="s">
        <v>174</v>
      </c>
      <c r="L415" s="231" t="s">
        <v>119</v>
      </c>
      <c r="M415" s="212"/>
      <c r="N415" s="212"/>
    </row>
    <row r="416" spans="1:14" ht="12.95">
      <c r="A416" s="234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12"/>
      <c r="N416" s="212"/>
    </row>
    <row r="417" spans="1:14">
      <c r="A417" s="213" t="str">
        <f>name!E$4</f>
        <v>Managers, directors and senior officials</v>
      </c>
      <c r="B417" s="278">
        <v>2.6721539700982802</v>
      </c>
      <c r="C417" s="278">
        <v>8.5546523673362316</v>
      </c>
      <c r="D417" s="278">
        <f>SUM(B417:C417)</f>
        <v>11.226806337434512</v>
      </c>
      <c r="E417" s="279"/>
      <c r="F417" s="278">
        <v>3.8273418833092236</v>
      </c>
      <c r="G417" s="278">
        <v>10.678014866678323</v>
      </c>
      <c r="H417" s="278">
        <f>SUM(F417:G417)</f>
        <v>14.505356749987547</v>
      </c>
      <c r="I417" s="279"/>
      <c r="J417" s="278">
        <v>3.5914831311752486</v>
      </c>
      <c r="K417" s="278">
        <v>9.7881716755017898</v>
      </c>
      <c r="L417" s="278">
        <f>SUM(J417:K417)</f>
        <v>13.379654806677038</v>
      </c>
      <c r="M417" s="212"/>
      <c r="N417" s="212"/>
    </row>
    <row r="418" spans="1:14">
      <c r="A418" s="213" t="str">
        <f>name!E$5</f>
        <v>Professional occupations</v>
      </c>
      <c r="B418" s="278">
        <v>3.9290676300712248</v>
      </c>
      <c r="C418" s="278">
        <v>17.892361608555426</v>
      </c>
      <c r="D418" s="278">
        <f t="shared" ref="D418:D425" si="160">SUM(B418:C418)</f>
        <v>21.821429238626649</v>
      </c>
      <c r="E418" s="279"/>
      <c r="F418" s="278">
        <v>6.1498227737764024</v>
      </c>
      <c r="G418" s="278">
        <v>25.01742390438293</v>
      </c>
      <c r="H418" s="278">
        <f t="shared" ref="H418:H425" si="161">SUM(F418:G418)</f>
        <v>31.167246678159334</v>
      </c>
      <c r="I418" s="279"/>
      <c r="J418" s="278">
        <v>7.3370576082443861</v>
      </c>
      <c r="K418" s="278">
        <v>28.895984354895681</v>
      </c>
      <c r="L418" s="278">
        <f t="shared" ref="L418:L425" si="162">SUM(J418:K418)</f>
        <v>36.233041963140067</v>
      </c>
      <c r="M418" s="212"/>
      <c r="N418" s="212"/>
    </row>
    <row r="419" spans="1:14">
      <c r="A419" s="213" t="str">
        <f>name!E$6</f>
        <v>Associate professional occupations</v>
      </c>
      <c r="B419" s="278">
        <v>3.476488534595509</v>
      </c>
      <c r="C419" s="278">
        <v>10.33142947996215</v>
      </c>
      <c r="D419" s="278">
        <f t="shared" si="160"/>
        <v>13.807918014557659</v>
      </c>
      <c r="E419" s="279"/>
      <c r="F419" s="278">
        <v>4.8104617262028802</v>
      </c>
      <c r="G419" s="278">
        <v>14.611415025049228</v>
      </c>
      <c r="H419" s="278">
        <f t="shared" si="161"/>
        <v>19.421876751252107</v>
      </c>
      <c r="I419" s="279"/>
      <c r="J419" s="278">
        <v>4.8640058989598911</v>
      </c>
      <c r="K419" s="278">
        <v>12.71926710545865</v>
      </c>
      <c r="L419" s="278">
        <f t="shared" si="162"/>
        <v>17.58327300441854</v>
      </c>
      <c r="M419" s="212"/>
      <c r="N419" s="212"/>
    </row>
    <row r="420" spans="1:14">
      <c r="A420" s="213" t="str">
        <f>name!E$7</f>
        <v>Administrative and secretarial occupations</v>
      </c>
      <c r="B420" s="278">
        <v>7.7836382788904528</v>
      </c>
      <c r="C420" s="278">
        <v>3.8260840298184577</v>
      </c>
      <c r="D420" s="278">
        <f t="shared" si="160"/>
        <v>11.609722308708911</v>
      </c>
      <c r="E420" s="279"/>
      <c r="F420" s="278">
        <v>8.1613961609414183</v>
      </c>
      <c r="G420" s="278">
        <v>4.9687727960825221</v>
      </c>
      <c r="H420" s="278">
        <f t="shared" si="161"/>
        <v>13.13016895702394</v>
      </c>
      <c r="I420" s="279"/>
      <c r="J420" s="278">
        <v>6.5506644729724233</v>
      </c>
      <c r="K420" s="278">
        <v>4.6970962155685161</v>
      </c>
      <c r="L420" s="278">
        <f t="shared" si="162"/>
        <v>11.247760688540939</v>
      </c>
      <c r="M420" s="212"/>
      <c r="N420" s="212"/>
    </row>
    <row r="421" spans="1:14">
      <c r="A421" s="213" t="str">
        <f>name!E$8</f>
        <v>Skilled trades occupations</v>
      </c>
      <c r="B421" s="278">
        <v>0.61260832899088757</v>
      </c>
      <c r="C421" s="278">
        <v>19.06256397371483</v>
      </c>
      <c r="D421" s="278">
        <f t="shared" si="160"/>
        <v>19.675172302705718</v>
      </c>
      <c r="E421" s="279"/>
      <c r="F421" s="278">
        <v>0.99859794553319692</v>
      </c>
      <c r="G421" s="278">
        <v>16.560527571968077</v>
      </c>
      <c r="H421" s="278">
        <f t="shared" si="161"/>
        <v>17.559125517501275</v>
      </c>
      <c r="I421" s="279"/>
      <c r="J421" s="278">
        <v>1.4022020055788806</v>
      </c>
      <c r="K421" s="278">
        <v>11.632147914485634</v>
      </c>
      <c r="L421" s="278">
        <f t="shared" si="162"/>
        <v>13.034349920064514</v>
      </c>
      <c r="M421" s="212"/>
      <c r="N421" s="212"/>
    </row>
    <row r="422" spans="1:14">
      <c r="A422" s="213" t="str">
        <f>name!E$9</f>
        <v>Caring, leisure and other service occupations</v>
      </c>
      <c r="B422" s="278">
        <v>1.3537575616746553</v>
      </c>
      <c r="C422" s="278">
        <v>0.88426883249371979</v>
      </c>
      <c r="D422" s="278">
        <f t="shared" si="160"/>
        <v>2.2380263941683749</v>
      </c>
      <c r="E422" s="279"/>
      <c r="F422" s="278">
        <v>1.7278617850566014</v>
      </c>
      <c r="G422" s="278">
        <v>1.1709551140480643</v>
      </c>
      <c r="H422" s="278">
        <f t="shared" si="161"/>
        <v>2.8988168991046654</v>
      </c>
      <c r="I422" s="279"/>
      <c r="J422" s="278">
        <v>1.4928572013116479</v>
      </c>
      <c r="K422" s="278">
        <v>1.1322055217418425</v>
      </c>
      <c r="L422" s="278">
        <f t="shared" si="162"/>
        <v>2.6250627230534906</v>
      </c>
      <c r="M422" s="212"/>
      <c r="N422" s="212"/>
    </row>
    <row r="423" spans="1:14">
      <c r="A423" s="213" t="str">
        <f>name!E$10</f>
        <v>Sales and customer service occupations</v>
      </c>
      <c r="B423" s="278">
        <v>6.2363402359314986</v>
      </c>
      <c r="C423" s="278">
        <v>5.3347625182070955</v>
      </c>
      <c r="D423" s="278">
        <f t="shared" si="160"/>
        <v>11.571102754138593</v>
      </c>
      <c r="E423" s="279"/>
      <c r="F423" s="278">
        <v>7.3220606675988273</v>
      </c>
      <c r="G423" s="278">
        <v>6.0534446549032381</v>
      </c>
      <c r="H423" s="278">
        <f t="shared" si="161"/>
        <v>13.375505322502065</v>
      </c>
      <c r="I423" s="279"/>
      <c r="J423" s="278">
        <v>7.2469392547317781</v>
      </c>
      <c r="K423" s="278">
        <v>6.3273282667705715</v>
      </c>
      <c r="L423" s="278">
        <f t="shared" si="162"/>
        <v>13.57426752150235</v>
      </c>
      <c r="M423" s="212"/>
      <c r="N423" s="212"/>
    </row>
    <row r="424" spans="1:14">
      <c r="A424" s="213" t="str">
        <f>name!E$11</f>
        <v>Process, plant and machine operatives</v>
      </c>
      <c r="B424" s="278">
        <v>0.19242550838849046</v>
      </c>
      <c r="C424" s="278">
        <v>4.4482104736872872</v>
      </c>
      <c r="D424" s="278">
        <f t="shared" si="160"/>
        <v>4.6406359820757777</v>
      </c>
      <c r="E424" s="279"/>
      <c r="F424" s="278">
        <v>0.21043350407149883</v>
      </c>
      <c r="G424" s="278">
        <v>4.3422035423073995</v>
      </c>
      <c r="H424" s="278">
        <f t="shared" si="161"/>
        <v>4.5526370463788979</v>
      </c>
      <c r="I424" s="279"/>
      <c r="J424" s="278">
        <v>0.25986513624640833</v>
      </c>
      <c r="K424" s="278">
        <v>3.9189737293440805</v>
      </c>
      <c r="L424" s="278">
        <f t="shared" si="162"/>
        <v>4.1788388655904889</v>
      </c>
      <c r="M424" s="212"/>
      <c r="N424" s="212"/>
    </row>
    <row r="425" spans="1:14">
      <c r="A425" s="213" t="str">
        <f>name!E$12</f>
        <v>Elementary occupations</v>
      </c>
      <c r="B425" s="278">
        <v>0.80551995136770183</v>
      </c>
      <c r="C425" s="278">
        <v>1.3896667157805287</v>
      </c>
      <c r="D425" s="278">
        <f t="shared" si="160"/>
        <v>2.1951866671482305</v>
      </c>
      <c r="E425" s="279"/>
      <c r="F425" s="278">
        <v>0.81602355349517897</v>
      </c>
      <c r="G425" s="278">
        <v>1.3042425240653543</v>
      </c>
      <c r="H425" s="278">
        <f t="shared" si="161"/>
        <v>2.1202660775605331</v>
      </c>
      <c r="I425" s="279"/>
      <c r="J425" s="278">
        <v>0.68492529141259784</v>
      </c>
      <c r="K425" s="278">
        <v>0.95282521611130344</v>
      </c>
      <c r="L425" s="278">
        <f t="shared" si="162"/>
        <v>1.6377505075239012</v>
      </c>
      <c r="M425" s="212"/>
      <c r="N425" s="212"/>
    </row>
    <row r="426" spans="1:14">
      <c r="A426" s="213"/>
      <c r="B426" s="278"/>
      <c r="C426" s="278"/>
      <c r="D426" s="278"/>
      <c r="E426" s="279"/>
      <c r="F426" s="278"/>
      <c r="G426" s="278"/>
      <c r="H426" s="278"/>
      <c r="I426" s="279"/>
      <c r="J426" s="278"/>
      <c r="K426" s="278"/>
      <c r="L426" s="278"/>
      <c r="M426" s="212"/>
      <c r="N426" s="212"/>
    </row>
    <row r="427" spans="1:14">
      <c r="A427" s="220" t="s">
        <v>119</v>
      </c>
      <c r="B427" s="282">
        <f>SUM(B417:B425)</f>
        <v>27.062000000008698</v>
      </c>
      <c r="C427" s="282">
        <f t="shared" ref="C427:D427" si="163">SUM(C417:C425)</f>
        <v>71.72399999955573</v>
      </c>
      <c r="D427" s="282">
        <f t="shared" si="163"/>
        <v>98.785999999564424</v>
      </c>
      <c r="E427" s="282"/>
      <c r="F427" s="282">
        <f t="shared" ref="F427:H427" si="164">SUM(F417:F425)</f>
        <v>34.023999999985229</v>
      </c>
      <c r="G427" s="282">
        <f t="shared" si="164"/>
        <v>84.706999999485163</v>
      </c>
      <c r="H427" s="282">
        <f t="shared" si="164"/>
        <v>118.73099999947036</v>
      </c>
      <c r="I427" s="282"/>
      <c r="J427" s="282">
        <f t="shared" ref="J427:L427" si="165">SUM(J417:J425)</f>
        <v>33.430000000633264</v>
      </c>
      <c r="K427" s="282">
        <f t="shared" si="165"/>
        <v>80.06399999987805</v>
      </c>
      <c r="L427" s="282">
        <f t="shared" si="165"/>
        <v>113.49400000051133</v>
      </c>
      <c r="M427" s="212"/>
      <c r="N427" s="212"/>
    </row>
    <row r="428" spans="1:14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6"/>
      <c r="M428" s="212"/>
      <c r="N428" s="212"/>
    </row>
    <row r="429" spans="1:14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32" t="s">
        <v>114</v>
      </c>
      <c r="M429" s="212"/>
      <c r="N429" s="212"/>
    </row>
    <row r="430" spans="1:14" ht="12.95">
      <c r="A430" s="218"/>
      <c r="B430" s="226"/>
      <c r="C430" s="226"/>
      <c r="D430" s="226"/>
      <c r="E430" s="226"/>
      <c r="F430" s="226"/>
      <c r="G430" s="226"/>
      <c r="H430" s="226"/>
      <c r="I430" s="226"/>
      <c r="J430" s="226"/>
      <c r="K430" s="226"/>
      <c r="L430" s="212"/>
      <c r="M430" s="212"/>
      <c r="N430" s="212"/>
    </row>
    <row r="431" spans="1:14" ht="12.95">
      <c r="A431" s="217" t="str">
        <f>name!A28</f>
        <v>Water</v>
      </c>
      <c r="B431" s="367">
        <f>B$6</f>
        <v>2015</v>
      </c>
      <c r="C431" s="367"/>
      <c r="D431" s="367"/>
      <c r="E431" s="229"/>
      <c r="F431" s="367">
        <f>F414</f>
        <v>2020</v>
      </c>
      <c r="G431" s="367"/>
      <c r="H431" s="367"/>
      <c r="I431" s="229"/>
      <c r="J431" s="367">
        <f>J414</f>
        <v>2035</v>
      </c>
      <c r="K431" s="367"/>
      <c r="L431" s="367"/>
      <c r="M431" s="212"/>
      <c r="N431" s="212"/>
    </row>
    <row r="432" spans="1:14" ht="12.95">
      <c r="A432" s="230"/>
      <c r="B432" s="231" t="s">
        <v>173</v>
      </c>
      <c r="C432" s="231" t="s">
        <v>174</v>
      </c>
      <c r="D432" s="231" t="s">
        <v>119</v>
      </c>
      <c r="E432" s="231"/>
      <c r="F432" s="231" t="s">
        <v>173</v>
      </c>
      <c r="G432" s="231" t="s">
        <v>174</v>
      </c>
      <c r="H432" s="231" t="s">
        <v>119</v>
      </c>
      <c r="I432" s="231"/>
      <c r="J432" s="231" t="s">
        <v>173</v>
      </c>
      <c r="K432" s="231" t="s">
        <v>174</v>
      </c>
      <c r="L432" s="231" t="s">
        <v>119</v>
      </c>
      <c r="M432" s="212"/>
      <c r="N432" s="212"/>
    </row>
    <row r="433" spans="1:14" ht="12.95">
      <c r="A433" s="234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12"/>
      <c r="N433" s="212"/>
    </row>
    <row r="434" spans="1:14">
      <c r="A434" s="213" t="str">
        <f>name!E$4</f>
        <v>Managers, directors and senior officials</v>
      </c>
      <c r="B434" s="278">
        <v>1.0744694389457576</v>
      </c>
      <c r="C434" s="278">
        <v>2.9401906745012094</v>
      </c>
      <c r="D434" s="278">
        <f>SUM(B434:C434)</f>
        <v>4.0146601134469666</v>
      </c>
      <c r="E434" s="279"/>
      <c r="F434" s="278">
        <v>0.99594666470399462</v>
      </c>
      <c r="G434" s="278">
        <v>4.2129379109210747</v>
      </c>
      <c r="H434" s="278">
        <f>SUM(F434:G434)</f>
        <v>5.2088845756250697</v>
      </c>
      <c r="I434" s="279"/>
      <c r="J434" s="278">
        <v>1.1226243817286716</v>
      </c>
      <c r="K434" s="278">
        <v>4.2552086634776565</v>
      </c>
      <c r="L434" s="278">
        <f>SUM(J434:K434)</f>
        <v>5.3778330452063283</v>
      </c>
      <c r="M434" s="212"/>
      <c r="N434" s="212"/>
    </row>
    <row r="435" spans="1:14">
      <c r="A435" s="213" t="str">
        <f>name!E$5</f>
        <v>Professional occupations</v>
      </c>
      <c r="B435" s="278">
        <v>1.9408216041369293</v>
      </c>
      <c r="C435" s="278">
        <v>4.070362579115967</v>
      </c>
      <c r="D435" s="278">
        <f t="shared" ref="D435:D442" si="166">SUM(B435:C435)</f>
        <v>6.0111841832528965</v>
      </c>
      <c r="E435" s="279"/>
      <c r="F435" s="278">
        <v>2.2215695681323786</v>
      </c>
      <c r="G435" s="278">
        <v>6.473910628045096</v>
      </c>
      <c r="H435" s="278">
        <f t="shared" ref="H435:H442" si="167">SUM(F435:G435)</f>
        <v>8.6954801961774741</v>
      </c>
      <c r="I435" s="279"/>
      <c r="J435" s="278">
        <v>3.4886413024303105</v>
      </c>
      <c r="K435" s="278">
        <v>8.8630747764903379</v>
      </c>
      <c r="L435" s="278">
        <f t="shared" ref="L435:L442" si="168">SUM(J435:K435)</f>
        <v>12.351716078920649</v>
      </c>
      <c r="M435" s="212"/>
      <c r="N435" s="212"/>
    </row>
    <row r="436" spans="1:14">
      <c r="A436" s="213" t="str">
        <f>name!E$6</f>
        <v>Associate professional occupations</v>
      </c>
      <c r="B436" s="278">
        <v>2.3687212383024381</v>
      </c>
      <c r="C436" s="278">
        <v>3.057363877184609</v>
      </c>
      <c r="D436" s="278">
        <f t="shared" si="166"/>
        <v>5.4260851154870471</v>
      </c>
      <c r="E436" s="279"/>
      <c r="F436" s="278">
        <v>2.3113912647138233</v>
      </c>
      <c r="G436" s="278">
        <v>4.4164765454030928</v>
      </c>
      <c r="H436" s="278">
        <f t="shared" si="167"/>
        <v>6.7278678101169156</v>
      </c>
      <c r="I436" s="279"/>
      <c r="J436" s="278">
        <v>2.8160442454182908</v>
      </c>
      <c r="K436" s="278">
        <v>4.6572369289132949</v>
      </c>
      <c r="L436" s="278">
        <f t="shared" si="168"/>
        <v>7.4732811743315857</v>
      </c>
      <c r="M436" s="212"/>
      <c r="N436" s="212"/>
    </row>
    <row r="437" spans="1:14">
      <c r="A437" s="213" t="str">
        <f>name!E$7</f>
        <v>Administrative and secretarial occupations</v>
      </c>
      <c r="B437" s="278">
        <v>2.6876235723222219</v>
      </c>
      <c r="C437" s="278">
        <v>0.80259767165585938</v>
      </c>
      <c r="D437" s="278">
        <f t="shared" si="166"/>
        <v>3.4902212439780813</v>
      </c>
      <c r="E437" s="279"/>
      <c r="F437" s="278">
        <v>2.1385469015498537</v>
      </c>
      <c r="G437" s="278">
        <v>1.1274456859566364</v>
      </c>
      <c r="H437" s="278">
        <f t="shared" si="167"/>
        <v>3.2659925875064904</v>
      </c>
      <c r="I437" s="279"/>
      <c r="J437" s="278">
        <v>2.1261277199870827</v>
      </c>
      <c r="K437" s="278">
        <v>1.5258524430773834</v>
      </c>
      <c r="L437" s="278">
        <f t="shared" si="168"/>
        <v>3.6519801630644659</v>
      </c>
      <c r="M437" s="212"/>
      <c r="N437" s="212"/>
    </row>
    <row r="438" spans="1:14">
      <c r="A438" s="213" t="str">
        <f>name!E$8</f>
        <v>Skilled trades occupations</v>
      </c>
      <c r="B438" s="278">
        <v>0.3800896675804506</v>
      </c>
      <c r="C438" s="278">
        <v>4.3292048679151884</v>
      </c>
      <c r="D438" s="278">
        <f t="shared" si="166"/>
        <v>4.7092945354956388</v>
      </c>
      <c r="E438" s="279"/>
      <c r="F438" s="278">
        <v>0.17857500073926008</v>
      </c>
      <c r="G438" s="278">
        <v>4.3314637122897235</v>
      </c>
      <c r="H438" s="278">
        <f t="shared" si="167"/>
        <v>4.5100387130289832</v>
      </c>
      <c r="I438" s="279"/>
      <c r="J438" s="278">
        <v>0.32569548334353726</v>
      </c>
      <c r="K438" s="278">
        <v>3.8049147169577799</v>
      </c>
      <c r="L438" s="278">
        <f t="shared" si="168"/>
        <v>4.1306102003013176</v>
      </c>
      <c r="M438" s="212"/>
      <c r="N438" s="212"/>
    </row>
    <row r="439" spans="1:14">
      <c r="A439" s="213" t="str">
        <f>name!E$9</f>
        <v>Caring, leisure and other service occupations</v>
      </c>
      <c r="B439" s="278">
        <v>0.60097739814979834</v>
      </c>
      <c r="C439" s="278">
        <v>7.2950551073439035E-2</v>
      </c>
      <c r="D439" s="278">
        <f t="shared" si="166"/>
        <v>0.6739279492232374</v>
      </c>
      <c r="E439" s="279"/>
      <c r="F439" s="278">
        <v>0.3721053180611345</v>
      </c>
      <c r="G439" s="278">
        <v>9.9902428327676152E-2</v>
      </c>
      <c r="H439" s="278">
        <f t="shared" si="167"/>
        <v>0.47200774638881066</v>
      </c>
      <c r="I439" s="279"/>
      <c r="J439" s="278">
        <v>0.40829820093312974</v>
      </c>
      <c r="K439" s="278">
        <v>0.12667843291059377</v>
      </c>
      <c r="L439" s="278">
        <f t="shared" si="168"/>
        <v>0.53497663384372351</v>
      </c>
      <c r="M439" s="212"/>
      <c r="N439" s="212"/>
    </row>
    <row r="440" spans="1:14">
      <c r="A440" s="213" t="str">
        <f>name!E$10</f>
        <v>Sales and customer service occupations</v>
      </c>
      <c r="B440" s="278">
        <v>1.5410199494209238</v>
      </c>
      <c r="C440" s="278">
        <v>0.73389252403062388</v>
      </c>
      <c r="D440" s="278">
        <f t="shared" si="166"/>
        <v>2.2749124734515478</v>
      </c>
      <c r="E440" s="279"/>
      <c r="F440" s="278">
        <v>1.2740991443264653</v>
      </c>
      <c r="G440" s="278">
        <v>1.0110900446147904</v>
      </c>
      <c r="H440" s="278">
        <f t="shared" si="167"/>
        <v>2.2851891889412554</v>
      </c>
      <c r="I440" s="279"/>
      <c r="J440" s="278">
        <v>1.4265812769648329</v>
      </c>
      <c r="K440" s="278">
        <v>1.2774941213881543</v>
      </c>
      <c r="L440" s="278">
        <f t="shared" si="168"/>
        <v>2.7040753983529875</v>
      </c>
      <c r="M440" s="212"/>
      <c r="N440" s="212"/>
    </row>
    <row r="441" spans="1:14">
      <c r="A441" s="213" t="str">
        <f>name!E$11</f>
        <v>Process, plant and machine operatives</v>
      </c>
      <c r="B441" s="278">
        <v>0.15419291946008173</v>
      </c>
      <c r="C441" s="278">
        <v>3.8449075980719805</v>
      </c>
      <c r="D441" s="278">
        <f t="shared" si="166"/>
        <v>3.999100517532062</v>
      </c>
      <c r="E441" s="279"/>
      <c r="F441" s="278">
        <v>8.2964182374550138E-2</v>
      </c>
      <c r="G441" s="278">
        <v>3.9960742312152409</v>
      </c>
      <c r="H441" s="278">
        <f t="shared" si="167"/>
        <v>4.0790384135897906</v>
      </c>
      <c r="I441" s="279"/>
      <c r="J441" s="278">
        <v>8.0998572900842447E-2</v>
      </c>
      <c r="K441" s="278">
        <v>3.8123696600476813</v>
      </c>
      <c r="L441" s="278">
        <f t="shared" si="168"/>
        <v>3.8933682329485237</v>
      </c>
      <c r="M441" s="212"/>
      <c r="N441" s="212"/>
    </row>
    <row r="442" spans="1:14">
      <c r="A442" s="213" t="str">
        <f>name!E$12</f>
        <v>Elementary occupations</v>
      </c>
      <c r="B442" s="278">
        <v>0.55108421164033183</v>
      </c>
      <c r="C442" s="278">
        <v>0.81452965634225172</v>
      </c>
      <c r="D442" s="278">
        <f t="shared" si="166"/>
        <v>1.3656138679825836</v>
      </c>
      <c r="E442" s="279"/>
      <c r="F442" s="278">
        <v>0.30280195535040688</v>
      </c>
      <c r="G442" s="278">
        <v>0.93469881311053604</v>
      </c>
      <c r="H442" s="278">
        <f t="shared" si="167"/>
        <v>1.2375007684609429</v>
      </c>
      <c r="I442" s="279"/>
      <c r="J442" s="278">
        <v>0.31298881663035805</v>
      </c>
      <c r="K442" s="278">
        <v>0.98617025668916158</v>
      </c>
      <c r="L442" s="278">
        <f t="shared" si="168"/>
        <v>1.2991590733195197</v>
      </c>
      <c r="M442" s="212"/>
      <c r="N442" s="212"/>
    </row>
    <row r="443" spans="1:14">
      <c r="A443" s="213"/>
      <c r="B443" s="278"/>
      <c r="C443" s="278"/>
      <c r="D443" s="278"/>
      <c r="E443" s="279"/>
      <c r="F443" s="278"/>
      <c r="G443" s="278"/>
      <c r="H443" s="278"/>
      <c r="I443" s="279"/>
      <c r="J443" s="278"/>
      <c r="K443" s="278"/>
      <c r="L443" s="278"/>
      <c r="M443" s="212"/>
      <c r="N443" s="212"/>
    </row>
    <row r="444" spans="1:14">
      <c r="A444" s="220" t="s">
        <v>119</v>
      </c>
      <c r="B444" s="282">
        <f>SUM(B434:B442)</f>
        <v>11.298999999958934</v>
      </c>
      <c r="C444" s="282">
        <f t="shared" ref="C444:D444" si="169">SUM(C434:C442)</f>
        <v>20.665999999891127</v>
      </c>
      <c r="D444" s="282">
        <f t="shared" si="169"/>
        <v>31.964999999850061</v>
      </c>
      <c r="E444" s="282"/>
      <c r="F444" s="282">
        <f t="shared" ref="F444:H444" si="170">SUM(F434:F442)</f>
        <v>9.8779999999518662</v>
      </c>
      <c r="G444" s="282">
        <f t="shared" si="170"/>
        <v>26.603999999883868</v>
      </c>
      <c r="H444" s="282">
        <f t="shared" si="170"/>
        <v>36.481999999835729</v>
      </c>
      <c r="I444" s="282"/>
      <c r="J444" s="282">
        <f t="shared" ref="J444:L444" si="171">SUM(J434:J442)</f>
        <v>12.108000000337057</v>
      </c>
      <c r="K444" s="282">
        <f t="shared" si="171"/>
        <v>29.308999999952043</v>
      </c>
      <c r="L444" s="282">
        <f t="shared" si="171"/>
        <v>41.417000000289107</v>
      </c>
      <c r="M444" s="212"/>
      <c r="N444" s="212"/>
    </row>
    <row r="445" spans="1:14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6"/>
      <c r="M445" s="212"/>
      <c r="N445" s="212"/>
    </row>
    <row r="446" spans="1:14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32" t="s">
        <v>114</v>
      </c>
      <c r="M446" s="212"/>
      <c r="N446" s="212"/>
    </row>
    <row r="447" spans="1:14" ht="12.95">
      <c r="A447" s="218"/>
      <c r="B447" s="226"/>
      <c r="C447" s="226"/>
      <c r="D447" s="226"/>
      <c r="E447" s="226"/>
      <c r="F447" s="226"/>
      <c r="G447" s="226"/>
      <c r="H447" s="226"/>
      <c r="I447" s="226"/>
      <c r="J447" s="226"/>
      <c r="K447" s="226"/>
      <c r="L447" s="212"/>
      <c r="M447" s="212"/>
      <c r="N447" s="212"/>
    </row>
    <row r="448" spans="1:14" ht="12.95">
      <c r="A448" s="217" t="str">
        <f>name!A29</f>
        <v>Sewerage</v>
      </c>
      <c r="B448" s="367">
        <f>B$6</f>
        <v>2015</v>
      </c>
      <c r="C448" s="367"/>
      <c r="D448" s="367"/>
      <c r="E448" s="229"/>
      <c r="F448" s="367">
        <f>F431</f>
        <v>2020</v>
      </c>
      <c r="G448" s="367"/>
      <c r="H448" s="367"/>
      <c r="I448" s="229"/>
      <c r="J448" s="367">
        <f>J431</f>
        <v>2035</v>
      </c>
      <c r="K448" s="367"/>
      <c r="L448" s="367"/>
      <c r="M448" s="212"/>
      <c r="N448" s="212"/>
    </row>
    <row r="449" spans="1:14" ht="12.95">
      <c r="A449" s="230"/>
      <c r="B449" s="231" t="s">
        <v>173</v>
      </c>
      <c r="C449" s="231" t="s">
        <v>174</v>
      </c>
      <c r="D449" s="231" t="s">
        <v>119</v>
      </c>
      <c r="E449" s="231"/>
      <c r="F449" s="231" t="s">
        <v>173</v>
      </c>
      <c r="G449" s="231" t="s">
        <v>174</v>
      </c>
      <c r="H449" s="231" t="s">
        <v>119</v>
      </c>
      <c r="I449" s="231"/>
      <c r="J449" s="231" t="s">
        <v>173</v>
      </c>
      <c r="K449" s="231" t="s">
        <v>174</v>
      </c>
      <c r="L449" s="231" t="s">
        <v>119</v>
      </c>
      <c r="M449" s="212"/>
      <c r="N449" s="212"/>
    </row>
    <row r="450" spans="1:14" ht="12.95">
      <c r="A450" s="234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12"/>
      <c r="N450" s="212"/>
    </row>
    <row r="451" spans="1:14">
      <c r="A451" s="213" t="str">
        <f>name!E$4</f>
        <v>Managers, directors and senior officials</v>
      </c>
      <c r="B451" s="278">
        <v>0.40056339981596623</v>
      </c>
      <c r="C451" s="278">
        <v>1.7695999783036922</v>
      </c>
      <c r="D451" s="278">
        <f>SUM(B451:C451)</f>
        <v>2.1701633781196583</v>
      </c>
      <c r="E451" s="279"/>
      <c r="F451" s="278">
        <v>0.4009428960984302</v>
      </c>
      <c r="G451" s="278">
        <v>1.5738181687905826</v>
      </c>
      <c r="H451" s="278">
        <f>SUM(F451:G451)</f>
        <v>1.9747610648890128</v>
      </c>
      <c r="I451" s="279"/>
      <c r="J451" s="278">
        <v>0.45459345200365997</v>
      </c>
      <c r="K451" s="278">
        <v>1.5953892803904532</v>
      </c>
      <c r="L451" s="278">
        <f>SUM(J451:K451)</f>
        <v>2.0499827323941133</v>
      </c>
      <c r="M451" s="212"/>
      <c r="N451" s="212"/>
    </row>
    <row r="452" spans="1:14">
      <c r="A452" s="213" t="str">
        <f>name!E$5</f>
        <v>Professional occupations</v>
      </c>
      <c r="B452" s="278">
        <v>0.59076300356606093</v>
      </c>
      <c r="C452" s="278">
        <v>1.6262556831660711</v>
      </c>
      <c r="D452" s="278">
        <f t="shared" ref="D452:D459" si="172">SUM(B452:C452)</f>
        <v>2.217018686732132</v>
      </c>
      <c r="E452" s="279"/>
      <c r="F452" s="278">
        <v>0.67564855641284882</v>
      </c>
      <c r="G452" s="278">
        <v>1.5836734183022483</v>
      </c>
      <c r="H452" s="278">
        <f t="shared" ref="H452:H459" si="173">SUM(F452:G452)</f>
        <v>2.259321974715097</v>
      </c>
      <c r="I452" s="279"/>
      <c r="J452" s="278">
        <v>0.9672624740081055</v>
      </c>
      <c r="K452" s="278">
        <v>1.9852051542702978</v>
      </c>
      <c r="L452" s="278">
        <f t="shared" ref="L452:L459" si="174">SUM(J452:K452)</f>
        <v>2.952467628278403</v>
      </c>
      <c r="M452" s="212"/>
      <c r="N452" s="212"/>
    </row>
    <row r="453" spans="1:14">
      <c r="A453" s="213" t="str">
        <f>name!E$6</f>
        <v>Associate professional occupations</v>
      </c>
      <c r="B453" s="278">
        <v>1.4463417320070082</v>
      </c>
      <c r="C453" s="278">
        <v>1.463168981637295</v>
      </c>
      <c r="D453" s="278">
        <f t="shared" si="172"/>
        <v>2.9095107136443032</v>
      </c>
      <c r="E453" s="279"/>
      <c r="F453" s="278">
        <v>1.6838047469819071</v>
      </c>
      <c r="G453" s="278">
        <v>1.2959778902708134</v>
      </c>
      <c r="H453" s="278">
        <f t="shared" si="173"/>
        <v>2.9797826372527205</v>
      </c>
      <c r="I453" s="279"/>
      <c r="J453" s="278">
        <v>2.3477855735003197</v>
      </c>
      <c r="K453" s="278">
        <v>1.3268832777317119</v>
      </c>
      <c r="L453" s="278">
        <f t="shared" si="174"/>
        <v>3.6746688512320316</v>
      </c>
      <c r="M453" s="212"/>
      <c r="N453" s="212"/>
    </row>
    <row r="454" spans="1:14">
      <c r="A454" s="213" t="str">
        <f>name!E$7</f>
        <v>Administrative and secretarial occupations</v>
      </c>
      <c r="B454" s="278">
        <v>1.4542865815116286</v>
      </c>
      <c r="C454" s="278">
        <v>0.37005999103029696</v>
      </c>
      <c r="D454" s="278">
        <f t="shared" si="172"/>
        <v>1.8243465725419257</v>
      </c>
      <c r="E454" s="279"/>
      <c r="F454" s="278">
        <v>1.5093840094871207</v>
      </c>
      <c r="G454" s="278">
        <v>0.3755402036852315</v>
      </c>
      <c r="H454" s="278">
        <f t="shared" si="173"/>
        <v>1.8849242131723523</v>
      </c>
      <c r="I454" s="279"/>
      <c r="J454" s="278">
        <v>1.3231673147463665</v>
      </c>
      <c r="K454" s="278">
        <v>0.43672629246099087</v>
      </c>
      <c r="L454" s="278">
        <f t="shared" si="174"/>
        <v>1.7598936072073574</v>
      </c>
      <c r="M454" s="212"/>
      <c r="N454" s="212"/>
    </row>
    <row r="455" spans="1:14">
      <c r="A455" s="213" t="str">
        <f>name!E$8</f>
        <v>Skilled trades occupations</v>
      </c>
      <c r="B455" s="278">
        <v>0.17017776875924595</v>
      </c>
      <c r="C455" s="278">
        <v>1.3485043917546196</v>
      </c>
      <c r="D455" s="278">
        <f t="shared" si="172"/>
        <v>1.5186821605138654</v>
      </c>
      <c r="E455" s="279"/>
      <c r="F455" s="278">
        <v>8.7451929897826144E-2</v>
      </c>
      <c r="G455" s="278">
        <v>0.70328898623360536</v>
      </c>
      <c r="H455" s="278">
        <f t="shared" si="173"/>
        <v>0.79074091613143149</v>
      </c>
      <c r="I455" s="279"/>
      <c r="J455" s="278">
        <v>0.16202658625575925</v>
      </c>
      <c r="K455" s="278">
        <v>0.64328573948611323</v>
      </c>
      <c r="L455" s="278">
        <f t="shared" si="174"/>
        <v>0.8053123257418725</v>
      </c>
      <c r="M455" s="212"/>
      <c r="N455" s="212"/>
    </row>
    <row r="456" spans="1:14">
      <c r="A456" s="213" t="str">
        <f>name!E$9</f>
        <v>Caring, leisure and other service occupations</v>
      </c>
      <c r="B456" s="278">
        <v>0.39992336456233091</v>
      </c>
      <c r="C456" s="278">
        <v>0.30358707903017745</v>
      </c>
      <c r="D456" s="278">
        <f t="shared" si="172"/>
        <v>0.70351044359250836</v>
      </c>
      <c r="E456" s="279"/>
      <c r="F456" s="278">
        <v>0.41375529148944279</v>
      </c>
      <c r="G456" s="278">
        <v>0.30945362644417701</v>
      </c>
      <c r="H456" s="278">
        <f t="shared" si="173"/>
        <v>0.72320891793361985</v>
      </c>
      <c r="I456" s="279"/>
      <c r="J456" s="278">
        <v>0.59480222395462057</v>
      </c>
      <c r="K456" s="278">
        <v>0.39089424321213789</v>
      </c>
      <c r="L456" s="278">
        <f t="shared" si="174"/>
        <v>0.98569646716675852</v>
      </c>
      <c r="M456" s="212"/>
      <c r="N456" s="212"/>
    </row>
    <row r="457" spans="1:14">
      <c r="A457" s="213" t="str">
        <f>name!E$10</f>
        <v>Sales and customer service occupations</v>
      </c>
      <c r="B457" s="278">
        <v>0.26243829524033452</v>
      </c>
      <c r="C457" s="278">
        <v>0.3439766450721371</v>
      </c>
      <c r="D457" s="278">
        <f t="shared" si="172"/>
        <v>0.60641494031247167</v>
      </c>
      <c r="E457" s="279"/>
      <c r="F457" s="278">
        <v>0.28871916870220105</v>
      </c>
      <c r="G457" s="278">
        <v>0.29375332891689221</v>
      </c>
      <c r="H457" s="278">
        <f t="shared" si="173"/>
        <v>0.58247249761909325</v>
      </c>
      <c r="I457" s="279"/>
      <c r="J457" s="278">
        <v>0.37999105434117186</v>
      </c>
      <c r="K457" s="278">
        <v>0.35327208462521842</v>
      </c>
      <c r="L457" s="278">
        <f t="shared" si="174"/>
        <v>0.73326313896639028</v>
      </c>
      <c r="M457" s="212"/>
      <c r="N457" s="212"/>
    </row>
    <row r="458" spans="1:14">
      <c r="A458" s="213" t="str">
        <f>name!E$11</f>
        <v>Process, plant and machine operatives</v>
      </c>
      <c r="B458" s="278">
        <v>0.17080797024387742</v>
      </c>
      <c r="C458" s="278">
        <v>4.3955397289849145</v>
      </c>
      <c r="D458" s="278">
        <f t="shared" si="172"/>
        <v>4.5663476992287917</v>
      </c>
      <c r="E458" s="279"/>
      <c r="F458" s="278">
        <v>0.14053497120816963</v>
      </c>
      <c r="G458" s="278">
        <v>3.5361738763645958</v>
      </c>
      <c r="H458" s="278">
        <f t="shared" si="173"/>
        <v>3.6767088475727654</v>
      </c>
      <c r="I458" s="279"/>
      <c r="J458" s="278">
        <v>0.16910761638868116</v>
      </c>
      <c r="K458" s="278">
        <v>3.9757030302276917</v>
      </c>
      <c r="L458" s="278">
        <f t="shared" si="174"/>
        <v>4.1448106466163726</v>
      </c>
      <c r="M458" s="212"/>
      <c r="N458" s="212"/>
    </row>
    <row r="459" spans="1:14">
      <c r="A459" s="213" t="str">
        <f>name!E$12</f>
        <v>Elementary occupations</v>
      </c>
      <c r="B459" s="278">
        <v>0.70669788428000679</v>
      </c>
      <c r="C459" s="278">
        <v>4.6923075211199734</v>
      </c>
      <c r="D459" s="278">
        <f t="shared" si="172"/>
        <v>5.3990054053999801</v>
      </c>
      <c r="E459" s="279"/>
      <c r="F459" s="278">
        <v>0.48475842970158767</v>
      </c>
      <c r="G459" s="278">
        <v>4.1143205010517061</v>
      </c>
      <c r="H459" s="278">
        <f t="shared" si="173"/>
        <v>4.5990789307532935</v>
      </c>
      <c r="I459" s="279"/>
      <c r="J459" s="278">
        <v>0.49426370494152211</v>
      </c>
      <c r="K459" s="278">
        <v>4.6256408977190127</v>
      </c>
      <c r="L459" s="278">
        <f t="shared" si="174"/>
        <v>5.1199046026605348</v>
      </c>
      <c r="M459" s="212"/>
      <c r="N459" s="212"/>
    </row>
    <row r="460" spans="1:14">
      <c r="A460" s="213"/>
      <c r="B460" s="278"/>
      <c r="C460" s="278"/>
      <c r="D460" s="278"/>
      <c r="E460" s="279"/>
      <c r="F460" s="278"/>
      <c r="G460" s="278"/>
      <c r="H460" s="278"/>
      <c r="I460" s="279"/>
      <c r="J460" s="278"/>
      <c r="K460" s="278"/>
      <c r="L460" s="278"/>
      <c r="M460" s="212"/>
      <c r="N460" s="212"/>
    </row>
    <row r="461" spans="1:14">
      <c r="A461" s="220" t="s">
        <v>119</v>
      </c>
      <c r="B461" s="282">
        <f>SUM(B451:B459)</f>
        <v>5.60199999998646</v>
      </c>
      <c r="C461" s="282">
        <f t="shared" ref="C461:D461" si="175">SUM(C451:C459)</f>
        <v>16.31300000009918</v>
      </c>
      <c r="D461" s="282">
        <f t="shared" si="175"/>
        <v>21.915000000085637</v>
      </c>
      <c r="E461" s="282"/>
      <c r="F461" s="282">
        <f t="shared" ref="F461:H461" si="176">SUM(F451:F459)</f>
        <v>5.6849999999795333</v>
      </c>
      <c r="G461" s="282">
        <f t="shared" si="176"/>
        <v>13.786000000059852</v>
      </c>
      <c r="H461" s="282">
        <f t="shared" si="176"/>
        <v>19.471000000039389</v>
      </c>
      <c r="I461" s="282"/>
      <c r="J461" s="282">
        <f t="shared" ref="J461:L461" si="177">SUM(J451:J459)</f>
        <v>6.8930000001402068</v>
      </c>
      <c r="K461" s="282">
        <f t="shared" si="177"/>
        <v>15.333000000123628</v>
      </c>
      <c r="L461" s="282">
        <f t="shared" si="177"/>
        <v>22.226000000263831</v>
      </c>
      <c r="M461" s="212"/>
      <c r="N461" s="212"/>
    </row>
    <row r="462" spans="1:14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6"/>
      <c r="M462" s="212"/>
      <c r="N462" s="212"/>
    </row>
    <row r="463" spans="1:14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32" t="s">
        <v>114</v>
      </c>
      <c r="M463" s="212"/>
      <c r="N463" s="212"/>
    </row>
    <row r="464" spans="1:14" ht="12.95">
      <c r="A464" s="218"/>
      <c r="B464" s="226"/>
      <c r="C464" s="226"/>
      <c r="D464" s="226"/>
      <c r="E464" s="226"/>
      <c r="F464" s="226"/>
      <c r="G464" s="226"/>
      <c r="H464" s="226"/>
      <c r="I464" s="226"/>
      <c r="J464" s="226"/>
      <c r="K464" s="226"/>
      <c r="L464" s="212"/>
      <c r="M464" s="212"/>
      <c r="N464" s="212"/>
    </row>
    <row r="465" spans="1:14" ht="12.95">
      <c r="A465" s="217" t="str">
        <f>name!A30</f>
        <v>Waste management</v>
      </c>
      <c r="B465" s="367">
        <f>B$6</f>
        <v>2015</v>
      </c>
      <c r="C465" s="367"/>
      <c r="D465" s="367"/>
      <c r="E465" s="229"/>
      <c r="F465" s="367">
        <f>F448</f>
        <v>2020</v>
      </c>
      <c r="G465" s="367"/>
      <c r="H465" s="367"/>
      <c r="I465" s="229"/>
      <c r="J465" s="367">
        <f>J448</f>
        <v>2035</v>
      </c>
      <c r="K465" s="367"/>
      <c r="L465" s="367"/>
      <c r="M465" s="212"/>
      <c r="N465" s="212"/>
    </row>
    <row r="466" spans="1:14" ht="12.95">
      <c r="A466" s="230"/>
      <c r="B466" s="231" t="s">
        <v>173</v>
      </c>
      <c r="C466" s="231" t="s">
        <v>174</v>
      </c>
      <c r="D466" s="231" t="s">
        <v>119</v>
      </c>
      <c r="E466" s="231"/>
      <c r="F466" s="231" t="s">
        <v>173</v>
      </c>
      <c r="G466" s="231" t="s">
        <v>174</v>
      </c>
      <c r="H466" s="231" t="s">
        <v>119</v>
      </c>
      <c r="I466" s="231"/>
      <c r="J466" s="231" t="s">
        <v>173</v>
      </c>
      <c r="K466" s="231" t="s">
        <v>174</v>
      </c>
      <c r="L466" s="231" t="s">
        <v>119</v>
      </c>
      <c r="M466" s="212"/>
      <c r="N466" s="212"/>
    </row>
    <row r="467" spans="1:14" ht="12.95">
      <c r="A467" s="234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12"/>
      <c r="N467" s="212"/>
    </row>
    <row r="468" spans="1:14">
      <c r="A468" s="213" t="str">
        <f>name!E$4</f>
        <v>Managers, directors and senior officials</v>
      </c>
      <c r="B468" s="278">
        <v>1.999807829288988</v>
      </c>
      <c r="C468" s="278">
        <v>9.702464648480742</v>
      </c>
      <c r="D468" s="278">
        <f>SUM(B468:C468)</f>
        <v>11.70227247776973</v>
      </c>
      <c r="E468" s="279"/>
      <c r="F468" s="278">
        <v>2.229911531400615</v>
      </c>
      <c r="G468" s="278">
        <v>12.386789696555402</v>
      </c>
      <c r="H468" s="278">
        <f>SUM(F468:G468)</f>
        <v>14.616701227956018</v>
      </c>
      <c r="I468" s="279"/>
      <c r="J468" s="278">
        <v>2.6724576255356434</v>
      </c>
      <c r="K468" s="278">
        <v>13.598136761515514</v>
      </c>
      <c r="L468" s="278">
        <f>SUM(J468:K468)</f>
        <v>16.270594387051158</v>
      </c>
      <c r="M468" s="212"/>
      <c r="N468" s="212"/>
    </row>
    <row r="469" spans="1:14">
      <c r="A469" s="213" t="str">
        <f>name!E$5</f>
        <v>Professional occupations</v>
      </c>
      <c r="B469" s="278">
        <v>3.2581699428312287</v>
      </c>
      <c r="C469" s="278">
        <v>6.4871822221015556</v>
      </c>
      <c r="D469" s="278">
        <f t="shared" ref="D469:D476" si="178">SUM(B469:C469)</f>
        <v>9.7453521649327843</v>
      </c>
      <c r="E469" s="279"/>
      <c r="F469" s="278">
        <v>3.9875325749724726</v>
      </c>
      <c r="G469" s="278">
        <v>8.6818907754084531</v>
      </c>
      <c r="H469" s="278">
        <f t="shared" ref="H469:H476" si="179">SUM(F469:G469)</f>
        <v>12.669423350380926</v>
      </c>
      <c r="I469" s="279"/>
      <c r="J469" s="278">
        <v>5.5723179572887496</v>
      </c>
      <c r="K469" s="278">
        <v>10.596299173325624</v>
      </c>
      <c r="L469" s="278">
        <f t="shared" ref="L469:L476" si="180">SUM(J469:K469)</f>
        <v>16.168617130614372</v>
      </c>
      <c r="M469" s="212"/>
      <c r="N469" s="212"/>
    </row>
    <row r="470" spans="1:14">
      <c r="A470" s="213" t="str">
        <f>name!E$6</f>
        <v>Associate professional occupations</v>
      </c>
      <c r="B470" s="278">
        <v>5.3294077922234946</v>
      </c>
      <c r="C470" s="278">
        <v>6.2331078538289386</v>
      </c>
      <c r="D470" s="278">
        <f t="shared" si="178"/>
        <v>11.562515646052432</v>
      </c>
      <c r="E470" s="279"/>
      <c r="F470" s="278">
        <v>5.897163260333893</v>
      </c>
      <c r="G470" s="278">
        <v>7.5587592202036813</v>
      </c>
      <c r="H470" s="278">
        <f t="shared" si="179"/>
        <v>13.455922480537573</v>
      </c>
      <c r="I470" s="279"/>
      <c r="J470" s="278">
        <v>7.8726135129626345</v>
      </c>
      <c r="K470" s="278">
        <v>7.689973021230224</v>
      </c>
      <c r="L470" s="278">
        <f t="shared" si="180"/>
        <v>15.562586534192858</v>
      </c>
      <c r="M470" s="212"/>
      <c r="N470" s="212"/>
    </row>
    <row r="471" spans="1:14">
      <c r="A471" s="213" t="str">
        <f>name!E$7</f>
        <v>Administrative and secretarial occupations</v>
      </c>
      <c r="B471" s="278">
        <v>6.3302718898500432</v>
      </c>
      <c r="C471" s="278">
        <v>2.5113950638885156</v>
      </c>
      <c r="D471" s="278">
        <f t="shared" si="178"/>
        <v>8.8416669537385584</v>
      </c>
      <c r="E471" s="279"/>
      <c r="F471" s="278">
        <v>5.6832263205085516</v>
      </c>
      <c r="G471" s="278">
        <v>3.6505654014426656</v>
      </c>
      <c r="H471" s="278">
        <f t="shared" si="179"/>
        <v>9.3337917219512168</v>
      </c>
      <c r="I471" s="279"/>
      <c r="J471" s="278">
        <v>5.2135245380163182</v>
      </c>
      <c r="K471" s="278">
        <v>4.565944767309964</v>
      </c>
      <c r="L471" s="278">
        <f t="shared" si="180"/>
        <v>9.7794693053262822</v>
      </c>
      <c r="M471" s="212"/>
      <c r="N471" s="212"/>
    </row>
    <row r="472" spans="1:14">
      <c r="A472" s="213" t="str">
        <f>name!E$8</f>
        <v>Skilled trades occupations</v>
      </c>
      <c r="B472" s="278">
        <v>1.3101895174257792</v>
      </c>
      <c r="C472" s="278">
        <v>8.9980691970934856</v>
      </c>
      <c r="D472" s="278">
        <f t="shared" si="178"/>
        <v>10.308258714519265</v>
      </c>
      <c r="E472" s="279"/>
      <c r="F472" s="278">
        <v>1.2028736242479419</v>
      </c>
      <c r="G472" s="278">
        <v>8.8637153503783512</v>
      </c>
      <c r="H472" s="278">
        <f t="shared" si="179"/>
        <v>10.066588974626294</v>
      </c>
      <c r="I472" s="279"/>
      <c r="J472" s="278">
        <v>1.801684831057331</v>
      </c>
      <c r="K472" s="278">
        <v>9.1507869149635344</v>
      </c>
      <c r="L472" s="278">
        <f t="shared" si="180"/>
        <v>10.952471746020866</v>
      </c>
      <c r="M472" s="212"/>
      <c r="N472" s="212"/>
    </row>
    <row r="473" spans="1:14">
      <c r="A473" s="213" t="str">
        <f>name!E$9</f>
        <v>Caring, leisure and other service occupations</v>
      </c>
      <c r="B473" s="278">
        <v>1.5270565598357899</v>
      </c>
      <c r="C473" s="278">
        <v>1.281730739009191</v>
      </c>
      <c r="D473" s="278">
        <f t="shared" si="178"/>
        <v>2.8087872988449809</v>
      </c>
      <c r="E473" s="279"/>
      <c r="F473" s="278">
        <v>1.3864776149117586</v>
      </c>
      <c r="G473" s="278">
        <v>1.588960844005374</v>
      </c>
      <c r="H473" s="278">
        <f t="shared" si="179"/>
        <v>2.9754384589171323</v>
      </c>
      <c r="I473" s="279"/>
      <c r="J473" s="278">
        <v>1.7190131035268379</v>
      </c>
      <c r="K473" s="278">
        <v>1.9860879322818874</v>
      </c>
      <c r="L473" s="278">
        <f t="shared" si="180"/>
        <v>3.7051010358087253</v>
      </c>
      <c r="M473" s="212"/>
      <c r="N473" s="212"/>
    </row>
    <row r="474" spans="1:14">
      <c r="A474" s="213" t="str">
        <f>name!E$10</f>
        <v>Sales and customer service occupations</v>
      </c>
      <c r="B474" s="278">
        <v>1.2769621694895414</v>
      </c>
      <c r="C474" s="278">
        <v>1.9116402328086786</v>
      </c>
      <c r="D474" s="278">
        <f t="shared" si="178"/>
        <v>3.18860240229822</v>
      </c>
      <c r="E474" s="279"/>
      <c r="F474" s="278">
        <v>1.1700752310648734</v>
      </c>
      <c r="G474" s="278">
        <v>2.5183098903490331</v>
      </c>
      <c r="H474" s="278">
        <f t="shared" si="179"/>
        <v>3.6883851214139067</v>
      </c>
      <c r="I474" s="279"/>
      <c r="J474" s="278">
        <v>1.2417447036051059</v>
      </c>
      <c r="K474" s="278">
        <v>3.142303814281401</v>
      </c>
      <c r="L474" s="278">
        <f t="shared" si="180"/>
        <v>4.384048517886507</v>
      </c>
      <c r="M474" s="212"/>
      <c r="N474" s="212"/>
    </row>
    <row r="475" spans="1:14">
      <c r="A475" s="213" t="str">
        <f>name!E$11</f>
        <v>Process, plant and machine operatives</v>
      </c>
      <c r="B475" s="278">
        <v>1.7465410876833096</v>
      </c>
      <c r="C475" s="278">
        <v>26.502622932729501</v>
      </c>
      <c r="D475" s="278">
        <f t="shared" si="178"/>
        <v>28.24916402041281</v>
      </c>
      <c r="E475" s="279"/>
      <c r="F475" s="278">
        <v>1.3551510424622013</v>
      </c>
      <c r="G475" s="278">
        <v>26.173965811376036</v>
      </c>
      <c r="H475" s="278">
        <f t="shared" si="179"/>
        <v>27.529116853838236</v>
      </c>
      <c r="I475" s="279"/>
      <c r="J475" s="278">
        <v>1.392254811654084</v>
      </c>
      <c r="K475" s="278">
        <v>29.702093810554949</v>
      </c>
      <c r="L475" s="278">
        <f t="shared" si="180"/>
        <v>31.094348622209033</v>
      </c>
      <c r="M475" s="212"/>
      <c r="N475" s="212"/>
    </row>
    <row r="476" spans="1:14">
      <c r="A476" s="213" t="str">
        <f>name!E$12</f>
        <v>Elementary occupations</v>
      </c>
      <c r="B476" s="278">
        <v>2.7865932112876042</v>
      </c>
      <c r="C476" s="278">
        <v>20.277787110320261</v>
      </c>
      <c r="D476" s="278">
        <f t="shared" si="178"/>
        <v>23.064380321607864</v>
      </c>
      <c r="E476" s="279"/>
      <c r="F476" s="278">
        <v>2.038588800003136</v>
      </c>
      <c r="G476" s="278">
        <v>19.286043010320892</v>
      </c>
      <c r="H476" s="278">
        <f t="shared" si="179"/>
        <v>21.324631810324028</v>
      </c>
      <c r="I476" s="279"/>
      <c r="J476" s="278">
        <v>3.139388916955494</v>
      </c>
      <c r="K476" s="278">
        <v>19.744373804809751</v>
      </c>
      <c r="L476" s="278">
        <f t="shared" si="180"/>
        <v>22.883762721765244</v>
      </c>
      <c r="M476" s="212"/>
      <c r="N476" s="212"/>
    </row>
    <row r="477" spans="1:14">
      <c r="A477" s="213"/>
      <c r="B477" s="278"/>
      <c r="C477" s="278"/>
      <c r="D477" s="278"/>
      <c r="E477" s="279"/>
      <c r="F477" s="278"/>
      <c r="G477" s="278"/>
      <c r="H477" s="278"/>
      <c r="I477" s="279"/>
      <c r="J477" s="278"/>
      <c r="K477" s="278"/>
      <c r="L477" s="278"/>
      <c r="M477" s="212"/>
      <c r="N477" s="212"/>
    </row>
    <row r="478" spans="1:14">
      <c r="A478" s="220" t="s">
        <v>119</v>
      </c>
      <c r="B478" s="282">
        <f>SUM(B468:B476)</f>
        <v>25.564999999915777</v>
      </c>
      <c r="C478" s="282">
        <f t="shared" ref="C478:D478" si="181">SUM(C468:C476)</f>
        <v>83.90600000026086</v>
      </c>
      <c r="D478" s="282">
        <f t="shared" si="181"/>
        <v>109.47100000017664</v>
      </c>
      <c r="E478" s="282"/>
      <c r="F478" s="282">
        <f t="shared" ref="F478:H478" si="182">SUM(F468:F476)</f>
        <v>24.950999999905445</v>
      </c>
      <c r="G478" s="282">
        <f t="shared" si="182"/>
        <v>90.709000000039879</v>
      </c>
      <c r="H478" s="282">
        <f t="shared" si="182"/>
        <v>115.65999999994531</v>
      </c>
      <c r="I478" s="282"/>
      <c r="J478" s="282">
        <f t="shared" ref="J478:L478" si="183">SUM(J468:J476)</f>
        <v>30.625000000602196</v>
      </c>
      <c r="K478" s="282">
        <f t="shared" si="183"/>
        <v>100.17600000027285</v>
      </c>
      <c r="L478" s="282">
        <f t="shared" si="183"/>
        <v>130.80100000087504</v>
      </c>
      <c r="M478" s="212"/>
      <c r="N478" s="212"/>
    </row>
    <row r="479" spans="1:14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6"/>
      <c r="M479" s="212"/>
      <c r="N479" s="212"/>
    </row>
    <row r="480" spans="1:14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32" t="s">
        <v>114</v>
      </c>
      <c r="M480" s="212"/>
      <c r="N480" s="212"/>
    </row>
    <row r="481" spans="1:14" ht="12.95">
      <c r="A481" s="218"/>
      <c r="B481" s="226"/>
      <c r="C481" s="226"/>
      <c r="D481" s="226"/>
      <c r="E481" s="226"/>
      <c r="F481" s="226"/>
      <c r="G481" s="226"/>
      <c r="H481" s="226"/>
      <c r="I481" s="226"/>
      <c r="J481" s="226"/>
      <c r="K481" s="226"/>
      <c r="L481" s="212"/>
      <c r="M481" s="212"/>
      <c r="N481" s="212"/>
    </row>
    <row r="482" spans="1:14" ht="12.95">
      <c r="A482" s="217" t="str">
        <f>name!A31</f>
        <v>Construction</v>
      </c>
      <c r="B482" s="367">
        <f>B$6</f>
        <v>2015</v>
      </c>
      <c r="C482" s="367"/>
      <c r="D482" s="367"/>
      <c r="E482" s="229"/>
      <c r="F482" s="367">
        <f>F465</f>
        <v>2020</v>
      </c>
      <c r="G482" s="367"/>
      <c r="H482" s="367"/>
      <c r="I482" s="229"/>
      <c r="J482" s="367">
        <f>J465</f>
        <v>2035</v>
      </c>
      <c r="K482" s="367"/>
      <c r="L482" s="367"/>
      <c r="M482" s="212"/>
      <c r="N482" s="212"/>
    </row>
    <row r="483" spans="1:14" ht="12.95">
      <c r="A483" s="230"/>
      <c r="B483" s="231" t="s">
        <v>173</v>
      </c>
      <c r="C483" s="231" t="s">
        <v>174</v>
      </c>
      <c r="D483" s="231" t="s">
        <v>119</v>
      </c>
      <c r="E483" s="231"/>
      <c r="F483" s="231" t="s">
        <v>173</v>
      </c>
      <c r="G483" s="231" t="s">
        <v>174</v>
      </c>
      <c r="H483" s="231" t="s">
        <v>119</v>
      </c>
      <c r="I483" s="231"/>
      <c r="J483" s="231" t="s">
        <v>173</v>
      </c>
      <c r="K483" s="231" t="s">
        <v>174</v>
      </c>
      <c r="L483" s="231" t="s">
        <v>119</v>
      </c>
      <c r="M483" s="212"/>
      <c r="N483" s="212"/>
    </row>
    <row r="484" spans="1:14" ht="12.95">
      <c r="A484" s="234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12"/>
      <c r="N484" s="212"/>
    </row>
    <row r="485" spans="1:14">
      <c r="A485" s="213" t="str">
        <f>name!E$4</f>
        <v>Managers, directors and senior officials</v>
      </c>
      <c r="B485" s="278">
        <v>13.05538427796961</v>
      </c>
      <c r="C485" s="278">
        <v>40.750089433020719</v>
      </c>
      <c r="D485" s="278">
        <f>SUM(B485:C485)</f>
        <v>53.805473710990327</v>
      </c>
      <c r="E485" s="279"/>
      <c r="F485" s="278">
        <v>22.87579885891904</v>
      </c>
      <c r="G485" s="278">
        <v>62.282326529013979</v>
      </c>
      <c r="H485" s="278">
        <f>SUM(F485:G485)</f>
        <v>85.158125387933012</v>
      </c>
      <c r="I485" s="279"/>
      <c r="J485" s="278">
        <v>28.313613042009596</v>
      </c>
      <c r="K485" s="278">
        <v>66.06015839179274</v>
      </c>
      <c r="L485" s="278">
        <f>SUM(J485:K485)</f>
        <v>94.373771433802332</v>
      </c>
      <c r="M485" s="212"/>
      <c r="N485" s="212"/>
    </row>
    <row r="486" spans="1:14">
      <c r="A486" s="213" t="str">
        <f>name!E$5</f>
        <v>Professional occupations</v>
      </c>
      <c r="B486" s="278">
        <v>12.989758350504413</v>
      </c>
      <c r="C486" s="278">
        <v>44.762646352987474</v>
      </c>
      <c r="D486" s="278">
        <f t="shared" ref="D486:D493" si="184">SUM(B486:C486)</f>
        <v>57.752404703491891</v>
      </c>
      <c r="E486" s="279"/>
      <c r="F486" s="278">
        <v>22.422311856620858</v>
      </c>
      <c r="G486" s="278">
        <v>71.533168405297374</v>
      </c>
      <c r="H486" s="278">
        <f t="shared" ref="H486:H493" si="185">SUM(F486:G486)</f>
        <v>93.95548026191824</v>
      </c>
      <c r="I486" s="279"/>
      <c r="J486" s="278">
        <v>32.982550270724595</v>
      </c>
      <c r="K486" s="278">
        <v>102.77360881880732</v>
      </c>
      <c r="L486" s="278">
        <f t="shared" ref="L486:L493" si="186">SUM(J486:K486)</f>
        <v>135.75615908953191</v>
      </c>
      <c r="M486" s="212"/>
      <c r="N486" s="212"/>
    </row>
    <row r="487" spans="1:14">
      <c r="A487" s="213" t="str">
        <f>name!E$6</f>
        <v>Associate professional occupations</v>
      </c>
      <c r="B487" s="278">
        <v>11.943985370415046</v>
      </c>
      <c r="C487" s="278">
        <v>23.682175195589508</v>
      </c>
      <c r="D487" s="278">
        <f t="shared" si="184"/>
        <v>35.626160566004557</v>
      </c>
      <c r="E487" s="279"/>
      <c r="F487" s="278">
        <v>17.948515807094164</v>
      </c>
      <c r="G487" s="278">
        <v>36.136101811049436</v>
      </c>
      <c r="H487" s="278">
        <f t="shared" si="185"/>
        <v>54.084617618143596</v>
      </c>
      <c r="I487" s="279"/>
      <c r="J487" s="278">
        <v>25.235663476520354</v>
      </c>
      <c r="K487" s="278">
        <v>41.21961267764253</v>
      </c>
      <c r="L487" s="278">
        <f t="shared" si="186"/>
        <v>66.455276154162888</v>
      </c>
      <c r="M487" s="212"/>
      <c r="N487" s="212"/>
    </row>
    <row r="488" spans="1:14">
      <c r="A488" s="213" t="str">
        <f>name!E$7</f>
        <v>Administrative and secretarial occupations</v>
      </c>
      <c r="B488" s="278">
        <v>46.520068729906413</v>
      </c>
      <c r="C488" s="278">
        <v>7.8346528192475864</v>
      </c>
      <c r="D488" s="278">
        <f t="shared" si="184"/>
        <v>54.354721549154</v>
      </c>
      <c r="E488" s="279"/>
      <c r="F488" s="278">
        <v>56.001546389083657</v>
      </c>
      <c r="G488" s="278">
        <v>10.523113872974344</v>
      </c>
      <c r="H488" s="278">
        <f t="shared" si="185"/>
        <v>66.524660262058006</v>
      </c>
      <c r="I488" s="279"/>
      <c r="J488" s="278">
        <v>50.238294966973434</v>
      </c>
      <c r="K488" s="278">
        <v>13.419049835908798</v>
      </c>
      <c r="L488" s="278">
        <f t="shared" si="186"/>
        <v>63.657344802882236</v>
      </c>
      <c r="M488" s="212"/>
      <c r="N488" s="212"/>
    </row>
    <row r="489" spans="1:14">
      <c r="A489" s="213" t="str">
        <f>name!E$8</f>
        <v>Skilled trades occupations</v>
      </c>
      <c r="B489" s="278">
        <v>5.4033314031199229</v>
      </c>
      <c r="C489" s="278">
        <v>263.480589829314</v>
      </c>
      <c r="D489" s="278">
        <f t="shared" si="184"/>
        <v>268.88392123243392</v>
      </c>
      <c r="E489" s="279"/>
      <c r="F489" s="278">
        <v>8.8631702461899717</v>
      </c>
      <c r="G489" s="278">
        <v>258.12292179709232</v>
      </c>
      <c r="H489" s="278">
        <f t="shared" si="185"/>
        <v>266.98609204328227</v>
      </c>
      <c r="I489" s="279"/>
      <c r="J489" s="278">
        <v>13.21166176209991</v>
      </c>
      <c r="K489" s="278">
        <v>268.12668375251349</v>
      </c>
      <c r="L489" s="278">
        <f t="shared" si="186"/>
        <v>281.33834551461342</v>
      </c>
      <c r="M489" s="212"/>
      <c r="N489" s="212"/>
    </row>
    <row r="490" spans="1:14">
      <c r="A490" s="213" t="str">
        <f>name!E$9</f>
        <v>Caring, leisure and other service occupations</v>
      </c>
      <c r="B490" s="278">
        <v>0.6071863483122143</v>
      </c>
      <c r="C490" s="278">
        <v>1.1207910449472356</v>
      </c>
      <c r="D490" s="278">
        <f t="shared" si="184"/>
        <v>1.72797739325945</v>
      </c>
      <c r="E490" s="279"/>
      <c r="F490" s="278">
        <v>0.80681361603382262</v>
      </c>
      <c r="G490" s="278">
        <v>1.7176690920973399</v>
      </c>
      <c r="H490" s="278">
        <f t="shared" si="185"/>
        <v>2.5244827081311625</v>
      </c>
      <c r="I490" s="279"/>
      <c r="J490" s="278">
        <v>0.93821912262718721</v>
      </c>
      <c r="K490" s="278">
        <v>1.6922027798312478</v>
      </c>
      <c r="L490" s="278">
        <f t="shared" si="186"/>
        <v>2.6304219024584352</v>
      </c>
      <c r="M490" s="212"/>
      <c r="N490" s="212"/>
    </row>
    <row r="491" spans="1:14">
      <c r="A491" s="213" t="str">
        <f>name!E$10</f>
        <v>Sales and customer service occupations</v>
      </c>
      <c r="B491" s="278">
        <v>6.2185762967427873</v>
      </c>
      <c r="C491" s="278">
        <v>4.714126040046323</v>
      </c>
      <c r="D491" s="278">
        <f t="shared" si="184"/>
        <v>10.932702336789109</v>
      </c>
      <c r="E491" s="279"/>
      <c r="F491" s="278">
        <v>7.5431971103536029</v>
      </c>
      <c r="G491" s="278">
        <v>6.0354017468509156</v>
      </c>
      <c r="H491" s="278">
        <f t="shared" si="185"/>
        <v>13.578598857204518</v>
      </c>
      <c r="I491" s="279"/>
      <c r="J491" s="278">
        <v>8.198600638343752</v>
      </c>
      <c r="K491" s="278">
        <v>7.3934169368636287</v>
      </c>
      <c r="L491" s="278">
        <f t="shared" si="186"/>
        <v>15.592017575207381</v>
      </c>
      <c r="M491" s="212"/>
      <c r="N491" s="212"/>
    </row>
    <row r="492" spans="1:14">
      <c r="A492" s="213" t="str">
        <f>name!E$11</f>
        <v>Process, plant and machine operatives</v>
      </c>
      <c r="B492" s="278">
        <v>0.94570443460036613</v>
      </c>
      <c r="C492" s="278">
        <v>42.291694355259985</v>
      </c>
      <c r="D492" s="278">
        <f t="shared" si="184"/>
        <v>43.23739878986035</v>
      </c>
      <c r="E492" s="279"/>
      <c r="F492" s="278">
        <v>1.0365085034728367</v>
      </c>
      <c r="G492" s="278">
        <v>46.360464479301896</v>
      </c>
      <c r="H492" s="278">
        <f t="shared" si="185"/>
        <v>47.396972982774734</v>
      </c>
      <c r="I492" s="279"/>
      <c r="J492" s="278">
        <v>1.413038718722446</v>
      </c>
      <c r="K492" s="278">
        <v>51.862298844306842</v>
      </c>
      <c r="L492" s="278">
        <f t="shared" si="186"/>
        <v>53.275337563029289</v>
      </c>
      <c r="M492" s="212"/>
      <c r="N492" s="212"/>
    </row>
    <row r="493" spans="1:14">
      <c r="A493" s="213" t="str">
        <f>name!E$12</f>
        <v>Elementary occupations</v>
      </c>
      <c r="B493" s="278">
        <v>3.6450047883638446</v>
      </c>
      <c r="C493" s="278">
        <v>28.675234924910821</v>
      </c>
      <c r="D493" s="278">
        <f t="shared" si="184"/>
        <v>32.320239713274667</v>
      </c>
      <c r="E493" s="279"/>
      <c r="F493" s="278">
        <v>3.3201376111988874</v>
      </c>
      <c r="G493" s="278">
        <v>30.388832257940145</v>
      </c>
      <c r="H493" s="278">
        <f t="shared" si="185"/>
        <v>33.708969869139032</v>
      </c>
      <c r="I493" s="279"/>
      <c r="J493" s="278">
        <v>5.6833580054677659</v>
      </c>
      <c r="K493" s="278">
        <v>38.855967938600649</v>
      </c>
      <c r="L493" s="278">
        <f t="shared" si="186"/>
        <v>44.539325944068416</v>
      </c>
      <c r="M493" s="212"/>
      <c r="N493" s="212"/>
    </row>
    <row r="494" spans="1:14">
      <c r="A494" s="213"/>
      <c r="B494" s="278"/>
      <c r="C494" s="278"/>
      <c r="D494" s="278"/>
      <c r="E494" s="279"/>
      <c r="F494" s="278"/>
      <c r="G494" s="278"/>
      <c r="H494" s="278"/>
      <c r="I494" s="279"/>
      <c r="J494" s="278"/>
      <c r="K494" s="278"/>
      <c r="L494" s="278"/>
      <c r="M494" s="212"/>
      <c r="N494" s="212"/>
    </row>
    <row r="495" spans="1:14">
      <c r="A495" s="220" t="s">
        <v>119</v>
      </c>
      <c r="B495" s="282">
        <f>SUM(B485:B493)</f>
        <v>101.32899999993462</v>
      </c>
      <c r="C495" s="282">
        <f t="shared" ref="C495:D495" si="187">SUM(C485:C493)</f>
        <v>457.31199999532362</v>
      </c>
      <c r="D495" s="282">
        <f t="shared" si="187"/>
        <v>558.64099999525831</v>
      </c>
      <c r="E495" s="282"/>
      <c r="F495" s="282">
        <f t="shared" ref="F495:H495" si="188">SUM(F485:F493)</f>
        <v>140.81799999896685</v>
      </c>
      <c r="G495" s="282">
        <f t="shared" si="188"/>
        <v>523.09999999161778</v>
      </c>
      <c r="H495" s="282">
        <f t="shared" si="188"/>
        <v>663.91799999058458</v>
      </c>
      <c r="I495" s="282"/>
      <c r="J495" s="282">
        <f t="shared" ref="J495:L495" si="189">SUM(J485:J493)</f>
        <v>166.21500000348902</v>
      </c>
      <c r="K495" s="282">
        <f t="shared" si="189"/>
        <v>591.40299997626721</v>
      </c>
      <c r="L495" s="282">
        <f t="shared" si="189"/>
        <v>757.61799997975641</v>
      </c>
      <c r="M495" s="212"/>
      <c r="N495" s="212"/>
    </row>
    <row r="496" spans="1:14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6"/>
      <c r="M496" s="212"/>
      <c r="N496" s="212"/>
    </row>
    <row r="497" spans="1:14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32" t="s">
        <v>114</v>
      </c>
      <c r="M497" s="212"/>
      <c r="N497" s="212"/>
    </row>
    <row r="498" spans="1:14" ht="12.95">
      <c r="A498" s="218"/>
      <c r="B498" s="226"/>
      <c r="C498" s="226"/>
      <c r="D498" s="226"/>
      <c r="E498" s="226"/>
      <c r="F498" s="226"/>
      <c r="G498" s="226"/>
      <c r="H498" s="226"/>
      <c r="I498" s="226"/>
      <c r="J498" s="226"/>
      <c r="K498" s="226"/>
      <c r="L498" s="212"/>
      <c r="M498" s="212"/>
      <c r="N498" s="212"/>
    </row>
    <row r="499" spans="1:14" ht="12.95">
      <c r="A499" s="217" t="str">
        <f>name!A32</f>
        <v>Civil engineering</v>
      </c>
      <c r="B499" s="367">
        <f>B$6</f>
        <v>2015</v>
      </c>
      <c r="C499" s="367"/>
      <c r="D499" s="367"/>
      <c r="E499" s="229"/>
      <c r="F499" s="367">
        <f>F482</f>
        <v>2020</v>
      </c>
      <c r="G499" s="367"/>
      <c r="H499" s="367"/>
      <c r="I499" s="229"/>
      <c r="J499" s="367">
        <f>J482</f>
        <v>2035</v>
      </c>
      <c r="K499" s="367"/>
      <c r="L499" s="367"/>
      <c r="M499" s="212"/>
      <c r="N499" s="212"/>
    </row>
    <row r="500" spans="1:14" ht="12.95">
      <c r="A500" s="230"/>
      <c r="B500" s="231" t="s">
        <v>173</v>
      </c>
      <c r="C500" s="231" t="s">
        <v>174</v>
      </c>
      <c r="D500" s="231" t="s">
        <v>119</v>
      </c>
      <c r="E500" s="231"/>
      <c r="F500" s="231" t="s">
        <v>173</v>
      </c>
      <c r="G500" s="231" t="s">
        <v>174</v>
      </c>
      <c r="H500" s="231" t="s">
        <v>119</v>
      </c>
      <c r="I500" s="231"/>
      <c r="J500" s="231" t="s">
        <v>173</v>
      </c>
      <c r="K500" s="231" t="s">
        <v>174</v>
      </c>
      <c r="L500" s="231" t="s">
        <v>119</v>
      </c>
      <c r="M500" s="212"/>
      <c r="N500" s="212"/>
    </row>
    <row r="501" spans="1:14" ht="12.95">
      <c r="A501" s="234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12"/>
      <c r="N501" s="212"/>
    </row>
    <row r="502" spans="1:14">
      <c r="A502" s="213" t="str">
        <f>name!E$4</f>
        <v>Managers, directors and senior officials</v>
      </c>
      <c r="B502" s="278">
        <v>2.8160134471004148</v>
      </c>
      <c r="C502" s="278">
        <v>19.58546068077845</v>
      </c>
      <c r="D502" s="278">
        <f>SUM(B502:C502)</f>
        <v>22.401474127878863</v>
      </c>
      <c r="E502" s="279"/>
      <c r="F502" s="278">
        <v>3.9322822134240085</v>
      </c>
      <c r="G502" s="278">
        <v>28.011349243711329</v>
      </c>
      <c r="H502" s="278">
        <f>SUM(F502:G502)</f>
        <v>31.943631457135339</v>
      </c>
      <c r="I502" s="279"/>
      <c r="J502" s="278">
        <v>4.9823393735907056</v>
      </c>
      <c r="K502" s="278">
        <v>29.459041691206483</v>
      </c>
      <c r="L502" s="278">
        <f>SUM(J502:K502)</f>
        <v>34.441381064797191</v>
      </c>
      <c r="M502" s="212"/>
      <c r="N502" s="212"/>
    </row>
    <row r="503" spans="1:14">
      <c r="A503" s="213" t="str">
        <f>name!E$5</f>
        <v>Professional occupations</v>
      </c>
      <c r="B503" s="278">
        <v>2.5966938306066907</v>
      </c>
      <c r="C503" s="278">
        <v>21.83079779983661</v>
      </c>
      <c r="D503" s="278">
        <f t="shared" ref="D503:D510" si="190">SUM(B503:C503)</f>
        <v>24.427491630443299</v>
      </c>
      <c r="E503" s="279"/>
      <c r="F503" s="278">
        <v>3.7348612515879429</v>
      </c>
      <c r="G503" s="278">
        <v>31.475330899034208</v>
      </c>
      <c r="H503" s="278">
        <f t="shared" ref="H503:H510" si="191">SUM(F503:G503)</f>
        <v>35.210192150622149</v>
      </c>
      <c r="I503" s="279"/>
      <c r="J503" s="278">
        <v>5.3305322375005941</v>
      </c>
      <c r="K503" s="278">
        <v>44.471165983134938</v>
      </c>
      <c r="L503" s="278">
        <f t="shared" ref="L503:L510" si="192">SUM(J503:K503)</f>
        <v>49.801698220635529</v>
      </c>
      <c r="M503" s="212"/>
      <c r="N503" s="212"/>
    </row>
    <row r="504" spans="1:14">
      <c r="A504" s="213" t="str">
        <f>name!E$6</f>
        <v>Associate professional occupations</v>
      </c>
      <c r="B504" s="278">
        <v>2.5349633331069747</v>
      </c>
      <c r="C504" s="278">
        <v>11.575914298908646</v>
      </c>
      <c r="D504" s="278">
        <f t="shared" si="190"/>
        <v>14.110877632015621</v>
      </c>
      <c r="E504" s="279"/>
      <c r="F504" s="278">
        <v>3.2276735103955856</v>
      </c>
      <c r="G504" s="278">
        <v>16.198423993955323</v>
      </c>
      <c r="H504" s="278">
        <f t="shared" si="191"/>
        <v>19.42609750435091</v>
      </c>
      <c r="I504" s="279"/>
      <c r="J504" s="278">
        <v>4.3806272469115131</v>
      </c>
      <c r="K504" s="278">
        <v>18.328714385256273</v>
      </c>
      <c r="L504" s="278">
        <f t="shared" si="192"/>
        <v>22.709341632167785</v>
      </c>
      <c r="M504" s="212"/>
      <c r="N504" s="212"/>
    </row>
    <row r="505" spans="1:14">
      <c r="A505" s="213" t="str">
        <f>name!E$7</f>
        <v>Administrative and secretarial occupations</v>
      </c>
      <c r="B505" s="278">
        <v>10.212510268349357</v>
      </c>
      <c r="C505" s="278">
        <v>3.7666141435789702</v>
      </c>
      <c r="D505" s="278">
        <f t="shared" si="190"/>
        <v>13.979124411928327</v>
      </c>
      <c r="E505" s="279"/>
      <c r="F505" s="278">
        <v>10.407699279914036</v>
      </c>
      <c r="G505" s="278">
        <v>4.6597674990400719</v>
      </c>
      <c r="H505" s="278">
        <f t="shared" si="191"/>
        <v>15.067466778954108</v>
      </c>
      <c r="I505" s="279"/>
      <c r="J505" s="278">
        <v>9.6371282880259272</v>
      </c>
      <c r="K505" s="278">
        <v>6.029386726206365</v>
      </c>
      <c r="L505" s="278">
        <f t="shared" si="192"/>
        <v>15.666515014232292</v>
      </c>
      <c r="M505" s="212"/>
      <c r="N505" s="212"/>
    </row>
    <row r="506" spans="1:14">
      <c r="A506" s="213" t="str">
        <f>name!E$8</f>
        <v>Skilled trades occupations</v>
      </c>
      <c r="B506" s="278">
        <v>1.1011037099840031</v>
      </c>
      <c r="C506" s="278">
        <v>131.40101935848972</v>
      </c>
      <c r="D506" s="278">
        <f t="shared" si="190"/>
        <v>132.50212306847374</v>
      </c>
      <c r="E506" s="279"/>
      <c r="F506" s="278">
        <v>0.95153424009539556</v>
      </c>
      <c r="G506" s="278">
        <v>118.35896934724533</v>
      </c>
      <c r="H506" s="278">
        <f t="shared" si="191"/>
        <v>119.31050358734073</v>
      </c>
      <c r="I506" s="279"/>
      <c r="J506" s="278">
        <v>1.6047414184472459</v>
      </c>
      <c r="K506" s="278">
        <v>120.08322612840396</v>
      </c>
      <c r="L506" s="278">
        <f t="shared" si="192"/>
        <v>121.68796754685121</v>
      </c>
      <c r="M506" s="212"/>
      <c r="N506" s="212"/>
    </row>
    <row r="507" spans="1:14">
      <c r="A507" s="213" t="str">
        <f>name!E$9</f>
        <v>Caring, leisure and other service occupations</v>
      </c>
      <c r="B507" s="278">
        <v>0.13031437002395829</v>
      </c>
      <c r="C507" s="278">
        <v>0.50700864060348549</v>
      </c>
      <c r="D507" s="278">
        <f t="shared" si="190"/>
        <v>0.63732301062744379</v>
      </c>
      <c r="E507" s="279"/>
      <c r="F507" s="278">
        <v>0.1290399814754066</v>
      </c>
      <c r="G507" s="278">
        <v>0.67711519352265459</v>
      </c>
      <c r="H507" s="278">
        <f t="shared" si="191"/>
        <v>0.80615517499806122</v>
      </c>
      <c r="I507" s="279"/>
      <c r="J507" s="278">
        <v>0.14553515686806903</v>
      </c>
      <c r="K507" s="278">
        <v>0.66648904041452395</v>
      </c>
      <c r="L507" s="278">
        <f t="shared" si="192"/>
        <v>0.81202419728259301</v>
      </c>
      <c r="M507" s="212"/>
      <c r="N507" s="212"/>
    </row>
    <row r="508" spans="1:14">
      <c r="A508" s="213" t="str">
        <f>name!E$10</f>
        <v>Sales and customer service occupations</v>
      </c>
      <c r="B508" s="278">
        <v>1.4344245320782851</v>
      </c>
      <c r="C508" s="278">
        <v>2.2618982773927474</v>
      </c>
      <c r="D508" s="278">
        <f t="shared" si="190"/>
        <v>3.6963228094710328</v>
      </c>
      <c r="E508" s="279"/>
      <c r="F508" s="278">
        <v>1.5567234260368332</v>
      </c>
      <c r="G508" s="278">
        <v>2.76379083527143</v>
      </c>
      <c r="H508" s="278">
        <f t="shared" si="191"/>
        <v>4.3205142613082632</v>
      </c>
      <c r="I508" s="279"/>
      <c r="J508" s="278">
        <v>1.6291699659558798</v>
      </c>
      <c r="K508" s="278">
        <v>3.3262120360698857</v>
      </c>
      <c r="L508" s="278">
        <f t="shared" si="192"/>
        <v>4.9553820020257655</v>
      </c>
      <c r="M508" s="212"/>
      <c r="N508" s="212"/>
    </row>
    <row r="509" spans="1:14">
      <c r="A509" s="213" t="str">
        <f>name!E$11</f>
        <v>Process, plant and machine operatives</v>
      </c>
      <c r="B509" s="278">
        <v>0.20964063071615727</v>
      </c>
      <c r="C509" s="278">
        <v>20.721980367244456</v>
      </c>
      <c r="D509" s="278">
        <f t="shared" si="190"/>
        <v>20.931620997960614</v>
      </c>
      <c r="E509" s="279"/>
      <c r="F509" s="278">
        <v>0.17555798722330951</v>
      </c>
      <c r="G509" s="278">
        <v>21.094351708941488</v>
      </c>
      <c r="H509" s="278">
        <f t="shared" si="191"/>
        <v>21.269909696164799</v>
      </c>
      <c r="I509" s="279"/>
      <c r="J509" s="278">
        <v>0.23665458391672328</v>
      </c>
      <c r="K509" s="278">
        <v>23.421554455670332</v>
      </c>
      <c r="L509" s="278">
        <f t="shared" si="192"/>
        <v>23.658209039587057</v>
      </c>
      <c r="M509" s="212"/>
      <c r="N509" s="212"/>
    </row>
    <row r="510" spans="1:14">
      <c r="A510" s="213" t="str">
        <f>name!E$12</f>
        <v>Elementary occupations</v>
      </c>
      <c r="B510" s="278">
        <v>0.91733587804804106</v>
      </c>
      <c r="C510" s="278">
        <v>13.387306430671575</v>
      </c>
      <c r="D510" s="278">
        <f t="shared" si="190"/>
        <v>14.304642308719616</v>
      </c>
      <c r="E510" s="279"/>
      <c r="F510" s="278">
        <v>0.76662810971661488</v>
      </c>
      <c r="G510" s="278">
        <v>13.168901275979028</v>
      </c>
      <c r="H510" s="278">
        <f t="shared" si="191"/>
        <v>13.935529385695643</v>
      </c>
      <c r="I510" s="279"/>
      <c r="J510" s="278">
        <v>1.1492717294589521</v>
      </c>
      <c r="K510" s="278">
        <v>16.585209543435521</v>
      </c>
      <c r="L510" s="278">
        <f t="shared" si="192"/>
        <v>17.734481272894474</v>
      </c>
      <c r="M510" s="212"/>
      <c r="N510" s="212"/>
    </row>
    <row r="511" spans="1:14">
      <c r="A511" s="213"/>
      <c r="B511" s="278"/>
      <c r="C511" s="278"/>
      <c r="D511" s="278"/>
      <c r="E511" s="279"/>
      <c r="F511" s="278"/>
      <c r="G511" s="278"/>
      <c r="H511" s="278"/>
      <c r="I511" s="279"/>
      <c r="J511" s="278"/>
      <c r="K511" s="278"/>
      <c r="L511" s="278"/>
      <c r="M511" s="212"/>
      <c r="N511" s="212"/>
    </row>
    <row r="512" spans="1:14">
      <c r="A512" s="220" t="s">
        <v>119</v>
      </c>
      <c r="B512" s="282">
        <f>SUM(B502:B510)</f>
        <v>21.953000000013883</v>
      </c>
      <c r="C512" s="282">
        <f t="shared" ref="C512:D512" si="193">SUM(C502:C510)</f>
        <v>225.03799999750464</v>
      </c>
      <c r="D512" s="282">
        <f t="shared" si="193"/>
        <v>246.99099999751857</v>
      </c>
      <c r="E512" s="282"/>
      <c r="F512" s="282">
        <f t="shared" ref="F512:H512" si="194">SUM(F502:F510)</f>
        <v>24.88199999986913</v>
      </c>
      <c r="G512" s="282">
        <f t="shared" si="194"/>
        <v>236.40799999670091</v>
      </c>
      <c r="H512" s="282">
        <f t="shared" si="194"/>
        <v>261.28999999656997</v>
      </c>
      <c r="I512" s="282"/>
      <c r="J512" s="282">
        <f t="shared" ref="J512:L512" si="195">SUM(J502:J510)</f>
        <v>29.096000000675609</v>
      </c>
      <c r="K512" s="282">
        <f t="shared" si="195"/>
        <v>262.37099998979829</v>
      </c>
      <c r="L512" s="282">
        <f t="shared" si="195"/>
        <v>291.46699999047388</v>
      </c>
      <c r="M512" s="212"/>
      <c r="N512" s="212"/>
    </row>
    <row r="513" spans="1:14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6"/>
      <c r="M513" s="212"/>
      <c r="N513" s="212"/>
    </row>
    <row r="514" spans="1:14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32" t="s">
        <v>114</v>
      </c>
      <c r="M514" s="212"/>
      <c r="N514" s="212"/>
    </row>
    <row r="515" spans="1:14" ht="12.95">
      <c r="A515" s="218"/>
      <c r="B515" s="226"/>
      <c r="C515" s="226"/>
      <c r="D515" s="226"/>
      <c r="E515" s="226"/>
      <c r="F515" s="226"/>
      <c r="G515" s="226"/>
      <c r="H515" s="226"/>
      <c r="I515" s="226"/>
      <c r="J515" s="226"/>
      <c r="K515" s="226"/>
      <c r="L515" s="212"/>
      <c r="M515" s="212"/>
      <c r="N515" s="212"/>
    </row>
    <row r="516" spans="1:14" ht="12.95">
      <c r="A516" s="217" t="str">
        <f>name!A33</f>
        <v>Specialised construction</v>
      </c>
      <c r="B516" s="367">
        <f>B$6</f>
        <v>2015</v>
      </c>
      <c r="C516" s="367"/>
      <c r="D516" s="367"/>
      <c r="E516" s="229"/>
      <c r="F516" s="367">
        <f>F499</f>
        <v>2020</v>
      </c>
      <c r="G516" s="367"/>
      <c r="H516" s="367"/>
      <c r="I516" s="229"/>
      <c r="J516" s="367">
        <f>J499</f>
        <v>2035</v>
      </c>
      <c r="K516" s="367"/>
      <c r="L516" s="367"/>
      <c r="M516" s="212"/>
      <c r="N516" s="212"/>
    </row>
    <row r="517" spans="1:14" ht="12.95">
      <c r="A517" s="230"/>
      <c r="B517" s="231" t="s">
        <v>173</v>
      </c>
      <c r="C517" s="231" t="s">
        <v>174</v>
      </c>
      <c r="D517" s="231" t="s">
        <v>119</v>
      </c>
      <c r="E517" s="231"/>
      <c r="F517" s="231" t="s">
        <v>173</v>
      </c>
      <c r="G517" s="231" t="s">
        <v>174</v>
      </c>
      <c r="H517" s="231" t="s">
        <v>119</v>
      </c>
      <c r="I517" s="231"/>
      <c r="J517" s="231" t="s">
        <v>173</v>
      </c>
      <c r="K517" s="231" t="s">
        <v>174</v>
      </c>
      <c r="L517" s="231" t="s">
        <v>119</v>
      </c>
      <c r="M517" s="212"/>
      <c r="N517" s="212"/>
    </row>
    <row r="518" spans="1:14" ht="12.95">
      <c r="A518" s="234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12"/>
      <c r="N518" s="212"/>
    </row>
    <row r="519" spans="1:14">
      <c r="A519" s="213" t="str">
        <f>name!E$4</f>
        <v>Managers, directors and senior officials</v>
      </c>
      <c r="B519" s="278">
        <v>15.313294989389473</v>
      </c>
      <c r="C519" s="278">
        <v>76.634325787320392</v>
      </c>
      <c r="D519" s="278">
        <f>SUM(B519:C519)</f>
        <v>91.947620776709869</v>
      </c>
      <c r="E519" s="279"/>
      <c r="F519" s="278">
        <v>22.878279750929405</v>
      </c>
      <c r="G519" s="278">
        <v>107.93005242142151</v>
      </c>
      <c r="H519" s="278">
        <f>SUM(F519:G519)</f>
        <v>130.8083321723509</v>
      </c>
      <c r="I519" s="279"/>
      <c r="J519" s="278">
        <v>28.468175502764154</v>
      </c>
      <c r="K519" s="278">
        <v>113.4440524990794</v>
      </c>
      <c r="L519" s="278">
        <f>SUM(J519:K519)</f>
        <v>141.91222800184357</v>
      </c>
      <c r="M519" s="212"/>
      <c r="N519" s="212"/>
    </row>
    <row r="520" spans="1:14">
      <c r="A520" s="213" t="str">
        <f>name!E$5</f>
        <v>Professional occupations</v>
      </c>
      <c r="B520" s="278">
        <v>13.479349260299198</v>
      </c>
      <c r="C520" s="278">
        <v>86.339028350571823</v>
      </c>
      <c r="D520" s="278">
        <f t="shared" ref="D520:D527" si="196">SUM(B520:C520)</f>
        <v>99.818377610871025</v>
      </c>
      <c r="E520" s="279"/>
      <c r="F520" s="278">
        <v>20.209866723115752</v>
      </c>
      <c r="G520" s="278">
        <v>123.6489287014672</v>
      </c>
      <c r="H520" s="278">
        <f t="shared" ref="H520:H527" si="197">SUM(F520:G520)</f>
        <v>143.85879542458295</v>
      </c>
      <c r="I520" s="279"/>
      <c r="J520" s="278">
        <v>28.526499972651727</v>
      </c>
      <c r="K520" s="278">
        <v>173.85351898469145</v>
      </c>
      <c r="L520" s="278">
        <f t="shared" ref="L520:L527" si="198">SUM(J520:K520)</f>
        <v>202.38001895734317</v>
      </c>
      <c r="M520" s="212"/>
      <c r="N520" s="212"/>
    </row>
    <row r="521" spans="1:14">
      <c r="A521" s="213" t="str">
        <f>name!E$6</f>
        <v>Associate professional occupations</v>
      </c>
      <c r="B521" s="278">
        <v>13.545341864686579</v>
      </c>
      <c r="C521" s="278">
        <v>44.868043186262447</v>
      </c>
      <c r="D521" s="278">
        <f t="shared" si="196"/>
        <v>58.413385050949024</v>
      </c>
      <c r="E521" s="279"/>
      <c r="F521" s="278">
        <v>17.791211298939512</v>
      </c>
      <c r="G521" s="278">
        <v>61.974185025416041</v>
      </c>
      <c r="H521" s="278">
        <f t="shared" si="197"/>
        <v>79.765396324355549</v>
      </c>
      <c r="I521" s="279"/>
      <c r="J521" s="278">
        <v>23.925016002483702</v>
      </c>
      <c r="K521" s="278">
        <v>69.72009009366387</v>
      </c>
      <c r="L521" s="278">
        <f t="shared" si="198"/>
        <v>93.645106096147572</v>
      </c>
      <c r="M521" s="212"/>
      <c r="N521" s="212"/>
    </row>
    <row r="522" spans="1:14">
      <c r="A522" s="213" t="str">
        <f>name!E$7</f>
        <v>Administrative and secretarial occupations</v>
      </c>
      <c r="B522" s="278">
        <v>60.651659642773012</v>
      </c>
      <c r="C522" s="278">
        <v>14.902669608867004</v>
      </c>
      <c r="D522" s="278">
        <f t="shared" si="196"/>
        <v>75.554329251640013</v>
      </c>
      <c r="E522" s="279"/>
      <c r="F522" s="278">
        <v>65.907285289314061</v>
      </c>
      <c r="G522" s="278">
        <v>19.885143747207952</v>
      </c>
      <c r="H522" s="278">
        <f t="shared" si="197"/>
        <v>85.792429036522009</v>
      </c>
      <c r="I522" s="279"/>
      <c r="J522" s="278">
        <v>64.060432263592546</v>
      </c>
      <c r="K522" s="278">
        <v>25.509398082746273</v>
      </c>
      <c r="L522" s="278">
        <f t="shared" si="198"/>
        <v>89.569830346338819</v>
      </c>
      <c r="M522" s="212"/>
      <c r="N522" s="212"/>
    </row>
    <row r="523" spans="1:14">
      <c r="A523" s="213" t="str">
        <f>name!E$8</f>
        <v>Skilled trades occupations</v>
      </c>
      <c r="B523" s="278">
        <v>5.4150680879120641</v>
      </c>
      <c r="C523" s="278">
        <v>500.11980305890222</v>
      </c>
      <c r="D523" s="278">
        <f t="shared" si="196"/>
        <v>505.53487114681428</v>
      </c>
      <c r="E523" s="279"/>
      <c r="F523" s="278">
        <v>6.197080627748929</v>
      </c>
      <c r="G523" s="278">
        <v>459.79104378014807</v>
      </c>
      <c r="H523" s="278">
        <f t="shared" si="197"/>
        <v>465.98812440789698</v>
      </c>
      <c r="I523" s="279"/>
      <c r="J523" s="278">
        <v>9.1354994621080525</v>
      </c>
      <c r="K523" s="278">
        <v>468.65437741556951</v>
      </c>
      <c r="L523" s="278">
        <f t="shared" si="198"/>
        <v>477.78987687767756</v>
      </c>
      <c r="M523" s="212"/>
      <c r="N523" s="212"/>
    </row>
    <row r="524" spans="1:14">
      <c r="A524" s="213" t="str">
        <f>name!E$9</f>
        <v>Caring, leisure and other service occupations</v>
      </c>
      <c r="B524" s="278">
        <v>0.73940373774802803</v>
      </c>
      <c r="C524" s="278">
        <v>1.9362725069050311</v>
      </c>
      <c r="D524" s="278">
        <f t="shared" si="196"/>
        <v>2.6756762446530589</v>
      </c>
      <c r="E524" s="279"/>
      <c r="F524" s="278">
        <v>0.77585856216098359</v>
      </c>
      <c r="G524" s="278">
        <v>2.7395676127339055</v>
      </c>
      <c r="H524" s="278">
        <f t="shared" si="197"/>
        <v>3.515426174894889</v>
      </c>
      <c r="I524" s="279"/>
      <c r="J524" s="278">
        <v>0.80476192272638536</v>
      </c>
      <c r="K524" s="278">
        <v>2.6890828320131375</v>
      </c>
      <c r="L524" s="278">
        <f t="shared" si="198"/>
        <v>3.4938447547395226</v>
      </c>
      <c r="M524" s="212"/>
      <c r="N524" s="212"/>
    </row>
    <row r="525" spans="1:14">
      <c r="A525" s="213" t="str">
        <f>name!E$10</f>
        <v>Sales and customer service occupations</v>
      </c>
      <c r="B525" s="278">
        <v>8.2841151355938614</v>
      </c>
      <c r="C525" s="278">
        <v>9.0019936759471033</v>
      </c>
      <c r="D525" s="278">
        <f t="shared" si="196"/>
        <v>17.286108811540963</v>
      </c>
      <c r="E525" s="279"/>
      <c r="F525" s="278">
        <v>9.4414756634029402</v>
      </c>
      <c r="G525" s="278">
        <v>10.958010790734606</v>
      </c>
      <c r="H525" s="278">
        <f t="shared" si="197"/>
        <v>20.399486454137545</v>
      </c>
      <c r="I525" s="279"/>
      <c r="J525" s="278">
        <v>10.050269170302929</v>
      </c>
      <c r="K525" s="278">
        <v>13.280170944435708</v>
      </c>
      <c r="L525" s="278">
        <f t="shared" si="198"/>
        <v>23.330440114738636</v>
      </c>
      <c r="M525" s="212"/>
      <c r="N525" s="212"/>
    </row>
    <row r="526" spans="1:14">
      <c r="A526" s="213" t="str">
        <f>name!E$11</f>
        <v>Process, plant and machine operatives</v>
      </c>
      <c r="B526" s="278">
        <v>1.0470616720567261</v>
      </c>
      <c r="C526" s="278">
        <v>82.639576177337759</v>
      </c>
      <c r="D526" s="278">
        <f t="shared" si="196"/>
        <v>83.686637849394486</v>
      </c>
      <c r="E526" s="279"/>
      <c r="F526" s="278">
        <v>0.9622864519128761</v>
      </c>
      <c r="G526" s="278">
        <v>83.617881745410699</v>
      </c>
      <c r="H526" s="278">
        <f t="shared" si="197"/>
        <v>84.580168197323573</v>
      </c>
      <c r="I526" s="279"/>
      <c r="J526" s="278">
        <v>1.300531952495894</v>
      </c>
      <c r="K526" s="278">
        <v>93.186085454595158</v>
      </c>
      <c r="L526" s="278">
        <f t="shared" si="198"/>
        <v>94.486617407091046</v>
      </c>
      <c r="M526" s="212"/>
      <c r="N526" s="212"/>
    </row>
    <row r="527" spans="1:14">
      <c r="A527" s="213" t="str">
        <f>name!E$12</f>
        <v>Elementary occupations</v>
      </c>
      <c r="B527" s="278">
        <v>6.0337056097530759</v>
      </c>
      <c r="C527" s="278">
        <v>53.771287637244299</v>
      </c>
      <c r="D527" s="278">
        <f t="shared" si="196"/>
        <v>59.804993246997377</v>
      </c>
      <c r="E527" s="279"/>
      <c r="F527" s="278">
        <v>5.1966556319450881</v>
      </c>
      <c r="G527" s="278">
        <v>54.682186161237148</v>
      </c>
      <c r="H527" s="278">
        <f t="shared" si="197"/>
        <v>59.878841793182232</v>
      </c>
      <c r="I527" s="279"/>
      <c r="J527" s="278">
        <v>6.9198137543664311</v>
      </c>
      <c r="K527" s="278">
        <v>69.304223652172922</v>
      </c>
      <c r="L527" s="278">
        <f t="shared" si="198"/>
        <v>76.224037406539352</v>
      </c>
      <c r="M527" s="212"/>
      <c r="N527" s="212"/>
    </row>
    <row r="528" spans="1:14">
      <c r="A528" s="213"/>
      <c r="B528" s="278"/>
      <c r="C528" s="278"/>
      <c r="D528" s="278"/>
      <c r="E528" s="279"/>
      <c r="F528" s="278"/>
      <c r="G528" s="278"/>
      <c r="H528" s="278"/>
      <c r="I528" s="279"/>
      <c r="J528" s="278"/>
      <c r="K528" s="278"/>
      <c r="L528" s="278"/>
      <c r="M528" s="212"/>
      <c r="N528" s="212"/>
    </row>
    <row r="529" spans="1:14">
      <c r="A529" s="220" t="s">
        <v>119</v>
      </c>
      <c r="B529" s="282">
        <f>SUM(B519:B527)</f>
        <v>124.50900000021201</v>
      </c>
      <c r="C529" s="282">
        <f t="shared" ref="C529:D529" si="199">SUM(C519:C527)</f>
        <v>870.21299998935808</v>
      </c>
      <c r="D529" s="282">
        <f t="shared" si="199"/>
        <v>994.72199998957001</v>
      </c>
      <c r="E529" s="282"/>
      <c r="F529" s="282">
        <f t="shared" ref="F529:H529" si="200">SUM(F519:F527)</f>
        <v>149.35999999946955</v>
      </c>
      <c r="G529" s="282">
        <f t="shared" si="200"/>
        <v>925.2269999857773</v>
      </c>
      <c r="H529" s="282">
        <f t="shared" si="200"/>
        <v>1074.5869999852466</v>
      </c>
      <c r="I529" s="282"/>
      <c r="J529" s="282">
        <f t="shared" ref="J529:L529" si="201">SUM(J519:J527)</f>
        <v>173.19100000349184</v>
      </c>
      <c r="K529" s="282">
        <f t="shared" si="201"/>
        <v>1029.6409999589673</v>
      </c>
      <c r="L529" s="282">
        <f t="shared" si="201"/>
        <v>1202.8319999624591</v>
      </c>
      <c r="M529" s="212"/>
      <c r="N529" s="212"/>
    </row>
    <row r="530" spans="1:14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6"/>
      <c r="M530" s="212"/>
      <c r="N530" s="212"/>
    </row>
    <row r="531" spans="1:14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32" t="s">
        <v>114</v>
      </c>
      <c r="M531" s="212"/>
      <c r="N531" s="212"/>
    </row>
    <row r="532" spans="1:14" ht="12.95">
      <c r="A532" s="218"/>
      <c r="B532" s="226"/>
      <c r="C532" s="226"/>
      <c r="D532" s="226"/>
      <c r="E532" s="226"/>
      <c r="F532" s="226"/>
      <c r="G532" s="226"/>
      <c r="H532" s="226"/>
      <c r="I532" s="226"/>
      <c r="J532" s="226"/>
      <c r="K532" s="226"/>
      <c r="L532" s="212"/>
      <c r="M532" s="212"/>
      <c r="N532" s="212"/>
    </row>
    <row r="533" spans="1:14" ht="12.95">
      <c r="A533" s="217" t="str">
        <f>name!A34</f>
        <v>Motor vehicle trade</v>
      </c>
      <c r="B533" s="367">
        <f>B$6</f>
        <v>2015</v>
      </c>
      <c r="C533" s="367"/>
      <c r="D533" s="367"/>
      <c r="E533" s="229"/>
      <c r="F533" s="367">
        <f>F516</f>
        <v>2020</v>
      </c>
      <c r="G533" s="367"/>
      <c r="H533" s="367"/>
      <c r="I533" s="229"/>
      <c r="J533" s="367">
        <f>J516</f>
        <v>2035</v>
      </c>
      <c r="K533" s="367"/>
      <c r="L533" s="367"/>
      <c r="M533" s="212"/>
      <c r="N533" s="212"/>
    </row>
    <row r="534" spans="1:14" ht="12.95">
      <c r="A534" s="230"/>
      <c r="B534" s="231" t="s">
        <v>173</v>
      </c>
      <c r="C534" s="231" t="s">
        <v>174</v>
      </c>
      <c r="D534" s="231" t="s">
        <v>119</v>
      </c>
      <c r="E534" s="231"/>
      <c r="F534" s="231" t="s">
        <v>173</v>
      </c>
      <c r="G534" s="231" t="s">
        <v>174</v>
      </c>
      <c r="H534" s="231" t="s">
        <v>119</v>
      </c>
      <c r="I534" s="231"/>
      <c r="J534" s="231" t="s">
        <v>173</v>
      </c>
      <c r="K534" s="231" t="s">
        <v>174</v>
      </c>
      <c r="L534" s="231" t="s">
        <v>119</v>
      </c>
      <c r="M534" s="212"/>
      <c r="N534" s="212"/>
    </row>
    <row r="535" spans="1:14" ht="12.95">
      <c r="A535" s="234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12"/>
      <c r="N535" s="212"/>
    </row>
    <row r="536" spans="1:14">
      <c r="A536" s="213" t="str">
        <f>name!E$4</f>
        <v>Managers, directors and senior officials</v>
      </c>
      <c r="B536" s="278">
        <v>5.5574943022159742</v>
      </c>
      <c r="C536" s="278">
        <v>47.274005335366297</v>
      </c>
      <c r="D536" s="278">
        <f>SUM(B536:C536)</f>
        <v>52.831499637582269</v>
      </c>
      <c r="E536" s="279"/>
      <c r="F536" s="278">
        <v>8.2774385129542196</v>
      </c>
      <c r="G536" s="278">
        <v>57.110415843987113</v>
      </c>
      <c r="H536" s="278">
        <f>SUM(F536:G536)</f>
        <v>65.387854356941332</v>
      </c>
      <c r="I536" s="279"/>
      <c r="J536" s="278">
        <v>9.0070327603313096</v>
      </c>
      <c r="K536" s="278">
        <v>63.547396974533683</v>
      </c>
      <c r="L536" s="278">
        <f>SUM(J536:K536)</f>
        <v>72.554429734864996</v>
      </c>
      <c r="M536" s="212"/>
      <c r="N536" s="212"/>
    </row>
    <row r="537" spans="1:14">
      <c r="A537" s="213" t="str">
        <f>name!E$5</f>
        <v>Professional occupations</v>
      </c>
      <c r="B537" s="278">
        <v>4.459110298459108</v>
      </c>
      <c r="C537" s="278">
        <v>18.05810604461503</v>
      </c>
      <c r="D537" s="278">
        <f t="shared" ref="D537:D544" si="202">SUM(B537:C537)</f>
        <v>22.517216343074139</v>
      </c>
      <c r="E537" s="279"/>
      <c r="F537" s="278">
        <v>6.9632423359460152</v>
      </c>
      <c r="G537" s="278">
        <v>25.96354138998111</v>
      </c>
      <c r="H537" s="278">
        <f t="shared" ref="H537:H544" si="203">SUM(F537:G537)</f>
        <v>32.926783725927123</v>
      </c>
      <c r="I537" s="279"/>
      <c r="J537" s="278">
        <v>8.574809657652338</v>
      </c>
      <c r="K537" s="278">
        <v>35.198274510590899</v>
      </c>
      <c r="L537" s="278">
        <f t="shared" ref="L537:L544" si="204">SUM(J537:K537)</f>
        <v>43.773084168243237</v>
      </c>
      <c r="M537" s="212"/>
      <c r="N537" s="212"/>
    </row>
    <row r="538" spans="1:14">
      <c r="A538" s="213" t="str">
        <f>name!E$6</f>
        <v>Associate professional occupations</v>
      </c>
      <c r="B538" s="278">
        <v>7.3631499717745861</v>
      </c>
      <c r="C538" s="278">
        <v>23.707598693957507</v>
      </c>
      <c r="D538" s="278">
        <f t="shared" si="202"/>
        <v>31.070748665732093</v>
      </c>
      <c r="E538" s="279"/>
      <c r="F538" s="278">
        <v>9.6562063114727206</v>
      </c>
      <c r="G538" s="278">
        <v>30.344332400358095</v>
      </c>
      <c r="H538" s="278">
        <f t="shared" si="203"/>
        <v>40.000538711830814</v>
      </c>
      <c r="I538" s="279"/>
      <c r="J538" s="278">
        <v>12.37532706455416</v>
      </c>
      <c r="K538" s="278">
        <v>33.21477339775528</v>
      </c>
      <c r="L538" s="278">
        <f t="shared" si="204"/>
        <v>45.590100462309437</v>
      </c>
      <c r="M538" s="212"/>
      <c r="N538" s="212"/>
    </row>
    <row r="539" spans="1:14">
      <c r="A539" s="213" t="str">
        <f>name!E$7</f>
        <v>Administrative and secretarial occupations</v>
      </c>
      <c r="B539" s="278">
        <v>29.098241749168935</v>
      </c>
      <c r="C539" s="278">
        <v>24.499270637346061</v>
      </c>
      <c r="D539" s="278">
        <f t="shared" si="202"/>
        <v>53.597512386514992</v>
      </c>
      <c r="E539" s="279"/>
      <c r="F539" s="278">
        <v>31.703392695714204</v>
      </c>
      <c r="G539" s="278">
        <v>29.271733449399154</v>
      </c>
      <c r="H539" s="278">
        <f t="shared" si="203"/>
        <v>60.975126145113357</v>
      </c>
      <c r="I539" s="279"/>
      <c r="J539" s="278">
        <v>27.021831008736118</v>
      </c>
      <c r="K539" s="278">
        <v>39.925538617542209</v>
      </c>
      <c r="L539" s="278">
        <f t="shared" si="204"/>
        <v>66.947369626278331</v>
      </c>
      <c r="M539" s="212"/>
      <c r="N539" s="212"/>
    </row>
    <row r="540" spans="1:14">
      <c r="A540" s="213" t="str">
        <f>name!E$8</f>
        <v>Skilled trades occupations</v>
      </c>
      <c r="B540" s="278">
        <v>2.04984200747375</v>
      </c>
      <c r="C540" s="278">
        <v>178.792513292574</v>
      </c>
      <c r="D540" s="278">
        <f t="shared" si="202"/>
        <v>180.84235530004776</v>
      </c>
      <c r="E540" s="279"/>
      <c r="F540" s="278">
        <v>2.6116925289139075</v>
      </c>
      <c r="G540" s="278">
        <v>161.53016309018636</v>
      </c>
      <c r="H540" s="278">
        <f t="shared" si="203"/>
        <v>164.14185561910028</v>
      </c>
      <c r="I540" s="279"/>
      <c r="J540" s="278">
        <v>3.1901779453782773</v>
      </c>
      <c r="K540" s="278">
        <v>157.57078701708468</v>
      </c>
      <c r="L540" s="278">
        <f t="shared" si="204"/>
        <v>160.76096496246296</v>
      </c>
      <c r="M540" s="212"/>
      <c r="N540" s="212"/>
    </row>
    <row r="541" spans="1:14">
      <c r="A541" s="213" t="str">
        <f>name!E$9</f>
        <v>Caring, leisure and other service occupations</v>
      </c>
      <c r="B541" s="278">
        <v>12.154863605172403</v>
      </c>
      <c r="C541" s="278">
        <v>1.4174498545218817</v>
      </c>
      <c r="D541" s="278">
        <f t="shared" si="202"/>
        <v>13.572313459694286</v>
      </c>
      <c r="E541" s="279"/>
      <c r="F541" s="278">
        <v>13.300793686907141</v>
      </c>
      <c r="G541" s="278">
        <v>1.7048261239381393</v>
      </c>
      <c r="H541" s="278">
        <f t="shared" si="203"/>
        <v>15.00561981084528</v>
      </c>
      <c r="I541" s="279"/>
      <c r="J541" s="278">
        <v>18.779343241075303</v>
      </c>
      <c r="K541" s="278">
        <v>2.1306917307794007</v>
      </c>
      <c r="L541" s="278">
        <f t="shared" si="204"/>
        <v>20.910034971854703</v>
      </c>
      <c r="M541" s="212"/>
      <c r="N541" s="212"/>
    </row>
    <row r="542" spans="1:14">
      <c r="A542" s="213" t="str">
        <f>name!E$10</f>
        <v>Sales and customer service occupations</v>
      </c>
      <c r="B542" s="278">
        <v>22.18355749160245</v>
      </c>
      <c r="C542" s="278">
        <v>59.089561225647365</v>
      </c>
      <c r="D542" s="278">
        <f t="shared" si="202"/>
        <v>81.273118717249815</v>
      </c>
      <c r="E542" s="279"/>
      <c r="F542" s="278">
        <v>22.283269455181991</v>
      </c>
      <c r="G542" s="278">
        <v>61.871948387029505</v>
      </c>
      <c r="H542" s="278">
        <f t="shared" si="203"/>
        <v>84.155217842211499</v>
      </c>
      <c r="I542" s="279"/>
      <c r="J542" s="278">
        <v>20.719000267646397</v>
      </c>
      <c r="K542" s="278">
        <v>68.521387807357982</v>
      </c>
      <c r="L542" s="278">
        <f t="shared" si="204"/>
        <v>89.240388075004375</v>
      </c>
      <c r="M542" s="212"/>
      <c r="N542" s="212"/>
    </row>
    <row r="543" spans="1:14">
      <c r="A543" s="213" t="str">
        <f>name!E$11</f>
        <v>Process, plant and machine operatives</v>
      </c>
      <c r="B543" s="278">
        <v>3.3310728261008662</v>
      </c>
      <c r="C543" s="278">
        <v>30.550470879647033</v>
      </c>
      <c r="D543" s="278">
        <f t="shared" si="202"/>
        <v>33.881543705747902</v>
      </c>
      <c r="E543" s="279"/>
      <c r="F543" s="278">
        <v>3.1045451727958393</v>
      </c>
      <c r="G543" s="278">
        <v>28.908773725124306</v>
      </c>
      <c r="H543" s="278">
        <f t="shared" si="203"/>
        <v>32.013318897920144</v>
      </c>
      <c r="I543" s="279"/>
      <c r="J543" s="278">
        <v>5.0138020951647864</v>
      </c>
      <c r="K543" s="278">
        <v>27.545064253639836</v>
      </c>
      <c r="L543" s="278">
        <f t="shared" si="204"/>
        <v>32.558866348804621</v>
      </c>
      <c r="M543" s="212"/>
      <c r="N543" s="212"/>
    </row>
    <row r="544" spans="1:14">
      <c r="A544" s="213" t="str">
        <f>name!E$12</f>
        <v>Elementary occupations</v>
      </c>
      <c r="B544" s="278">
        <v>4.3446677490621832</v>
      </c>
      <c r="C544" s="278">
        <v>19.011024038449065</v>
      </c>
      <c r="D544" s="278">
        <f t="shared" si="202"/>
        <v>23.355691787511248</v>
      </c>
      <c r="E544" s="279"/>
      <c r="F544" s="278">
        <v>4.5444193005200866</v>
      </c>
      <c r="G544" s="278">
        <v>17.733265590203796</v>
      </c>
      <c r="H544" s="278">
        <f t="shared" si="203"/>
        <v>22.277684890723883</v>
      </c>
      <c r="I544" s="279"/>
      <c r="J544" s="278">
        <v>4.3456759608141331</v>
      </c>
      <c r="K544" s="278">
        <v>16.759085692318294</v>
      </c>
      <c r="L544" s="278">
        <f t="shared" si="204"/>
        <v>21.104761653132428</v>
      </c>
      <c r="M544" s="212"/>
      <c r="N544" s="212"/>
    </row>
    <row r="545" spans="1:14">
      <c r="A545" s="213"/>
      <c r="B545" s="278"/>
      <c r="C545" s="278"/>
      <c r="D545" s="278"/>
      <c r="E545" s="279"/>
      <c r="F545" s="278"/>
      <c r="G545" s="278"/>
      <c r="H545" s="278"/>
      <c r="I545" s="279"/>
      <c r="J545" s="278"/>
      <c r="K545" s="278"/>
      <c r="L545" s="278"/>
      <c r="M545" s="212"/>
      <c r="N545" s="212"/>
    </row>
    <row r="546" spans="1:14">
      <c r="A546" s="220" t="s">
        <v>119</v>
      </c>
      <c r="B546" s="282">
        <f>SUM(B536:B544)</f>
        <v>90.54200000103026</v>
      </c>
      <c r="C546" s="282">
        <f t="shared" ref="C546:D546" si="205">SUM(C536:C544)</f>
        <v>402.40000000212422</v>
      </c>
      <c r="D546" s="282">
        <f t="shared" si="205"/>
        <v>492.94200000315448</v>
      </c>
      <c r="E546" s="282"/>
      <c r="F546" s="282">
        <f t="shared" ref="F546:H546" si="206">SUM(F536:F544)</f>
        <v>102.44500000040613</v>
      </c>
      <c r="G546" s="282">
        <f t="shared" si="206"/>
        <v>414.43900000020767</v>
      </c>
      <c r="H546" s="282">
        <f t="shared" si="206"/>
        <v>516.8840000006137</v>
      </c>
      <c r="I546" s="282"/>
      <c r="J546" s="282">
        <f t="shared" ref="J546:L546" si="207">SUM(J536:J544)</f>
        <v>109.02700000135283</v>
      </c>
      <c r="K546" s="282">
        <f t="shared" si="207"/>
        <v>444.41300000160231</v>
      </c>
      <c r="L546" s="282">
        <f t="shared" si="207"/>
        <v>553.44000000295512</v>
      </c>
      <c r="M546" s="212"/>
      <c r="N546" s="212"/>
    </row>
    <row r="547" spans="1:14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6"/>
      <c r="M547" s="212"/>
      <c r="N547" s="212"/>
    </row>
    <row r="548" spans="1:14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32" t="s">
        <v>114</v>
      </c>
      <c r="M548" s="212"/>
      <c r="N548" s="212"/>
    </row>
    <row r="549" spans="1:14" ht="12.95">
      <c r="A549" s="218"/>
      <c r="B549" s="226"/>
      <c r="C549" s="226"/>
      <c r="D549" s="226"/>
      <c r="E549" s="226"/>
      <c r="F549" s="226"/>
      <c r="G549" s="226"/>
      <c r="H549" s="226"/>
      <c r="I549" s="226"/>
      <c r="J549" s="226"/>
      <c r="K549" s="226"/>
      <c r="L549" s="212"/>
      <c r="M549" s="212"/>
      <c r="N549" s="212"/>
    </row>
    <row r="550" spans="1:14" ht="12.95">
      <c r="A550" s="217" t="str">
        <f>name!A35</f>
        <v>Wholesale trade</v>
      </c>
      <c r="B550" s="367">
        <f>B$6</f>
        <v>2015</v>
      </c>
      <c r="C550" s="367"/>
      <c r="D550" s="367"/>
      <c r="E550" s="229"/>
      <c r="F550" s="367">
        <f>F533</f>
        <v>2020</v>
      </c>
      <c r="G550" s="367"/>
      <c r="H550" s="367"/>
      <c r="I550" s="229"/>
      <c r="J550" s="367">
        <f>J533</f>
        <v>2035</v>
      </c>
      <c r="K550" s="367"/>
      <c r="L550" s="367"/>
      <c r="M550" s="212"/>
      <c r="N550" s="212"/>
    </row>
    <row r="551" spans="1:14" ht="12.95">
      <c r="A551" s="230"/>
      <c r="B551" s="231" t="s">
        <v>173</v>
      </c>
      <c r="C551" s="231" t="s">
        <v>174</v>
      </c>
      <c r="D551" s="231" t="s">
        <v>119</v>
      </c>
      <c r="E551" s="231"/>
      <c r="F551" s="231" t="s">
        <v>173</v>
      </c>
      <c r="G551" s="231" t="s">
        <v>174</v>
      </c>
      <c r="H551" s="231" t="s">
        <v>119</v>
      </c>
      <c r="I551" s="231"/>
      <c r="J551" s="231" t="s">
        <v>173</v>
      </c>
      <c r="K551" s="231" t="s">
        <v>174</v>
      </c>
      <c r="L551" s="231" t="s">
        <v>119</v>
      </c>
      <c r="M551" s="212"/>
      <c r="N551" s="212"/>
    </row>
    <row r="552" spans="1:14" ht="12.95">
      <c r="A552" s="234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12"/>
      <c r="N552" s="212"/>
    </row>
    <row r="553" spans="1:14">
      <c r="A553" s="213" t="str">
        <f>name!E$4</f>
        <v>Managers, directors and senior officials</v>
      </c>
      <c r="B553" s="278">
        <v>38.303815609000424</v>
      </c>
      <c r="C553" s="278">
        <v>145.91611232138095</v>
      </c>
      <c r="D553" s="278">
        <f>SUM(B553:C553)</f>
        <v>184.21992793038137</v>
      </c>
      <c r="E553" s="279"/>
      <c r="F553" s="278">
        <v>50.728891688738884</v>
      </c>
      <c r="G553" s="278">
        <v>167.71542846356974</v>
      </c>
      <c r="H553" s="278">
        <f>SUM(F553:G553)</f>
        <v>218.44432015230862</v>
      </c>
      <c r="I553" s="279"/>
      <c r="J553" s="278">
        <v>55.326456783804474</v>
      </c>
      <c r="K553" s="278">
        <v>151.88688033483203</v>
      </c>
      <c r="L553" s="278">
        <f>SUM(J553:K553)</f>
        <v>207.2133371186365</v>
      </c>
      <c r="M553" s="212"/>
      <c r="N553" s="212"/>
    </row>
    <row r="554" spans="1:14">
      <c r="A554" s="213" t="str">
        <f>name!E$5</f>
        <v>Professional occupations</v>
      </c>
      <c r="B554" s="278">
        <v>28.910726759832041</v>
      </c>
      <c r="C554" s="278">
        <v>74.457230003232112</v>
      </c>
      <c r="D554" s="278">
        <f t="shared" ref="D554:D561" si="208">SUM(B554:C554)</f>
        <v>103.36795676306416</v>
      </c>
      <c r="E554" s="279"/>
      <c r="F554" s="278">
        <v>44.885011799466099</v>
      </c>
      <c r="G554" s="278">
        <v>96.243830516466332</v>
      </c>
      <c r="H554" s="278">
        <f t="shared" ref="H554:H561" si="209">SUM(F554:G554)</f>
        <v>141.12884231593245</v>
      </c>
      <c r="I554" s="279"/>
      <c r="J554" s="278">
        <v>58.952557356906894</v>
      </c>
      <c r="K554" s="278">
        <v>115.79580539688311</v>
      </c>
      <c r="L554" s="278">
        <f t="shared" ref="L554:L561" si="210">SUM(J554:K554)</f>
        <v>174.74836275378999</v>
      </c>
      <c r="M554" s="212"/>
      <c r="N554" s="212"/>
    </row>
    <row r="555" spans="1:14">
      <c r="A555" s="213" t="str">
        <f>name!E$6</f>
        <v>Associate professional occupations</v>
      </c>
      <c r="B555" s="278">
        <v>50.76387311137907</v>
      </c>
      <c r="C555" s="278">
        <v>89.793248813668541</v>
      </c>
      <c r="D555" s="278">
        <f t="shared" si="208"/>
        <v>140.55712192504762</v>
      </c>
      <c r="E555" s="279"/>
      <c r="F555" s="278">
        <v>63.652541989070379</v>
      </c>
      <c r="G555" s="278">
        <v>102.80515110434139</v>
      </c>
      <c r="H555" s="278">
        <f t="shared" si="209"/>
        <v>166.45769309341176</v>
      </c>
      <c r="I555" s="279"/>
      <c r="J555" s="278">
        <v>71.545815869777428</v>
      </c>
      <c r="K555" s="278">
        <v>98.922105482871515</v>
      </c>
      <c r="L555" s="278">
        <f t="shared" si="210"/>
        <v>170.46792135264894</v>
      </c>
      <c r="M555" s="212"/>
      <c r="N555" s="212"/>
    </row>
    <row r="556" spans="1:14">
      <c r="A556" s="213" t="str">
        <f>name!E$7</f>
        <v>Administrative and secretarial occupations</v>
      </c>
      <c r="B556" s="278">
        <v>110.91282800636642</v>
      </c>
      <c r="C556" s="278">
        <v>48.647666190823905</v>
      </c>
      <c r="D556" s="278">
        <f t="shared" si="208"/>
        <v>159.56049419719034</v>
      </c>
      <c r="E556" s="279"/>
      <c r="F556" s="278">
        <v>112.44499032973467</v>
      </c>
      <c r="G556" s="278">
        <v>54.424409027865359</v>
      </c>
      <c r="H556" s="278">
        <f t="shared" si="209"/>
        <v>166.86939935760003</v>
      </c>
      <c r="I556" s="279"/>
      <c r="J556" s="278">
        <v>100.24043808965614</v>
      </c>
      <c r="K556" s="278">
        <v>64.482229399304572</v>
      </c>
      <c r="L556" s="278">
        <f t="shared" si="210"/>
        <v>164.72266748896072</v>
      </c>
      <c r="M556" s="212"/>
      <c r="N556" s="212"/>
    </row>
    <row r="557" spans="1:14">
      <c r="A557" s="213" t="str">
        <f>name!E$8</f>
        <v>Skilled trades occupations</v>
      </c>
      <c r="B557" s="278">
        <v>5.3186775059859848</v>
      </c>
      <c r="C557" s="278">
        <v>63.207958198189189</v>
      </c>
      <c r="D557" s="278">
        <f t="shared" si="208"/>
        <v>68.526635704175177</v>
      </c>
      <c r="E557" s="279"/>
      <c r="F557" s="278">
        <v>5.0069364940378129</v>
      </c>
      <c r="G557" s="278">
        <v>50.470410803056367</v>
      </c>
      <c r="H557" s="278">
        <f t="shared" si="209"/>
        <v>55.477347297094184</v>
      </c>
      <c r="I557" s="279"/>
      <c r="J557" s="278">
        <v>5.5254003142502475</v>
      </c>
      <c r="K557" s="278">
        <v>46.079480058179612</v>
      </c>
      <c r="L557" s="278">
        <f t="shared" si="210"/>
        <v>51.604880372429861</v>
      </c>
      <c r="M557" s="212"/>
      <c r="N557" s="212"/>
    </row>
    <row r="558" spans="1:14">
      <c r="A558" s="213" t="str">
        <f>name!E$9</f>
        <v>Caring, leisure and other service occupations</v>
      </c>
      <c r="B558" s="278">
        <v>3.4098603256018429</v>
      </c>
      <c r="C558" s="278">
        <v>1.8019639553377833</v>
      </c>
      <c r="D558" s="278">
        <f t="shared" si="208"/>
        <v>5.2118242809396262</v>
      </c>
      <c r="E558" s="279"/>
      <c r="F558" s="278">
        <v>3.1874287963369525</v>
      </c>
      <c r="G558" s="278">
        <v>1.8876772381516442</v>
      </c>
      <c r="H558" s="278">
        <f t="shared" si="209"/>
        <v>5.0751060344885968</v>
      </c>
      <c r="I558" s="279"/>
      <c r="J558" s="278">
        <v>3.2315184641888703</v>
      </c>
      <c r="K558" s="278">
        <v>1.7286033769460414</v>
      </c>
      <c r="L558" s="278">
        <f t="shared" si="210"/>
        <v>4.9601218411349119</v>
      </c>
      <c r="M558" s="212"/>
      <c r="N558" s="212"/>
    </row>
    <row r="559" spans="1:14">
      <c r="A559" s="213" t="str">
        <f>name!E$10</f>
        <v>Sales and customer service occupations</v>
      </c>
      <c r="B559" s="278">
        <v>53.42716966731183</v>
      </c>
      <c r="C559" s="278">
        <v>62.370330124592201</v>
      </c>
      <c r="D559" s="278">
        <f t="shared" si="208"/>
        <v>115.79749979190403</v>
      </c>
      <c r="E559" s="279"/>
      <c r="F559" s="278">
        <v>49.171151391607182</v>
      </c>
      <c r="G559" s="278">
        <v>57.604068283340268</v>
      </c>
      <c r="H559" s="278">
        <f t="shared" si="209"/>
        <v>106.77521967494745</v>
      </c>
      <c r="I559" s="279"/>
      <c r="J559" s="278">
        <v>44.077214298227887</v>
      </c>
      <c r="K559" s="278">
        <v>56.265734178215403</v>
      </c>
      <c r="L559" s="278">
        <f t="shared" si="210"/>
        <v>100.3429484764433</v>
      </c>
      <c r="M559" s="212"/>
      <c r="N559" s="212"/>
    </row>
    <row r="560" spans="1:14">
      <c r="A560" s="213" t="str">
        <f>name!E$11</f>
        <v>Process, plant and machine operatives</v>
      </c>
      <c r="B560" s="278">
        <v>29.942903178332649</v>
      </c>
      <c r="C560" s="278">
        <v>137.69738366857192</v>
      </c>
      <c r="D560" s="278">
        <f t="shared" si="208"/>
        <v>167.64028684690456</v>
      </c>
      <c r="E560" s="279"/>
      <c r="F560" s="278">
        <v>25.7330464796303</v>
      </c>
      <c r="G560" s="278">
        <v>115.60977459845107</v>
      </c>
      <c r="H560" s="278">
        <f t="shared" si="209"/>
        <v>141.34282107808136</v>
      </c>
      <c r="I560" s="279"/>
      <c r="J560" s="278">
        <v>30.675278593772195</v>
      </c>
      <c r="K560" s="278">
        <v>100.01256884892653</v>
      </c>
      <c r="L560" s="278">
        <f t="shared" si="210"/>
        <v>130.68784744269874</v>
      </c>
      <c r="M560" s="212"/>
      <c r="N560" s="212"/>
    </row>
    <row r="561" spans="1:14">
      <c r="A561" s="213" t="str">
        <f>name!E$12</f>
        <v>Elementary occupations</v>
      </c>
      <c r="B561" s="278">
        <v>44.868145839251724</v>
      </c>
      <c r="C561" s="278">
        <v>89.640106728908549</v>
      </c>
      <c r="D561" s="278">
        <f t="shared" si="208"/>
        <v>134.50825256816029</v>
      </c>
      <c r="E561" s="279"/>
      <c r="F561" s="278">
        <v>35.789001030639575</v>
      </c>
      <c r="G561" s="278">
        <v>68.894249965459778</v>
      </c>
      <c r="H561" s="278">
        <f t="shared" si="209"/>
        <v>104.68325099609936</v>
      </c>
      <c r="I561" s="279"/>
      <c r="J561" s="278">
        <v>59.794320240325774</v>
      </c>
      <c r="K561" s="278">
        <v>61.955592927367952</v>
      </c>
      <c r="L561" s="278">
        <f t="shared" si="210"/>
        <v>121.74991316769373</v>
      </c>
      <c r="M561" s="212"/>
      <c r="N561" s="212"/>
    </row>
    <row r="562" spans="1:14">
      <c r="A562" s="213"/>
      <c r="B562" s="278"/>
      <c r="C562" s="278"/>
      <c r="D562" s="278"/>
      <c r="E562" s="279"/>
      <c r="F562" s="278"/>
      <c r="G562" s="278"/>
      <c r="H562" s="278"/>
      <c r="I562" s="279"/>
      <c r="J562" s="278"/>
      <c r="K562" s="278"/>
      <c r="L562" s="278"/>
      <c r="M562" s="212"/>
      <c r="N562" s="212"/>
    </row>
    <row r="563" spans="1:14">
      <c r="A563" s="220" t="s">
        <v>119</v>
      </c>
      <c r="B563" s="282">
        <f>SUM(B553:B561)</f>
        <v>365.85800000306199</v>
      </c>
      <c r="C563" s="282">
        <f t="shared" ref="C563:D563" si="211">SUM(C553:C561)</f>
        <v>713.5320000047052</v>
      </c>
      <c r="D563" s="282">
        <f t="shared" si="211"/>
        <v>1079.3900000077672</v>
      </c>
      <c r="E563" s="282"/>
      <c r="F563" s="282">
        <f t="shared" ref="F563:H563" si="212">SUM(F553:F561)</f>
        <v>390.59899999926182</v>
      </c>
      <c r="G563" s="282">
        <f t="shared" si="212"/>
        <v>715.65500000070188</v>
      </c>
      <c r="H563" s="282">
        <f t="shared" si="212"/>
        <v>1106.253999999964</v>
      </c>
      <c r="I563" s="282"/>
      <c r="J563" s="282">
        <f t="shared" ref="J563:L563" si="213">SUM(J553:J561)</f>
        <v>429.36900001090987</v>
      </c>
      <c r="K563" s="282">
        <f t="shared" si="213"/>
        <v>697.12900000352693</v>
      </c>
      <c r="L563" s="282">
        <f t="shared" si="213"/>
        <v>1126.4980000144367</v>
      </c>
      <c r="M563" s="212"/>
      <c r="N563" s="212"/>
    </row>
    <row r="564" spans="1:14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6"/>
      <c r="M564" s="212"/>
      <c r="N564" s="212"/>
    </row>
    <row r="565" spans="1:14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32" t="s">
        <v>114</v>
      </c>
      <c r="M565" s="212"/>
      <c r="N565" s="212"/>
    </row>
    <row r="566" spans="1:14" ht="12.95">
      <c r="A566" s="218"/>
      <c r="B566" s="226"/>
      <c r="C566" s="226"/>
      <c r="D566" s="226"/>
      <c r="E566" s="226"/>
      <c r="F566" s="226"/>
      <c r="G566" s="226"/>
      <c r="H566" s="226"/>
      <c r="I566" s="226"/>
      <c r="J566" s="226"/>
      <c r="K566" s="226"/>
      <c r="L566" s="212"/>
      <c r="M566" s="212"/>
      <c r="N566" s="212"/>
    </row>
    <row r="567" spans="1:14" ht="12.95">
      <c r="A567" s="217" t="str">
        <f>name!A36</f>
        <v>Retail trade</v>
      </c>
      <c r="B567" s="367">
        <f>B$6</f>
        <v>2015</v>
      </c>
      <c r="C567" s="367"/>
      <c r="D567" s="367"/>
      <c r="E567" s="229"/>
      <c r="F567" s="367">
        <f>F550</f>
        <v>2020</v>
      </c>
      <c r="G567" s="367"/>
      <c r="H567" s="367"/>
      <c r="I567" s="229"/>
      <c r="J567" s="367">
        <f>J550</f>
        <v>2035</v>
      </c>
      <c r="K567" s="367"/>
      <c r="L567" s="367"/>
      <c r="M567" s="212"/>
      <c r="N567" s="212"/>
    </row>
    <row r="568" spans="1:14" ht="12.95">
      <c r="A568" s="230"/>
      <c r="B568" s="231" t="s">
        <v>173</v>
      </c>
      <c r="C568" s="231" t="s">
        <v>174</v>
      </c>
      <c r="D568" s="231" t="s">
        <v>119</v>
      </c>
      <c r="E568" s="231"/>
      <c r="F568" s="231" t="s">
        <v>173</v>
      </c>
      <c r="G568" s="231" t="s">
        <v>174</v>
      </c>
      <c r="H568" s="231" t="s">
        <v>119</v>
      </c>
      <c r="I568" s="231"/>
      <c r="J568" s="231" t="s">
        <v>173</v>
      </c>
      <c r="K568" s="231" t="s">
        <v>174</v>
      </c>
      <c r="L568" s="231" t="s">
        <v>119</v>
      </c>
      <c r="M568" s="212"/>
      <c r="N568" s="212"/>
    </row>
    <row r="569" spans="1:14" ht="12.95">
      <c r="A569" s="234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12"/>
      <c r="N569" s="212"/>
    </row>
    <row r="570" spans="1:14">
      <c r="A570" s="213" t="str">
        <f>name!E$4</f>
        <v>Managers, directors and senior officials</v>
      </c>
      <c r="B570" s="278">
        <v>133.51549688827578</v>
      </c>
      <c r="C570" s="278">
        <v>167.82874363457879</v>
      </c>
      <c r="D570" s="278">
        <f>SUM(B570:C570)</f>
        <v>301.34424052285453</v>
      </c>
      <c r="E570" s="279"/>
      <c r="F570" s="278">
        <v>165.98210556778562</v>
      </c>
      <c r="G570" s="278">
        <v>176.25051471127958</v>
      </c>
      <c r="H570" s="278">
        <f>SUM(F570:G570)</f>
        <v>342.2326202790652</v>
      </c>
      <c r="I570" s="279"/>
      <c r="J570" s="278">
        <v>188.18648964682222</v>
      </c>
      <c r="K570" s="278">
        <v>188.73350189030015</v>
      </c>
      <c r="L570" s="278">
        <f>SUM(J570:K570)</f>
        <v>376.91999153712237</v>
      </c>
      <c r="M570" s="212"/>
      <c r="N570" s="212"/>
    </row>
    <row r="571" spans="1:14">
      <c r="A571" s="213" t="str">
        <f>name!E$5</f>
        <v>Professional occupations</v>
      </c>
      <c r="B571" s="278">
        <v>116.48877394307262</v>
      </c>
      <c r="C571" s="278">
        <v>86.533443336071784</v>
      </c>
      <c r="D571" s="278">
        <f t="shared" ref="D571:D578" si="214">SUM(B571:C571)</f>
        <v>203.0222172791444</v>
      </c>
      <c r="E571" s="279"/>
      <c r="F571" s="278">
        <v>148.89647548825278</v>
      </c>
      <c r="G571" s="278">
        <v>107.76517563659218</v>
      </c>
      <c r="H571" s="278">
        <f t="shared" ref="H571:H578" si="215">SUM(F571:G571)</f>
        <v>256.66165112484498</v>
      </c>
      <c r="I571" s="279"/>
      <c r="J571" s="278">
        <v>177.18259212187482</v>
      </c>
      <c r="K571" s="278">
        <v>146.06250035678553</v>
      </c>
      <c r="L571" s="278">
        <f t="shared" ref="L571:L578" si="216">SUM(J571:K571)</f>
        <v>323.24509247866035</v>
      </c>
      <c r="M571" s="212"/>
      <c r="N571" s="212"/>
    </row>
    <row r="572" spans="1:14">
      <c r="A572" s="213" t="str">
        <f>name!E$6</f>
        <v>Associate professional occupations</v>
      </c>
      <c r="B572" s="278">
        <v>104.1374887473925</v>
      </c>
      <c r="C572" s="278">
        <v>71.274564863161487</v>
      </c>
      <c r="D572" s="278">
        <f t="shared" si="214"/>
        <v>175.41205361055398</v>
      </c>
      <c r="E572" s="279"/>
      <c r="F572" s="278">
        <v>120.14504571854108</v>
      </c>
      <c r="G572" s="278">
        <v>82.631577960642886</v>
      </c>
      <c r="H572" s="278">
        <f t="shared" si="215"/>
        <v>202.77662367918396</v>
      </c>
      <c r="I572" s="279"/>
      <c r="J572" s="278">
        <v>139.51552105169799</v>
      </c>
      <c r="K572" s="278">
        <v>91.758694852931285</v>
      </c>
      <c r="L572" s="278">
        <f t="shared" si="216"/>
        <v>231.27421590462927</v>
      </c>
      <c r="M572" s="212"/>
      <c r="N572" s="212"/>
    </row>
    <row r="573" spans="1:14">
      <c r="A573" s="213" t="str">
        <f>name!E$7</f>
        <v>Administrative and secretarial occupations</v>
      </c>
      <c r="B573" s="278">
        <v>124.35596538323252</v>
      </c>
      <c r="C573" s="278">
        <v>46.986871204501448</v>
      </c>
      <c r="D573" s="278">
        <f t="shared" si="214"/>
        <v>171.34283658773396</v>
      </c>
      <c r="E573" s="279"/>
      <c r="F573" s="278">
        <v>125.49616901469746</v>
      </c>
      <c r="G573" s="278">
        <v>54.93509606466305</v>
      </c>
      <c r="H573" s="278">
        <f t="shared" si="215"/>
        <v>180.43126507936051</v>
      </c>
      <c r="I573" s="279"/>
      <c r="J573" s="278">
        <v>137.39265077157322</v>
      </c>
      <c r="K573" s="278">
        <v>73.430696469143072</v>
      </c>
      <c r="L573" s="278">
        <f t="shared" si="216"/>
        <v>210.82334724071629</v>
      </c>
      <c r="M573" s="212"/>
      <c r="N573" s="212"/>
    </row>
    <row r="574" spans="1:14">
      <c r="A574" s="213" t="str">
        <f>name!E$8</f>
        <v>Skilled trades occupations</v>
      </c>
      <c r="B574" s="278">
        <v>41.030891367576658</v>
      </c>
      <c r="C574" s="278">
        <v>89.09857291819398</v>
      </c>
      <c r="D574" s="278">
        <f t="shared" si="214"/>
        <v>130.12946428577064</v>
      </c>
      <c r="E574" s="279"/>
      <c r="F574" s="278">
        <v>36.942947343502098</v>
      </c>
      <c r="G574" s="278">
        <v>65.846332126409777</v>
      </c>
      <c r="H574" s="278">
        <f t="shared" si="215"/>
        <v>102.78927946991188</v>
      </c>
      <c r="I574" s="279"/>
      <c r="J574" s="278">
        <v>37.984197463205753</v>
      </c>
      <c r="K574" s="278">
        <v>71.408039567014612</v>
      </c>
      <c r="L574" s="278">
        <f t="shared" si="216"/>
        <v>109.39223703022037</v>
      </c>
      <c r="M574" s="212"/>
      <c r="N574" s="212"/>
    </row>
    <row r="575" spans="1:14">
      <c r="A575" s="213" t="str">
        <f>name!E$9</f>
        <v>Caring, leisure and other service occupations</v>
      </c>
      <c r="B575" s="278">
        <v>13.506650062130175</v>
      </c>
      <c r="C575" s="278">
        <v>5.3864273201348531</v>
      </c>
      <c r="D575" s="278">
        <f t="shared" si="214"/>
        <v>18.893077382265027</v>
      </c>
      <c r="E575" s="279"/>
      <c r="F575" s="278">
        <v>12.359406830533718</v>
      </c>
      <c r="G575" s="278">
        <v>5.8022022556029693</v>
      </c>
      <c r="H575" s="278">
        <f t="shared" si="215"/>
        <v>18.161609086136686</v>
      </c>
      <c r="I575" s="279"/>
      <c r="J575" s="278">
        <v>12.975310118760868</v>
      </c>
      <c r="K575" s="278">
        <v>7.1032152235651349</v>
      </c>
      <c r="L575" s="278">
        <f t="shared" si="216"/>
        <v>20.078525342326003</v>
      </c>
      <c r="M575" s="212"/>
      <c r="N575" s="212"/>
    </row>
    <row r="576" spans="1:14">
      <c r="A576" s="213" t="str">
        <f>name!E$10</f>
        <v>Sales and customer service occupations</v>
      </c>
      <c r="B576" s="278">
        <v>861.2742239233861</v>
      </c>
      <c r="C576" s="278">
        <v>430.69417368387116</v>
      </c>
      <c r="D576" s="278">
        <f t="shared" si="214"/>
        <v>1291.9683976072572</v>
      </c>
      <c r="E576" s="279"/>
      <c r="F576" s="278">
        <v>789.99642545170832</v>
      </c>
      <c r="G576" s="278">
        <v>422.60518545050274</v>
      </c>
      <c r="H576" s="278">
        <f t="shared" si="215"/>
        <v>1212.6016109022112</v>
      </c>
      <c r="I576" s="279"/>
      <c r="J576" s="278">
        <v>665.58216218579639</v>
      </c>
      <c r="K576" s="278">
        <v>411.83037354120739</v>
      </c>
      <c r="L576" s="278">
        <f t="shared" si="216"/>
        <v>1077.4125357270038</v>
      </c>
      <c r="M576" s="212"/>
      <c r="N576" s="212"/>
    </row>
    <row r="577" spans="1:14">
      <c r="A577" s="213" t="str">
        <f>name!E$11</f>
        <v>Process, plant and machine operatives</v>
      </c>
      <c r="B577" s="278">
        <v>18.439736685978019</v>
      </c>
      <c r="C577" s="278">
        <v>66.895169966337917</v>
      </c>
      <c r="D577" s="278">
        <f t="shared" si="214"/>
        <v>85.334906652315937</v>
      </c>
      <c r="E577" s="279"/>
      <c r="F577" s="278">
        <v>16.729541001313756</v>
      </c>
      <c r="G577" s="278">
        <v>61.39223351708732</v>
      </c>
      <c r="H577" s="278">
        <f t="shared" si="215"/>
        <v>78.121774518401082</v>
      </c>
      <c r="I577" s="279"/>
      <c r="J577" s="278">
        <v>24.743903325773839</v>
      </c>
      <c r="K577" s="278">
        <v>58.412404607517118</v>
      </c>
      <c r="L577" s="278">
        <f t="shared" si="216"/>
        <v>83.156307933290961</v>
      </c>
      <c r="M577" s="212"/>
      <c r="N577" s="212"/>
    </row>
    <row r="578" spans="1:14">
      <c r="A578" s="213" t="str">
        <f>name!E$12</f>
        <v>Elementary occupations</v>
      </c>
      <c r="B578" s="278">
        <v>146.34677305021853</v>
      </c>
      <c r="C578" s="278">
        <v>145.88503308786534</v>
      </c>
      <c r="D578" s="278">
        <f t="shared" si="214"/>
        <v>292.23180613808387</v>
      </c>
      <c r="E578" s="279"/>
      <c r="F578" s="278">
        <v>122.24088361676013</v>
      </c>
      <c r="G578" s="278">
        <v>120.47168227593605</v>
      </c>
      <c r="H578" s="278">
        <f t="shared" si="215"/>
        <v>242.71256589269618</v>
      </c>
      <c r="I578" s="279"/>
      <c r="J578" s="278">
        <v>113.44117337150362</v>
      </c>
      <c r="K578" s="278">
        <v>102.78657350100644</v>
      </c>
      <c r="L578" s="278">
        <f t="shared" si="216"/>
        <v>216.22774687251007</v>
      </c>
      <c r="M578" s="212"/>
      <c r="N578" s="212"/>
    </row>
    <row r="579" spans="1:14">
      <c r="A579" s="213"/>
      <c r="B579" s="278"/>
      <c r="C579" s="278"/>
      <c r="D579" s="278"/>
      <c r="E579" s="279"/>
      <c r="F579" s="278"/>
      <c r="G579" s="278"/>
      <c r="H579" s="278"/>
      <c r="I579" s="279"/>
      <c r="J579" s="278"/>
      <c r="K579" s="278"/>
      <c r="L579" s="278"/>
      <c r="M579" s="212"/>
      <c r="N579" s="212"/>
    </row>
    <row r="580" spans="1:14">
      <c r="A580" s="220" t="s">
        <v>119</v>
      </c>
      <c r="B580" s="282">
        <f>SUM(B570:B578)</f>
        <v>1559.0960000512628</v>
      </c>
      <c r="C580" s="282">
        <f t="shared" ref="C580:D580" si="217">SUM(C570:C578)</f>
        <v>1110.5830000147166</v>
      </c>
      <c r="D580" s="282">
        <f t="shared" si="217"/>
        <v>2669.6790000659794</v>
      </c>
      <c r="E580" s="282"/>
      <c r="F580" s="282">
        <f t="shared" ref="F580:H580" si="218">SUM(F570:F578)</f>
        <v>1538.7890000330949</v>
      </c>
      <c r="G580" s="282">
        <f t="shared" si="218"/>
        <v>1097.6999999987165</v>
      </c>
      <c r="H580" s="282">
        <f t="shared" si="218"/>
        <v>2636.4890000318119</v>
      </c>
      <c r="I580" s="282"/>
      <c r="J580" s="282">
        <f t="shared" ref="J580:L580" si="219">SUM(J570:J578)</f>
        <v>1497.0040000570089</v>
      </c>
      <c r="K580" s="282">
        <f t="shared" si="219"/>
        <v>1151.5260000094706</v>
      </c>
      <c r="L580" s="282">
        <f t="shared" si="219"/>
        <v>2648.5300000664797</v>
      </c>
      <c r="M580" s="212"/>
      <c r="N580" s="212"/>
    </row>
    <row r="581" spans="1:14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6"/>
      <c r="M581" s="212"/>
      <c r="N581" s="212"/>
    </row>
    <row r="582" spans="1:14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32" t="s">
        <v>114</v>
      </c>
      <c r="M582" s="212"/>
      <c r="N582" s="212"/>
    </row>
    <row r="583" spans="1:14" ht="12.95">
      <c r="A583" s="218"/>
      <c r="B583" s="226"/>
      <c r="C583" s="226"/>
      <c r="D583" s="226"/>
      <c r="E583" s="226"/>
      <c r="F583" s="226"/>
      <c r="G583" s="226"/>
      <c r="H583" s="226"/>
      <c r="I583" s="226"/>
      <c r="J583" s="226"/>
      <c r="K583" s="226"/>
      <c r="L583" s="212"/>
      <c r="M583" s="212"/>
      <c r="N583" s="212"/>
    </row>
    <row r="584" spans="1:14" ht="12.95">
      <c r="A584" s="217" t="str">
        <f>name!A37</f>
        <v>Land transport, etc</v>
      </c>
      <c r="B584" s="367">
        <f>B$6</f>
        <v>2015</v>
      </c>
      <c r="C584" s="367"/>
      <c r="D584" s="367"/>
      <c r="E584" s="229"/>
      <c r="F584" s="367">
        <f>F567</f>
        <v>2020</v>
      </c>
      <c r="G584" s="367"/>
      <c r="H584" s="367"/>
      <c r="I584" s="229"/>
      <c r="J584" s="367">
        <f>J567</f>
        <v>2035</v>
      </c>
      <c r="K584" s="367"/>
      <c r="L584" s="367"/>
      <c r="M584" s="212"/>
      <c r="N584" s="212"/>
    </row>
    <row r="585" spans="1:14" ht="12.95">
      <c r="A585" s="230"/>
      <c r="B585" s="231" t="s">
        <v>173</v>
      </c>
      <c r="C585" s="231" t="s">
        <v>174</v>
      </c>
      <c r="D585" s="231" t="s">
        <v>119</v>
      </c>
      <c r="E585" s="231"/>
      <c r="F585" s="231" t="s">
        <v>173</v>
      </c>
      <c r="G585" s="231" t="s">
        <v>174</v>
      </c>
      <c r="H585" s="231" t="s">
        <v>119</v>
      </c>
      <c r="I585" s="231"/>
      <c r="J585" s="231" t="s">
        <v>173</v>
      </c>
      <c r="K585" s="231" t="s">
        <v>174</v>
      </c>
      <c r="L585" s="231" t="s">
        <v>119</v>
      </c>
      <c r="M585" s="212"/>
      <c r="N585" s="212"/>
    </row>
    <row r="586" spans="1:14" ht="12.95">
      <c r="A586" s="234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12"/>
      <c r="N586" s="212"/>
    </row>
    <row r="587" spans="1:14">
      <c r="A587" s="213" t="str">
        <f>name!E$4</f>
        <v>Managers, directors and senior officials</v>
      </c>
      <c r="B587" s="278">
        <v>6.0385395544036662</v>
      </c>
      <c r="C587" s="278">
        <v>31.900791991813151</v>
      </c>
      <c r="D587" s="278">
        <f>SUM(B587:C587)</f>
        <v>37.93933154621682</v>
      </c>
      <c r="E587" s="279"/>
      <c r="F587" s="278">
        <v>11.754506253268241</v>
      </c>
      <c r="G587" s="278">
        <v>36.880708966159901</v>
      </c>
      <c r="H587" s="278">
        <f>SUM(F587:G587)</f>
        <v>48.63521521942814</v>
      </c>
      <c r="I587" s="279"/>
      <c r="J587" s="278">
        <v>14.173718155148821</v>
      </c>
      <c r="K587" s="278">
        <v>39.784337719797854</v>
      </c>
      <c r="L587" s="278">
        <f>SUM(J587:K587)</f>
        <v>53.958055874946673</v>
      </c>
      <c r="M587" s="212"/>
      <c r="N587" s="212"/>
    </row>
    <row r="588" spans="1:14">
      <c r="A588" s="213" t="str">
        <f>name!E$5</f>
        <v>Professional occupations</v>
      </c>
      <c r="B588" s="278">
        <v>7.9787958948435698</v>
      </c>
      <c r="C588" s="278">
        <v>21.15950512223684</v>
      </c>
      <c r="D588" s="278">
        <f t="shared" ref="D588:D595" si="220">SUM(B588:C588)</f>
        <v>29.138301017080408</v>
      </c>
      <c r="E588" s="279"/>
      <c r="F588" s="278">
        <v>15.119209199233584</v>
      </c>
      <c r="G588" s="278">
        <v>31.541092234674771</v>
      </c>
      <c r="H588" s="278">
        <f t="shared" ref="H588:H595" si="221">SUM(F588:G588)</f>
        <v>46.660301433908359</v>
      </c>
      <c r="I588" s="279"/>
      <c r="J588" s="278">
        <v>21.703665791637533</v>
      </c>
      <c r="K588" s="278">
        <v>50.247585094089338</v>
      </c>
      <c r="L588" s="278">
        <f t="shared" ref="L588:L595" si="222">SUM(J588:K588)</f>
        <v>71.951250885726864</v>
      </c>
      <c r="M588" s="212"/>
      <c r="N588" s="212"/>
    </row>
    <row r="589" spans="1:14">
      <c r="A589" s="213" t="str">
        <f>name!E$6</f>
        <v>Associate professional occupations</v>
      </c>
      <c r="B589" s="278">
        <v>7.3827713734293887</v>
      </c>
      <c r="C589" s="278">
        <v>25.891419384034229</v>
      </c>
      <c r="D589" s="278">
        <f t="shared" si="220"/>
        <v>33.274190757463614</v>
      </c>
      <c r="E589" s="279"/>
      <c r="F589" s="278">
        <v>11.975021385656619</v>
      </c>
      <c r="G589" s="278">
        <v>37.614026731779916</v>
      </c>
      <c r="H589" s="278">
        <f t="shared" si="221"/>
        <v>49.589048117436533</v>
      </c>
      <c r="I589" s="279"/>
      <c r="J589" s="278">
        <v>15.378153396125303</v>
      </c>
      <c r="K589" s="278">
        <v>49.659888436923715</v>
      </c>
      <c r="L589" s="278">
        <f t="shared" si="222"/>
        <v>65.038041833049022</v>
      </c>
      <c r="M589" s="212"/>
      <c r="N589" s="212"/>
    </row>
    <row r="590" spans="1:14">
      <c r="A590" s="213" t="str">
        <f>name!E$7</f>
        <v>Administrative and secretarial occupations</v>
      </c>
      <c r="B590" s="278">
        <v>25.973075050032982</v>
      </c>
      <c r="C590" s="278">
        <v>23.291024659424671</v>
      </c>
      <c r="D590" s="278">
        <f t="shared" si="220"/>
        <v>49.264099709457653</v>
      </c>
      <c r="E590" s="279"/>
      <c r="F590" s="278">
        <v>35.479628840445358</v>
      </c>
      <c r="G590" s="278">
        <v>29.945268698459191</v>
      </c>
      <c r="H590" s="278">
        <f t="shared" si="221"/>
        <v>65.424897538904546</v>
      </c>
      <c r="I590" s="279"/>
      <c r="J590" s="278">
        <v>31.986064996698385</v>
      </c>
      <c r="K590" s="278">
        <v>37.920330424123676</v>
      </c>
      <c r="L590" s="278">
        <f t="shared" si="222"/>
        <v>69.906395420822065</v>
      </c>
      <c r="M590" s="212"/>
      <c r="N590" s="212"/>
    </row>
    <row r="591" spans="1:14">
      <c r="A591" s="213" t="str">
        <f>name!E$8</f>
        <v>Skilled trades occupations</v>
      </c>
      <c r="B591" s="278">
        <v>0.88358499825970083</v>
      </c>
      <c r="C591" s="278">
        <v>48.073909326349415</v>
      </c>
      <c r="D591" s="278">
        <f t="shared" si="220"/>
        <v>48.957494324609115</v>
      </c>
      <c r="E591" s="279"/>
      <c r="F591" s="278">
        <v>1.4832766748929673</v>
      </c>
      <c r="G591" s="278">
        <v>38.888521056698636</v>
      </c>
      <c r="H591" s="278">
        <f t="shared" si="221"/>
        <v>40.371797731591606</v>
      </c>
      <c r="I591" s="279"/>
      <c r="J591" s="278">
        <v>2.8974319489854392</v>
      </c>
      <c r="K591" s="278">
        <v>34.644450909142002</v>
      </c>
      <c r="L591" s="278">
        <f t="shared" si="222"/>
        <v>37.541882858127444</v>
      </c>
      <c r="M591" s="212"/>
      <c r="N591" s="212"/>
    </row>
    <row r="592" spans="1:14">
      <c r="A592" s="213" t="str">
        <f>name!E$9</f>
        <v>Caring, leisure and other service occupations</v>
      </c>
      <c r="B592" s="278">
        <v>11.430865049739914</v>
      </c>
      <c r="C592" s="278">
        <v>13.046744685887349</v>
      </c>
      <c r="D592" s="278">
        <f t="shared" si="220"/>
        <v>24.477609735627262</v>
      </c>
      <c r="E592" s="279"/>
      <c r="F592" s="278">
        <v>15.715041231824035</v>
      </c>
      <c r="G592" s="278">
        <v>18.069401789336549</v>
      </c>
      <c r="H592" s="278">
        <f t="shared" si="221"/>
        <v>33.784443021160584</v>
      </c>
      <c r="I592" s="279"/>
      <c r="J592" s="278">
        <v>14.675973067945984</v>
      </c>
      <c r="K592" s="278">
        <v>21.613724475219723</v>
      </c>
      <c r="L592" s="278">
        <f t="shared" si="222"/>
        <v>36.289697543165708</v>
      </c>
      <c r="M592" s="212"/>
      <c r="N592" s="212"/>
    </row>
    <row r="593" spans="1:14">
      <c r="A593" s="213" t="str">
        <f>name!E$10</f>
        <v>Sales and customer service occupations</v>
      </c>
      <c r="B593" s="278">
        <v>4.2228220007968549</v>
      </c>
      <c r="C593" s="278">
        <v>6.6940748387327496</v>
      </c>
      <c r="D593" s="278">
        <f t="shared" si="220"/>
        <v>10.916896839529604</v>
      </c>
      <c r="E593" s="279"/>
      <c r="F593" s="278">
        <v>6.0364193800939931</v>
      </c>
      <c r="G593" s="278">
        <v>7.9042733795802738</v>
      </c>
      <c r="H593" s="278">
        <f t="shared" si="221"/>
        <v>13.940692759674267</v>
      </c>
      <c r="I593" s="279"/>
      <c r="J593" s="278">
        <v>6.5148648475161215</v>
      </c>
      <c r="K593" s="278">
        <v>11.906272867442595</v>
      </c>
      <c r="L593" s="278">
        <f t="shared" si="222"/>
        <v>18.421137714958718</v>
      </c>
      <c r="M593" s="212"/>
      <c r="N593" s="212"/>
    </row>
    <row r="594" spans="1:14">
      <c r="A594" s="213" t="str">
        <f>name!E$11</f>
        <v>Process, plant and machine operatives</v>
      </c>
      <c r="B594" s="278">
        <v>13.073754735521861</v>
      </c>
      <c r="C594" s="278">
        <v>369.47992046781434</v>
      </c>
      <c r="D594" s="278">
        <f t="shared" si="220"/>
        <v>382.55367520333618</v>
      </c>
      <c r="E594" s="279"/>
      <c r="F594" s="278">
        <v>16.929410770118228</v>
      </c>
      <c r="G594" s="278">
        <v>367.87984435070933</v>
      </c>
      <c r="H594" s="278">
        <f t="shared" si="221"/>
        <v>384.80925512082757</v>
      </c>
      <c r="I594" s="279"/>
      <c r="J594" s="278">
        <v>25.939586449738819</v>
      </c>
      <c r="K594" s="278">
        <v>372.39555791711069</v>
      </c>
      <c r="L594" s="278">
        <f t="shared" si="222"/>
        <v>398.33514436684953</v>
      </c>
      <c r="M594" s="212"/>
      <c r="N594" s="212"/>
    </row>
    <row r="595" spans="1:14">
      <c r="A595" s="213" t="str">
        <f>name!E$12</f>
        <v>Elementary occupations</v>
      </c>
      <c r="B595" s="278">
        <v>4.7417913433450076</v>
      </c>
      <c r="C595" s="278">
        <v>22.779609529581084</v>
      </c>
      <c r="D595" s="278">
        <f t="shared" si="220"/>
        <v>27.52140087292609</v>
      </c>
      <c r="E595" s="279"/>
      <c r="F595" s="278">
        <v>6.1484862641140516</v>
      </c>
      <c r="G595" s="278">
        <v>19.939862795627086</v>
      </c>
      <c r="H595" s="278">
        <f t="shared" si="221"/>
        <v>26.088349059741137</v>
      </c>
      <c r="I595" s="279"/>
      <c r="J595" s="278">
        <v>9.2535413483764319</v>
      </c>
      <c r="K595" s="278">
        <v>18.585852178878831</v>
      </c>
      <c r="L595" s="278">
        <f t="shared" si="222"/>
        <v>27.839393527255261</v>
      </c>
      <c r="M595" s="212"/>
      <c r="N595" s="212"/>
    </row>
    <row r="596" spans="1:14">
      <c r="A596" s="213"/>
      <c r="B596" s="278"/>
      <c r="C596" s="278"/>
      <c r="D596" s="278"/>
      <c r="E596" s="279"/>
      <c r="F596" s="278"/>
      <c r="G596" s="278"/>
      <c r="H596" s="278"/>
      <c r="I596" s="279"/>
      <c r="J596" s="278"/>
      <c r="K596" s="278"/>
      <c r="L596" s="278"/>
      <c r="M596" s="212"/>
      <c r="N596" s="212"/>
    </row>
    <row r="597" spans="1:14">
      <c r="A597" s="220" t="s">
        <v>119</v>
      </c>
      <c r="B597" s="282">
        <f>SUM(B587:B595)</f>
        <v>81.726000000372949</v>
      </c>
      <c r="C597" s="282">
        <f t="shared" ref="C597:D597" si="223">SUM(C587:C595)</f>
        <v>562.31700000587387</v>
      </c>
      <c r="D597" s="282">
        <f t="shared" si="223"/>
        <v>644.04300000624676</v>
      </c>
      <c r="E597" s="282"/>
      <c r="F597" s="282">
        <f t="shared" ref="F597:H597" si="224">SUM(F587:F595)</f>
        <v>120.64099999964706</v>
      </c>
      <c r="G597" s="282">
        <f t="shared" si="224"/>
        <v>588.66300000302567</v>
      </c>
      <c r="H597" s="282">
        <f t="shared" si="224"/>
        <v>709.30400000267286</v>
      </c>
      <c r="I597" s="282"/>
      <c r="J597" s="282">
        <f t="shared" ref="J597:L597" si="225">SUM(J587:J595)</f>
        <v>142.52300000217286</v>
      </c>
      <c r="K597" s="282">
        <f t="shared" si="225"/>
        <v>636.75800002272842</v>
      </c>
      <c r="L597" s="282">
        <f t="shared" si="225"/>
        <v>779.28100002490135</v>
      </c>
      <c r="M597" s="212"/>
      <c r="N597" s="212"/>
    </row>
    <row r="598" spans="1:14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6"/>
      <c r="M598" s="212"/>
      <c r="N598" s="212"/>
    </row>
    <row r="599" spans="1:14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32" t="s">
        <v>114</v>
      </c>
      <c r="M599" s="212"/>
      <c r="N599" s="212"/>
    </row>
    <row r="600" spans="1:14" ht="12.95">
      <c r="A600" s="218"/>
      <c r="B600" s="226"/>
      <c r="C600" s="226"/>
      <c r="D600" s="226"/>
      <c r="E600" s="226"/>
      <c r="F600" s="226"/>
      <c r="G600" s="226"/>
      <c r="H600" s="226"/>
      <c r="I600" s="226"/>
      <c r="J600" s="226"/>
      <c r="K600" s="226"/>
      <c r="L600" s="212"/>
      <c r="M600" s="212"/>
      <c r="N600" s="212"/>
    </row>
    <row r="601" spans="1:14" ht="12.95">
      <c r="A601" s="217" t="str">
        <f>name!A38</f>
        <v>Water transport</v>
      </c>
      <c r="B601" s="367">
        <f>B$6</f>
        <v>2015</v>
      </c>
      <c r="C601" s="367"/>
      <c r="D601" s="367"/>
      <c r="E601" s="229"/>
      <c r="F601" s="367">
        <f>F584</f>
        <v>2020</v>
      </c>
      <c r="G601" s="367"/>
      <c r="H601" s="367"/>
      <c r="I601" s="229"/>
      <c r="J601" s="367">
        <f>J584</f>
        <v>2035</v>
      </c>
      <c r="K601" s="367"/>
      <c r="L601" s="367"/>
      <c r="M601" s="212"/>
      <c r="N601" s="212"/>
    </row>
    <row r="602" spans="1:14" ht="12.95">
      <c r="A602" s="230"/>
      <c r="B602" s="231" t="s">
        <v>173</v>
      </c>
      <c r="C602" s="231" t="s">
        <v>174</v>
      </c>
      <c r="D602" s="231" t="s">
        <v>119</v>
      </c>
      <c r="E602" s="231"/>
      <c r="F602" s="231" t="s">
        <v>173</v>
      </c>
      <c r="G602" s="231" t="s">
        <v>174</v>
      </c>
      <c r="H602" s="231" t="s">
        <v>119</v>
      </c>
      <c r="I602" s="231"/>
      <c r="J602" s="231" t="s">
        <v>173</v>
      </c>
      <c r="K602" s="231" t="s">
        <v>174</v>
      </c>
      <c r="L602" s="231" t="s">
        <v>119</v>
      </c>
      <c r="M602" s="212"/>
      <c r="N602" s="212"/>
    </row>
    <row r="603" spans="1:14" ht="12.95">
      <c r="A603" s="234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12"/>
      <c r="N603" s="212"/>
    </row>
    <row r="604" spans="1:14">
      <c r="A604" s="213" t="str">
        <f>name!E$4</f>
        <v>Managers, directors and senior officials</v>
      </c>
      <c r="B604" s="278">
        <v>0.49075525578067969</v>
      </c>
      <c r="C604" s="278">
        <v>1.0839078706037728</v>
      </c>
      <c r="D604" s="278">
        <f>SUM(B604:C604)</f>
        <v>1.5746631263844524</v>
      </c>
      <c r="E604" s="279"/>
      <c r="F604" s="278">
        <v>0.52468520835753008</v>
      </c>
      <c r="G604" s="278">
        <v>1.984460886896112</v>
      </c>
      <c r="H604" s="278">
        <f>SUM(F604:G604)</f>
        <v>2.5091460952536422</v>
      </c>
      <c r="I604" s="279"/>
      <c r="J604" s="278">
        <v>0.46286687860736503</v>
      </c>
      <c r="K604" s="278">
        <v>1.5173049497015643</v>
      </c>
      <c r="L604" s="278">
        <f>SUM(J604:K604)</f>
        <v>1.9801718283089293</v>
      </c>
      <c r="M604" s="212"/>
      <c r="N604" s="212"/>
    </row>
    <row r="605" spans="1:14">
      <c r="A605" s="213" t="str">
        <f>name!E$5</f>
        <v>Professional occupations</v>
      </c>
      <c r="B605" s="278">
        <v>0.75739333006648313</v>
      </c>
      <c r="C605" s="278">
        <v>1.578165052048903</v>
      </c>
      <c r="D605" s="278">
        <f t="shared" ref="D605:D612" si="226">SUM(B605:C605)</f>
        <v>2.3355583821153862</v>
      </c>
      <c r="E605" s="279"/>
      <c r="F605" s="278">
        <v>0.84727597761739037</v>
      </c>
      <c r="G605" s="278">
        <v>2.1981992711620357</v>
      </c>
      <c r="H605" s="278">
        <f t="shared" ref="H605:H612" si="227">SUM(F605:G605)</f>
        <v>3.0454752487794261</v>
      </c>
      <c r="I605" s="279"/>
      <c r="J605" s="278">
        <v>0.80506967591672418</v>
      </c>
      <c r="K605" s="278">
        <v>2.0687802715699277</v>
      </c>
      <c r="L605" s="278">
        <f t="shared" ref="L605:L612" si="228">SUM(J605:K605)</f>
        <v>2.8738499474866517</v>
      </c>
      <c r="M605" s="212"/>
      <c r="N605" s="212"/>
    </row>
    <row r="606" spans="1:14">
      <c r="A606" s="213" t="str">
        <f>name!E$6</f>
        <v>Associate professional occupations</v>
      </c>
      <c r="B606" s="278">
        <v>0.774101626043322</v>
      </c>
      <c r="C606" s="278">
        <v>2.1351783513785416</v>
      </c>
      <c r="D606" s="278">
        <f t="shared" si="226"/>
        <v>2.9092799774218636</v>
      </c>
      <c r="E606" s="279"/>
      <c r="F606" s="278">
        <v>0.77330838583785322</v>
      </c>
      <c r="G606" s="278">
        <v>2.6301488645117299</v>
      </c>
      <c r="H606" s="278">
        <f t="shared" si="227"/>
        <v>3.4034572503495832</v>
      </c>
      <c r="I606" s="279"/>
      <c r="J606" s="278">
        <v>0.67125789923730173</v>
      </c>
      <c r="K606" s="278">
        <v>2.0378573769730677</v>
      </c>
      <c r="L606" s="278">
        <f t="shared" si="228"/>
        <v>2.7091152762103694</v>
      </c>
      <c r="M606" s="212"/>
      <c r="N606" s="212"/>
    </row>
    <row r="607" spans="1:14">
      <c r="A607" s="213" t="str">
        <f>name!E$7</f>
        <v>Administrative and secretarial occupations</v>
      </c>
      <c r="B607" s="278">
        <v>2.3009702472891016</v>
      </c>
      <c r="C607" s="278">
        <v>0.97202252960409852</v>
      </c>
      <c r="D607" s="278">
        <f t="shared" si="226"/>
        <v>3.2729927768931999</v>
      </c>
      <c r="E607" s="279"/>
      <c r="F607" s="278">
        <v>2.0278585538347622</v>
      </c>
      <c r="G607" s="278">
        <v>0.99606481535351155</v>
      </c>
      <c r="H607" s="278">
        <f t="shared" si="227"/>
        <v>3.0239233691882736</v>
      </c>
      <c r="I607" s="279"/>
      <c r="J607" s="278">
        <v>1.344886338460161</v>
      </c>
      <c r="K607" s="278">
        <v>1.0329001000462701</v>
      </c>
      <c r="L607" s="278">
        <f t="shared" si="228"/>
        <v>2.3777864385064311</v>
      </c>
      <c r="M607" s="212"/>
      <c r="N607" s="212"/>
    </row>
    <row r="608" spans="1:14">
      <c r="A608" s="213" t="str">
        <f>name!E$8</f>
        <v>Skilled trades occupations</v>
      </c>
      <c r="B608" s="278">
        <v>0.1623240712888846</v>
      </c>
      <c r="C608" s="278">
        <v>0.30855193256675223</v>
      </c>
      <c r="D608" s="278">
        <f t="shared" si="226"/>
        <v>0.47087600385563683</v>
      </c>
      <c r="E608" s="279"/>
      <c r="F608" s="278">
        <v>0.1491478080773733</v>
      </c>
      <c r="G608" s="278">
        <v>0.42806878170929685</v>
      </c>
      <c r="H608" s="278">
        <f t="shared" si="227"/>
        <v>0.57721658978667012</v>
      </c>
      <c r="I608" s="279"/>
      <c r="J608" s="278">
        <v>0.17848711816593421</v>
      </c>
      <c r="K608" s="278">
        <v>0.22565053591446593</v>
      </c>
      <c r="L608" s="278">
        <f t="shared" si="228"/>
        <v>0.40413765408040014</v>
      </c>
      <c r="M608" s="212"/>
      <c r="N608" s="212"/>
    </row>
    <row r="609" spans="1:14">
      <c r="A609" s="213" t="str">
        <f>name!E$9</f>
        <v>Caring, leisure and other service occupations</v>
      </c>
      <c r="B609" s="278">
        <v>0.89693691979766854</v>
      </c>
      <c r="C609" s="278">
        <v>0.22287008182139059</v>
      </c>
      <c r="D609" s="278">
        <f t="shared" si="226"/>
        <v>1.1198070016190591</v>
      </c>
      <c r="E609" s="279"/>
      <c r="F609" s="278">
        <v>0.67912580384610832</v>
      </c>
      <c r="G609" s="278">
        <v>0.2344806476044046</v>
      </c>
      <c r="H609" s="278">
        <f t="shared" si="227"/>
        <v>0.91360645145051289</v>
      </c>
      <c r="I609" s="279"/>
      <c r="J609" s="278">
        <v>0.40220221427350084</v>
      </c>
      <c r="K609" s="278">
        <v>0.16666122691491403</v>
      </c>
      <c r="L609" s="278">
        <f t="shared" si="228"/>
        <v>0.56886344118841481</v>
      </c>
      <c r="M609" s="212"/>
      <c r="N609" s="212"/>
    </row>
    <row r="610" spans="1:14">
      <c r="A610" s="213" t="str">
        <f>name!E$10</f>
        <v>Sales and customer service occupations</v>
      </c>
      <c r="B610" s="278">
        <v>0.50362535316140777</v>
      </c>
      <c r="C610" s="278">
        <v>0.32403843782069153</v>
      </c>
      <c r="D610" s="278">
        <f t="shared" si="226"/>
        <v>0.8276637909820993</v>
      </c>
      <c r="E610" s="279"/>
      <c r="F610" s="278">
        <v>0.43494158557405227</v>
      </c>
      <c r="G610" s="278">
        <v>0.33867345358391709</v>
      </c>
      <c r="H610" s="278">
        <f t="shared" si="227"/>
        <v>0.77361503915796936</v>
      </c>
      <c r="I610" s="279"/>
      <c r="J610" s="278">
        <v>0.30955496860927528</v>
      </c>
      <c r="K610" s="278">
        <v>0.30337579565309958</v>
      </c>
      <c r="L610" s="278">
        <f t="shared" si="228"/>
        <v>0.61293076426237492</v>
      </c>
      <c r="M610" s="212"/>
      <c r="N610" s="212"/>
    </row>
    <row r="611" spans="1:14">
      <c r="A611" s="213" t="str">
        <f>name!E$11</f>
        <v>Process, plant and machine operatives</v>
      </c>
      <c r="B611" s="278">
        <v>0.15805249520406067</v>
      </c>
      <c r="C611" s="278">
        <v>0.5766518790959887</v>
      </c>
      <c r="D611" s="278">
        <f t="shared" si="226"/>
        <v>0.73470437430004942</v>
      </c>
      <c r="E611" s="279"/>
      <c r="F611" s="278">
        <v>0.13789579332995441</v>
      </c>
      <c r="G611" s="278">
        <v>0.74344749886250328</v>
      </c>
      <c r="H611" s="278">
        <f t="shared" si="227"/>
        <v>0.88134329219245766</v>
      </c>
      <c r="I611" s="279"/>
      <c r="J611" s="278">
        <v>0.18850573769643308</v>
      </c>
      <c r="K611" s="278">
        <v>0.31470736924655701</v>
      </c>
      <c r="L611" s="278">
        <f t="shared" si="228"/>
        <v>0.50321310694299015</v>
      </c>
      <c r="M611" s="212"/>
      <c r="N611" s="212"/>
    </row>
    <row r="612" spans="1:14">
      <c r="A612" s="213" t="str">
        <f>name!E$12</f>
        <v>Elementary occupations</v>
      </c>
      <c r="B612" s="278">
        <v>0.26184070138224663</v>
      </c>
      <c r="C612" s="278">
        <v>0.71161386510690672</v>
      </c>
      <c r="D612" s="278">
        <f t="shared" si="226"/>
        <v>0.97345456648915341</v>
      </c>
      <c r="E612" s="279"/>
      <c r="F612" s="278">
        <v>0.21276088352535075</v>
      </c>
      <c r="G612" s="278">
        <v>0.6694557803541199</v>
      </c>
      <c r="H612" s="278">
        <f t="shared" si="227"/>
        <v>0.88221666387947062</v>
      </c>
      <c r="I612" s="279"/>
      <c r="J612" s="278">
        <v>0.18116916911481235</v>
      </c>
      <c r="K612" s="278">
        <v>0.4047623740644109</v>
      </c>
      <c r="L612" s="278">
        <f t="shared" si="228"/>
        <v>0.58593154317922325</v>
      </c>
      <c r="M612" s="212"/>
      <c r="N612" s="212"/>
    </row>
    <row r="613" spans="1:14">
      <c r="A613" s="213"/>
      <c r="B613" s="278"/>
      <c r="C613" s="278"/>
      <c r="D613" s="278"/>
      <c r="E613" s="279"/>
      <c r="F613" s="278"/>
      <c r="G613" s="278"/>
      <c r="H613" s="278"/>
      <c r="I613" s="279"/>
      <c r="J613" s="278"/>
      <c r="K613" s="278"/>
      <c r="L613" s="278"/>
      <c r="M613" s="212"/>
      <c r="N613" s="212"/>
    </row>
    <row r="614" spans="1:14">
      <c r="A614" s="220" t="s">
        <v>119</v>
      </c>
      <c r="B614" s="282">
        <f>SUM(B604:B612)</f>
        <v>6.3060000000138547</v>
      </c>
      <c r="C614" s="282">
        <f t="shared" ref="C614:D614" si="229">SUM(C604:C612)</f>
        <v>7.9130000000470462</v>
      </c>
      <c r="D614" s="282">
        <f t="shared" si="229"/>
        <v>14.219000000060898</v>
      </c>
      <c r="E614" s="282"/>
      <c r="F614" s="282">
        <f t="shared" ref="F614:H614" si="230">SUM(F604:F612)</f>
        <v>5.7870000000003747</v>
      </c>
      <c r="G614" s="282">
        <f t="shared" si="230"/>
        <v>10.223000000037631</v>
      </c>
      <c r="H614" s="282">
        <f t="shared" si="230"/>
        <v>16.010000000038005</v>
      </c>
      <c r="I614" s="282"/>
      <c r="J614" s="282">
        <f t="shared" ref="J614:L614" si="231">SUM(J604:J612)</f>
        <v>4.5440000000815077</v>
      </c>
      <c r="K614" s="282">
        <f t="shared" si="231"/>
        <v>8.0720000000842766</v>
      </c>
      <c r="L614" s="282">
        <f t="shared" si="231"/>
        <v>12.616000000165785</v>
      </c>
      <c r="M614" s="212"/>
      <c r="N614" s="212"/>
    </row>
    <row r="615" spans="1:14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6"/>
      <c r="M615" s="212"/>
      <c r="N615" s="212"/>
    </row>
    <row r="616" spans="1:14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32" t="s">
        <v>114</v>
      </c>
      <c r="M616" s="212"/>
      <c r="N616" s="212"/>
    </row>
    <row r="617" spans="1:14" ht="12.95">
      <c r="A617" s="218"/>
      <c r="B617" s="226"/>
      <c r="C617" s="226"/>
      <c r="D617" s="226"/>
      <c r="E617" s="226"/>
      <c r="F617" s="226"/>
      <c r="G617" s="226"/>
      <c r="H617" s="226"/>
      <c r="I617" s="226"/>
      <c r="J617" s="226"/>
      <c r="K617" s="226"/>
      <c r="L617" s="212"/>
      <c r="M617" s="212"/>
      <c r="N617" s="212"/>
    </row>
    <row r="618" spans="1:14" ht="12.95">
      <c r="A618" s="217" t="str">
        <f>name!A39</f>
        <v>Air transport</v>
      </c>
      <c r="B618" s="367">
        <f>B$6</f>
        <v>2015</v>
      </c>
      <c r="C618" s="367"/>
      <c r="D618" s="367"/>
      <c r="E618" s="229"/>
      <c r="F618" s="367">
        <f>F601</f>
        <v>2020</v>
      </c>
      <c r="G618" s="367"/>
      <c r="H618" s="367"/>
      <c r="I618" s="229"/>
      <c r="J618" s="367">
        <f>J601</f>
        <v>2035</v>
      </c>
      <c r="K618" s="367"/>
      <c r="L618" s="367"/>
      <c r="M618" s="212"/>
      <c r="N618" s="212"/>
    </row>
    <row r="619" spans="1:14" ht="12.95">
      <c r="A619" s="230"/>
      <c r="B619" s="231" t="s">
        <v>173</v>
      </c>
      <c r="C619" s="231" t="s">
        <v>174</v>
      </c>
      <c r="D619" s="231" t="s">
        <v>119</v>
      </c>
      <c r="E619" s="231"/>
      <c r="F619" s="231" t="s">
        <v>173</v>
      </c>
      <c r="G619" s="231" t="s">
        <v>174</v>
      </c>
      <c r="H619" s="231" t="s">
        <v>119</v>
      </c>
      <c r="I619" s="231"/>
      <c r="J619" s="231" t="s">
        <v>173</v>
      </c>
      <c r="K619" s="231" t="s">
        <v>174</v>
      </c>
      <c r="L619" s="231" t="s">
        <v>119</v>
      </c>
      <c r="M619" s="212"/>
      <c r="N619" s="212"/>
    </row>
    <row r="620" spans="1:14" ht="12.95">
      <c r="A620" s="234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12"/>
      <c r="N620" s="212"/>
    </row>
    <row r="621" spans="1:14">
      <c r="A621" s="213" t="str">
        <f>name!E$4</f>
        <v>Managers, directors and senior officials</v>
      </c>
      <c r="B621" s="278">
        <v>0.99474915035603284</v>
      </c>
      <c r="C621" s="278">
        <v>3.2648833103677153</v>
      </c>
      <c r="D621" s="278">
        <f>SUM(B621:C621)</f>
        <v>4.2596324607237479</v>
      </c>
      <c r="E621" s="279"/>
      <c r="F621" s="278">
        <v>1.3152881032183465</v>
      </c>
      <c r="G621" s="278">
        <v>4.0022046634129964</v>
      </c>
      <c r="H621" s="278">
        <f>SUM(F621:G621)</f>
        <v>5.317492766631343</v>
      </c>
      <c r="I621" s="279"/>
      <c r="J621" s="278">
        <v>1.6414667672899068</v>
      </c>
      <c r="K621" s="278">
        <v>3.6540453125952359</v>
      </c>
      <c r="L621" s="278">
        <f>SUM(J621:K621)</f>
        <v>5.2955120798851425</v>
      </c>
      <c r="M621" s="212"/>
      <c r="N621" s="212"/>
    </row>
    <row r="622" spans="1:14">
      <c r="A622" s="213" t="str">
        <f>name!E$5</f>
        <v>Professional occupations</v>
      </c>
      <c r="B622" s="278">
        <v>2.6404167819299564</v>
      </c>
      <c r="C622" s="278">
        <v>5.6477679312546147</v>
      </c>
      <c r="D622" s="278">
        <f t="shared" ref="D622:D629" si="232">SUM(B622:C622)</f>
        <v>8.2881847131845703</v>
      </c>
      <c r="E622" s="279"/>
      <c r="F622" s="278">
        <v>3.7164397804203473</v>
      </c>
      <c r="G622" s="278">
        <v>7.3511105098293648</v>
      </c>
      <c r="H622" s="278">
        <f t="shared" ref="H622:H629" si="233">SUM(F622:G622)</f>
        <v>11.067550290249713</v>
      </c>
      <c r="I622" s="279"/>
      <c r="J622" s="278">
        <v>4.9520165405137684</v>
      </c>
      <c r="K622" s="278">
        <v>9.0252866214296024</v>
      </c>
      <c r="L622" s="278">
        <f t="shared" ref="L622:L629" si="234">SUM(J622:K622)</f>
        <v>13.977303161943372</v>
      </c>
      <c r="M622" s="212"/>
      <c r="N622" s="212"/>
    </row>
    <row r="623" spans="1:14">
      <c r="A623" s="213" t="str">
        <f>name!E$6</f>
        <v>Associate professional occupations</v>
      </c>
      <c r="B623" s="278">
        <v>3.6829412972341751</v>
      </c>
      <c r="C623" s="278">
        <v>9.4645170773497469</v>
      </c>
      <c r="D623" s="278">
        <f t="shared" si="232"/>
        <v>13.147458374583922</v>
      </c>
      <c r="E623" s="279"/>
      <c r="F623" s="278">
        <v>4.5447979471921389</v>
      </c>
      <c r="G623" s="278">
        <v>10.09803786137374</v>
      </c>
      <c r="H623" s="278">
        <f t="shared" si="233"/>
        <v>14.642835808565879</v>
      </c>
      <c r="I623" s="279"/>
      <c r="J623" s="278">
        <v>5.6547993773255127</v>
      </c>
      <c r="K623" s="278">
        <v>9.3538810162734638</v>
      </c>
      <c r="L623" s="278">
        <f t="shared" si="234"/>
        <v>15.008680393598976</v>
      </c>
      <c r="M623" s="212"/>
      <c r="N623" s="212"/>
    </row>
    <row r="624" spans="1:14">
      <c r="A624" s="213" t="str">
        <f>name!E$7</f>
        <v>Administrative and secretarial occupations</v>
      </c>
      <c r="B624" s="278">
        <v>3.6883555164234934</v>
      </c>
      <c r="C624" s="278">
        <v>2.2038301853010576</v>
      </c>
      <c r="D624" s="278">
        <f t="shared" si="232"/>
        <v>5.8921857017245509</v>
      </c>
      <c r="E624" s="279"/>
      <c r="F624" s="278">
        <v>3.6333705269010279</v>
      </c>
      <c r="G624" s="278">
        <v>2.411719131394483</v>
      </c>
      <c r="H624" s="278">
        <f t="shared" si="233"/>
        <v>6.0450896582955114</v>
      </c>
      <c r="I624" s="279"/>
      <c r="J624" s="278">
        <v>4.1341575003261575</v>
      </c>
      <c r="K624" s="278">
        <v>3.1477843306593636</v>
      </c>
      <c r="L624" s="278">
        <f t="shared" si="234"/>
        <v>7.2819418309855211</v>
      </c>
      <c r="M624" s="212"/>
      <c r="N624" s="212"/>
    </row>
    <row r="625" spans="1:14">
      <c r="A625" s="213" t="str">
        <f>name!E$8</f>
        <v>Skilled trades occupations</v>
      </c>
      <c r="B625" s="278">
        <v>0.26749110095398754</v>
      </c>
      <c r="C625" s="278">
        <v>5.0418998614154793</v>
      </c>
      <c r="D625" s="278">
        <f t="shared" si="232"/>
        <v>5.3093909623694664</v>
      </c>
      <c r="E625" s="279"/>
      <c r="F625" s="278">
        <v>0.30816813529818965</v>
      </c>
      <c r="G625" s="278">
        <v>4.5346503278943207</v>
      </c>
      <c r="H625" s="278">
        <f t="shared" si="233"/>
        <v>4.8428184631925104</v>
      </c>
      <c r="I625" s="279"/>
      <c r="J625" s="278">
        <v>0.51761176615180526</v>
      </c>
      <c r="K625" s="278">
        <v>4.3295834495582142</v>
      </c>
      <c r="L625" s="278">
        <f t="shared" si="234"/>
        <v>4.8471952157100198</v>
      </c>
      <c r="M625" s="212"/>
      <c r="N625" s="212"/>
    </row>
    <row r="626" spans="1:14">
      <c r="A626" s="213" t="str">
        <f>name!E$9</f>
        <v>Caring, leisure and other service occupations</v>
      </c>
      <c r="B626" s="278">
        <v>18.035834281210857</v>
      </c>
      <c r="C626" s="278">
        <v>3.2906385090112891</v>
      </c>
      <c r="D626" s="278">
        <f t="shared" si="232"/>
        <v>21.326472790222144</v>
      </c>
      <c r="E626" s="279"/>
      <c r="F626" s="278">
        <v>14.534834133619098</v>
      </c>
      <c r="G626" s="278">
        <v>2.824792570697972</v>
      </c>
      <c r="H626" s="278">
        <f t="shared" si="233"/>
        <v>17.359626704317069</v>
      </c>
      <c r="I626" s="279"/>
      <c r="J626" s="278">
        <v>12.192462628540239</v>
      </c>
      <c r="K626" s="278">
        <v>2.5558855467596096</v>
      </c>
      <c r="L626" s="278">
        <f t="shared" si="234"/>
        <v>14.748348175299849</v>
      </c>
      <c r="M626" s="212"/>
      <c r="N626" s="212"/>
    </row>
    <row r="627" spans="1:14">
      <c r="A627" s="213" t="str">
        <f>name!E$10</f>
        <v>Sales and customer service occupations</v>
      </c>
      <c r="B627" s="278">
        <v>1.7869364741242966</v>
      </c>
      <c r="C627" s="278">
        <v>1.3144564943759294</v>
      </c>
      <c r="D627" s="278">
        <f t="shared" si="232"/>
        <v>3.1013929685002259</v>
      </c>
      <c r="E627" s="279"/>
      <c r="F627" s="278">
        <v>1.8944806405286068</v>
      </c>
      <c r="G627" s="278">
        <v>1.1892706150947256</v>
      </c>
      <c r="H627" s="278">
        <f t="shared" si="233"/>
        <v>3.0837512556233326</v>
      </c>
      <c r="I627" s="279"/>
      <c r="J627" s="278">
        <v>2.4349658444475732</v>
      </c>
      <c r="K627" s="278">
        <v>1.515072664890929</v>
      </c>
      <c r="L627" s="278">
        <f t="shared" si="234"/>
        <v>3.9500385093385022</v>
      </c>
      <c r="M627" s="212"/>
      <c r="N627" s="212"/>
    </row>
    <row r="628" spans="1:14">
      <c r="A628" s="213" t="str">
        <f>name!E$11</f>
        <v>Process, plant and machine operatives</v>
      </c>
      <c r="B628" s="278">
        <v>1.092859701130547</v>
      </c>
      <c r="C628" s="278">
        <v>4.4917908634280481</v>
      </c>
      <c r="D628" s="278">
        <f t="shared" si="232"/>
        <v>5.5846505645585953</v>
      </c>
      <c r="E628" s="279"/>
      <c r="F628" s="278">
        <v>0.8600816204056011</v>
      </c>
      <c r="G628" s="278">
        <v>3.9145986717481036</v>
      </c>
      <c r="H628" s="278">
        <f t="shared" si="233"/>
        <v>4.7746802921537048</v>
      </c>
      <c r="I628" s="279"/>
      <c r="J628" s="278">
        <v>1.3292648235196423</v>
      </c>
      <c r="K628" s="278">
        <v>3.5148541449822104</v>
      </c>
      <c r="L628" s="278">
        <f t="shared" si="234"/>
        <v>4.8441189685018529</v>
      </c>
      <c r="M628" s="212"/>
      <c r="N628" s="212"/>
    </row>
    <row r="629" spans="1:14">
      <c r="A629" s="213" t="str">
        <f>name!E$12</f>
        <v>Elementary occupations</v>
      </c>
      <c r="B629" s="278">
        <v>2.1734156968871607</v>
      </c>
      <c r="C629" s="278">
        <v>1.7572157677856641</v>
      </c>
      <c r="D629" s="278">
        <f t="shared" si="232"/>
        <v>3.9306314646728246</v>
      </c>
      <c r="E629" s="279"/>
      <c r="F629" s="278">
        <v>1.9585391123072315</v>
      </c>
      <c r="G629" s="278">
        <v>1.3816156484449895</v>
      </c>
      <c r="H629" s="278">
        <f t="shared" si="233"/>
        <v>3.3401547607522213</v>
      </c>
      <c r="I629" s="279"/>
      <c r="J629" s="278">
        <v>2.8852547525729673</v>
      </c>
      <c r="K629" s="278">
        <v>1.354606912822613</v>
      </c>
      <c r="L629" s="278">
        <f t="shared" si="234"/>
        <v>4.2398616653955798</v>
      </c>
      <c r="M629" s="212"/>
      <c r="N629" s="212"/>
    </row>
    <row r="630" spans="1:14">
      <c r="A630" s="213"/>
      <c r="B630" s="278"/>
      <c r="C630" s="278"/>
      <c r="D630" s="278"/>
      <c r="E630" s="279"/>
      <c r="F630" s="278"/>
      <c r="G630" s="278"/>
      <c r="H630" s="278"/>
      <c r="I630" s="279"/>
      <c r="J630" s="278"/>
      <c r="K630" s="278"/>
      <c r="L630" s="278"/>
      <c r="M630" s="212"/>
      <c r="N630" s="212"/>
    </row>
    <row r="631" spans="1:14">
      <c r="A631" s="220" t="s">
        <v>119</v>
      </c>
      <c r="B631" s="282">
        <f>SUM(B621:B629)</f>
        <v>34.363000000250508</v>
      </c>
      <c r="C631" s="282">
        <f t="shared" ref="C631:D631" si="235">SUM(C621:C629)</f>
        <v>36.477000000289543</v>
      </c>
      <c r="D631" s="282">
        <f t="shared" si="235"/>
        <v>70.840000000540044</v>
      </c>
      <c r="E631" s="282"/>
      <c r="F631" s="282">
        <f t="shared" ref="F631:H631" si="236">SUM(F621:F629)</f>
        <v>32.765999999890582</v>
      </c>
      <c r="G631" s="282">
        <f t="shared" si="236"/>
        <v>37.707999999890703</v>
      </c>
      <c r="H631" s="282">
        <f t="shared" si="236"/>
        <v>70.473999999781299</v>
      </c>
      <c r="I631" s="282"/>
      <c r="J631" s="282">
        <f t="shared" ref="J631:L631" si="237">SUM(J621:J629)</f>
        <v>35.742000000687575</v>
      </c>
      <c r="K631" s="282">
        <f t="shared" si="237"/>
        <v>38.450999999971238</v>
      </c>
      <c r="L631" s="282">
        <f t="shared" si="237"/>
        <v>74.193000000658827</v>
      </c>
      <c r="M631" s="212"/>
      <c r="N631" s="212"/>
    </row>
    <row r="632" spans="1:14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6"/>
      <c r="M632" s="212"/>
      <c r="N632" s="212"/>
    </row>
    <row r="633" spans="1:14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32" t="s">
        <v>114</v>
      </c>
      <c r="M633" s="212"/>
      <c r="N633" s="212"/>
    </row>
    <row r="634" spans="1:14" ht="12.95">
      <c r="A634" s="218"/>
      <c r="B634" s="226"/>
      <c r="C634" s="226"/>
      <c r="D634" s="226"/>
      <c r="E634" s="226"/>
      <c r="F634" s="226"/>
      <c r="G634" s="226"/>
      <c r="H634" s="226"/>
      <c r="I634" s="226"/>
      <c r="J634" s="226"/>
      <c r="K634" s="226"/>
      <c r="L634" s="212"/>
      <c r="M634" s="212"/>
      <c r="N634" s="212"/>
    </row>
    <row r="635" spans="1:14" ht="12.95">
      <c r="A635" s="217" t="str">
        <f>name!A40</f>
        <v>Warehousing, etc</v>
      </c>
      <c r="B635" s="367">
        <f>B$6</f>
        <v>2015</v>
      </c>
      <c r="C635" s="367"/>
      <c r="D635" s="367"/>
      <c r="E635" s="229"/>
      <c r="F635" s="367">
        <f>F618</f>
        <v>2020</v>
      </c>
      <c r="G635" s="367"/>
      <c r="H635" s="367"/>
      <c r="I635" s="229"/>
      <c r="J635" s="367">
        <f>J618</f>
        <v>2035</v>
      </c>
      <c r="K635" s="367"/>
      <c r="L635" s="367"/>
      <c r="M635" s="212"/>
      <c r="N635" s="212"/>
    </row>
    <row r="636" spans="1:14" ht="12.95">
      <c r="A636" s="230"/>
      <c r="B636" s="231" t="s">
        <v>173</v>
      </c>
      <c r="C636" s="231" t="s">
        <v>174</v>
      </c>
      <c r="D636" s="231" t="s">
        <v>119</v>
      </c>
      <c r="E636" s="231"/>
      <c r="F636" s="231" t="s">
        <v>173</v>
      </c>
      <c r="G636" s="231" t="s">
        <v>174</v>
      </c>
      <c r="H636" s="231" t="s">
        <v>119</v>
      </c>
      <c r="I636" s="231"/>
      <c r="J636" s="231" t="s">
        <v>173</v>
      </c>
      <c r="K636" s="231" t="s">
        <v>174</v>
      </c>
      <c r="L636" s="231" t="s">
        <v>119</v>
      </c>
      <c r="M636" s="212"/>
      <c r="N636" s="212"/>
    </row>
    <row r="637" spans="1:14" ht="12.95">
      <c r="A637" s="234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12"/>
      <c r="N637" s="212"/>
    </row>
    <row r="638" spans="1:14">
      <c r="A638" s="213" t="str">
        <f>name!E$4</f>
        <v>Managers, directors and senior officials</v>
      </c>
      <c r="B638" s="278">
        <v>4.052170537349908</v>
      </c>
      <c r="C638" s="278">
        <v>43.382556113109942</v>
      </c>
      <c r="D638" s="278">
        <f>SUM(B638:C638)</f>
        <v>47.434726650459851</v>
      </c>
      <c r="E638" s="279"/>
      <c r="F638" s="278">
        <v>6.8313130095138934</v>
      </c>
      <c r="G638" s="278">
        <v>57.769740199528954</v>
      </c>
      <c r="H638" s="278">
        <f>SUM(F638:G638)</f>
        <v>64.601053209042846</v>
      </c>
      <c r="I638" s="279"/>
      <c r="J638" s="278">
        <v>8.1154788462763445</v>
      </c>
      <c r="K638" s="278">
        <v>56.440525145631696</v>
      </c>
      <c r="L638" s="278">
        <f>SUM(J638:K638)</f>
        <v>64.556003991908042</v>
      </c>
      <c r="M638" s="212"/>
      <c r="N638" s="212"/>
    </row>
    <row r="639" spans="1:14">
      <c r="A639" s="213" t="str">
        <f>name!E$5</f>
        <v>Professional occupations</v>
      </c>
      <c r="B639" s="278">
        <v>3.6004733798141717</v>
      </c>
      <c r="C639" s="278">
        <v>28.980678254028142</v>
      </c>
      <c r="D639" s="278">
        <f t="shared" ref="D639:D646" si="238">SUM(B639:C639)</f>
        <v>32.58115163384231</v>
      </c>
      <c r="E639" s="279"/>
      <c r="F639" s="278">
        <v>7.2645615977960318</v>
      </c>
      <c r="G639" s="278">
        <v>43.525273300684233</v>
      </c>
      <c r="H639" s="278">
        <f t="shared" ref="H639:H646" si="239">SUM(F639:G639)</f>
        <v>50.789834898480265</v>
      </c>
      <c r="I639" s="279"/>
      <c r="J639" s="278">
        <v>10.511643723367962</v>
      </c>
      <c r="K639" s="278">
        <v>60.980828802058333</v>
      </c>
      <c r="L639" s="278">
        <f t="shared" ref="L639:L646" si="240">SUM(J639:K639)</f>
        <v>71.492472525426294</v>
      </c>
      <c r="M639" s="212"/>
      <c r="N639" s="212"/>
    </row>
    <row r="640" spans="1:14">
      <c r="A640" s="213" t="str">
        <f>name!E$6</f>
        <v>Associate professional occupations</v>
      </c>
      <c r="B640" s="278">
        <v>3.8959013151127655</v>
      </c>
      <c r="C640" s="278">
        <v>27.022325990343575</v>
      </c>
      <c r="D640" s="278">
        <f t="shared" si="238"/>
        <v>30.918227305456341</v>
      </c>
      <c r="E640" s="279"/>
      <c r="F640" s="278">
        <v>6.5295320044138112</v>
      </c>
      <c r="G640" s="278">
        <v>37.817702461487123</v>
      </c>
      <c r="H640" s="278">
        <f t="shared" si="239"/>
        <v>44.347234465900932</v>
      </c>
      <c r="I640" s="279"/>
      <c r="J640" s="278">
        <v>8.8083386496616747</v>
      </c>
      <c r="K640" s="278">
        <v>43.549130824387618</v>
      </c>
      <c r="L640" s="278">
        <f t="shared" si="240"/>
        <v>52.357469474049296</v>
      </c>
      <c r="M640" s="212"/>
      <c r="N640" s="212"/>
    </row>
    <row r="641" spans="1:14">
      <c r="A641" s="213" t="str">
        <f>name!E$7</f>
        <v>Administrative and secretarial occupations</v>
      </c>
      <c r="B641" s="278">
        <v>16.507891467480132</v>
      </c>
      <c r="C641" s="278">
        <v>27.279940621119742</v>
      </c>
      <c r="D641" s="278">
        <f t="shared" si="238"/>
        <v>43.78783208859987</v>
      </c>
      <c r="E641" s="279"/>
      <c r="F641" s="278">
        <v>22.110882586665788</v>
      </c>
      <c r="G641" s="278">
        <v>37.56576914661288</v>
      </c>
      <c r="H641" s="278">
        <f t="shared" si="239"/>
        <v>59.676651733278668</v>
      </c>
      <c r="I641" s="279"/>
      <c r="J641" s="278">
        <v>22.43572695674607</v>
      </c>
      <c r="K641" s="278">
        <v>46.884074519323768</v>
      </c>
      <c r="L641" s="278">
        <f t="shared" si="240"/>
        <v>69.319801476069841</v>
      </c>
      <c r="M641" s="212"/>
      <c r="N641" s="212"/>
    </row>
    <row r="642" spans="1:14">
      <c r="A642" s="213" t="str">
        <f>name!E$8</f>
        <v>Skilled trades occupations</v>
      </c>
      <c r="B642" s="278">
        <v>0.48527037167338483</v>
      </c>
      <c r="C642" s="278">
        <v>14.840342965954415</v>
      </c>
      <c r="D642" s="278">
        <f t="shared" si="238"/>
        <v>15.3256133376278</v>
      </c>
      <c r="E642" s="279"/>
      <c r="F642" s="278">
        <v>0.67397955109033469</v>
      </c>
      <c r="G642" s="278">
        <v>14.578917216568621</v>
      </c>
      <c r="H642" s="278">
        <f t="shared" si="239"/>
        <v>15.252896767658957</v>
      </c>
      <c r="I642" s="279"/>
      <c r="J642" s="278">
        <v>1.2913162388143573</v>
      </c>
      <c r="K642" s="278">
        <v>15.630412112896158</v>
      </c>
      <c r="L642" s="278">
        <f t="shared" si="240"/>
        <v>16.921728351710517</v>
      </c>
      <c r="M642" s="212"/>
      <c r="N642" s="212"/>
    </row>
    <row r="643" spans="1:14">
      <c r="A643" s="213" t="str">
        <f>name!E$9</f>
        <v>Caring, leisure and other service occupations</v>
      </c>
      <c r="B643" s="278">
        <v>25.467366162751528</v>
      </c>
      <c r="C643" s="278">
        <v>19.129579884428363</v>
      </c>
      <c r="D643" s="278">
        <f t="shared" si="238"/>
        <v>44.596946047179891</v>
      </c>
      <c r="E643" s="279"/>
      <c r="F643" s="278">
        <v>26.441627150801512</v>
      </c>
      <c r="G643" s="278">
        <v>25.286176187530206</v>
      </c>
      <c r="H643" s="278">
        <f t="shared" si="239"/>
        <v>51.727803338331718</v>
      </c>
      <c r="I643" s="279"/>
      <c r="J643" s="278">
        <v>21.679112165436049</v>
      </c>
      <c r="K643" s="278">
        <v>25.350234153159246</v>
      </c>
      <c r="L643" s="278">
        <f t="shared" si="240"/>
        <v>47.029346318595294</v>
      </c>
      <c r="M643" s="212"/>
      <c r="N643" s="212"/>
    </row>
    <row r="644" spans="1:14">
      <c r="A644" s="213" t="str">
        <f>name!E$10</f>
        <v>Sales and customer service occupations</v>
      </c>
      <c r="B644" s="278">
        <v>5.6330839232806733</v>
      </c>
      <c r="C644" s="278">
        <v>17.562940594171295</v>
      </c>
      <c r="D644" s="278">
        <f t="shared" si="238"/>
        <v>23.196024517451967</v>
      </c>
      <c r="E644" s="279"/>
      <c r="F644" s="278">
        <v>7.6678769197381671</v>
      </c>
      <c r="G644" s="278">
        <v>22.082737469927388</v>
      </c>
      <c r="H644" s="278">
        <f t="shared" si="239"/>
        <v>29.750614389665554</v>
      </c>
      <c r="I644" s="279"/>
      <c r="J644" s="278">
        <v>7.9635446592213137</v>
      </c>
      <c r="K644" s="278">
        <v>25.905413402653171</v>
      </c>
      <c r="L644" s="278">
        <f t="shared" si="240"/>
        <v>33.868958061874487</v>
      </c>
      <c r="M644" s="212"/>
      <c r="N644" s="212"/>
    </row>
    <row r="645" spans="1:14">
      <c r="A645" s="213" t="str">
        <f>name!E$11</f>
        <v>Process, plant and machine operatives</v>
      </c>
      <c r="B645" s="278">
        <v>2.6365460532045759</v>
      </c>
      <c r="C645" s="278">
        <v>89.177802442630352</v>
      </c>
      <c r="D645" s="278">
        <f t="shared" si="238"/>
        <v>91.814348495834935</v>
      </c>
      <c r="E645" s="279"/>
      <c r="F645" s="278">
        <v>3.0894432356823565</v>
      </c>
      <c r="G645" s="278">
        <v>95.689309962587757</v>
      </c>
      <c r="H645" s="278">
        <f t="shared" si="239"/>
        <v>98.77875319827011</v>
      </c>
      <c r="I645" s="279"/>
      <c r="J645" s="278">
        <v>6.1438640937305689</v>
      </c>
      <c r="K645" s="278">
        <v>88.349427525047858</v>
      </c>
      <c r="L645" s="278">
        <f t="shared" si="240"/>
        <v>94.493291618778429</v>
      </c>
      <c r="M645" s="212"/>
      <c r="N645" s="212"/>
    </row>
    <row r="646" spans="1:14">
      <c r="A646" s="213" t="str">
        <f>name!E$12</f>
        <v>Elementary occupations</v>
      </c>
      <c r="B646" s="278">
        <v>9.366296789720673</v>
      </c>
      <c r="C646" s="278">
        <v>83.587833136662027</v>
      </c>
      <c r="D646" s="278">
        <f t="shared" si="238"/>
        <v>92.954129926382706</v>
      </c>
      <c r="E646" s="279"/>
      <c r="F646" s="278">
        <v>11.204783944213213</v>
      </c>
      <c r="G646" s="278">
        <v>77.872374055326787</v>
      </c>
      <c r="H646" s="278">
        <f t="shared" si="239"/>
        <v>89.077157999540006</v>
      </c>
      <c r="I646" s="279"/>
      <c r="J646" s="278">
        <v>20.879974669167137</v>
      </c>
      <c r="K646" s="278">
        <v>73.631953517118504</v>
      </c>
      <c r="L646" s="278">
        <f t="shared" si="240"/>
        <v>94.511928186285644</v>
      </c>
      <c r="M646" s="212"/>
      <c r="N646" s="212"/>
    </row>
    <row r="647" spans="1:14">
      <c r="A647" s="213"/>
      <c r="B647" s="278"/>
      <c r="C647" s="278"/>
      <c r="D647" s="278"/>
      <c r="E647" s="279"/>
      <c r="F647" s="278"/>
      <c r="G647" s="278"/>
      <c r="H647" s="278"/>
      <c r="I647" s="279"/>
      <c r="J647" s="278"/>
      <c r="K647" s="278"/>
      <c r="L647" s="278"/>
      <c r="M647" s="212"/>
      <c r="N647" s="212"/>
    </row>
    <row r="648" spans="1:14">
      <c r="A648" s="220" t="s">
        <v>119</v>
      </c>
      <c r="B648" s="282">
        <f>SUM(B638:B646)</f>
        <v>71.64500000038781</v>
      </c>
      <c r="C648" s="282">
        <f t="shared" ref="C648:D648" si="241">SUM(C638:C646)</f>
        <v>350.96400000244785</v>
      </c>
      <c r="D648" s="282">
        <f t="shared" si="241"/>
        <v>422.60900000283573</v>
      </c>
      <c r="E648" s="282"/>
      <c r="F648" s="282">
        <f t="shared" ref="F648:H648" si="242">SUM(F638:F646)</f>
        <v>91.813999999915112</v>
      </c>
      <c r="G648" s="282">
        <f t="shared" si="242"/>
        <v>412.18800000025396</v>
      </c>
      <c r="H648" s="282">
        <f t="shared" si="242"/>
        <v>504.00200000016912</v>
      </c>
      <c r="I648" s="282"/>
      <c r="J648" s="282">
        <f t="shared" ref="J648:L648" si="243">SUM(J638:J646)</f>
        <v>107.82900000242148</v>
      </c>
      <c r="K648" s="282">
        <f t="shared" si="243"/>
        <v>436.72200000227639</v>
      </c>
      <c r="L648" s="282">
        <f t="shared" si="243"/>
        <v>544.55100000469781</v>
      </c>
      <c r="M648" s="212"/>
      <c r="N648" s="212"/>
    </row>
    <row r="649" spans="1:14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6"/>
      <c r="M649" s="212"/>
      <c r="N649" s="212"/>
    </row>
    <row r="650" spans="1:14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32" t="s">
        <v>114</v>
      </c>
      <c r="M650" s="212"/>
      <c r="N650" s="212"/>
    </row>
    <row r="651" spans="1:14" ht="12.95">
      <c r="A651" s="218"/>
      <c r="B651" s="226"/>
      <c r="C651" s="226"/>
      <c r="D651" s="226"/>
      <c r="E651" s="226"/>
      <c r="F651" s="226"/>
      <c r="G651" s="226"/>
      <c r="H651" s="226"/>
      <c r="I651" s="226"/>
      <c r="J651" s="226"/>
      <c r="K651" s="226"/>
      <c r="L651" s="212"/>
      <c r="M651" s="212"/>
      <c r="N651" s="212"/>
    </row>
    <row r="652" spans="1:14" ht="12.95">
      <c r="A652" s="217" t="str">
        <f>name!A41</f>
        <v>Postal and courier</v>
      </c>
      <c r="B652" s="367">
        <f>B$6</f>
        <v>2015</v>
      </c>
      <c r="C652" s="367"/>
      <c r="D652" s="367"/>
      <c r="E652" s="229"/>
      <c r="F652" s="367">
        <f>F635</f>
        <v>2020</v>
      </c>
      <c r="G652" s="367"/>
      <c r="H652" s="367"/>
      <c r="I652" s="229"/>
      <c r="J652" s="367">
        <f>J635</f>
        <v>2035</v>
      </c>
      <c r="K652" s="367"/>
      <c r="L652" s="367"/>
      <c r="M652" s="212"/>
      <c r="N652" s="212"/>
    </row>
    <row r="653" spans="1:14" ht="12.95">
      <c r="A653" s="230"/>
      <c r="B653" s="231" t="s">
        <v>173</v>
      </c>
      <c r="C653" s="231" t="s">
        <v>174</v>
      </c>
      <c r="D653" s="231" t="s">
        <v>119</v>
      </c>
      <c r="E653" s="231"/>
      <c r="F653" s="231" t="s">
        <v>173</v>
      </c>
      <c r="G653" s="231" t="s">
        <v>174</v>
      </c>
      <c r="H653" s="231" t="s">
        <v>119</v>
      </c>
      <c r="I653" s="231"/>
      <c r="J653" s="231" t="s">
        <v>173</v>
      </c>
      <c r="K653" s="231" t="s">
        <v>174</v>
      </c>
      <c r="L653" s="231" t="s">
        <v>119</v>
      </c>
      <c r="M653" s="212"/>
      <c r="N653" s="212"/>
    </row>
    <row r="654" spans="1:14" ht="12.95">
      <c r="A654" s="234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12"/>
      <c r="N654" s="212"/>
    </row>
    <row r="655" spans="1:14">
      <c r="A655" s="213" t="str">
        <f>name!E$4</f>
        <v>Managers, directors and senior officials</v>
      </c>
      <c r="B655" s="278">
        <v>8.6725914909444697</v>
      </c>
      <c r="C655" s="278">
        <v>10.364656470191711</v>
      </c>
      <c r="D655" s="278">
        <f>SUM(B655:C655)</f>
        <v>19.037247961136181</v>
      </c>
      <c r="E655" s="279"/>
      <c r="F655" s="278">
        <v>13.564775600164479</v>
      </c>
      <c r="G655" s="278">
        <v>13.026328159342297</v>
      </c>
      <c r="H655" s="278">
        <f>SUM(F655:G655)</f>
        <v>26.591103759506776</v>
      </c>
      <c r="I655" s="279"/>
      <c r="J655" s="278">
        <v>16.721725832394569</v>
      </c>
      <c r="K655" s="278">
        <v>12.613059627647303</v>
      </c>
      <c r="L655" s="278">
        <f>SUM(J655:K655)</f>
        <v>29.334785460041871</v>
      </c>
      <c r="M655" s="212"/>
      <c r="N655" s="212"/>
    </row>
    <row r="656" spans="1:14">
      <c r="A656" s="213" t="str">
        <f>name!E$5</f>
        <v>Professional occupations</v>
      </c>
      <c r="B656" s="278">
        <v>5.8692340985095655</v>
      </c>
      <c r="C656" s="278">
        <v>5.5480372999932657</v>
      </c>
      <c r="D656" s="278">
        <f t="shared" ref="D656:D663" si="244">SUM(B656:C656)</f>
        <v>11.41727139850283</v>
      </c>
      <c r="E656" s="279"/>
      <c r="F656" s="278">
        <v>9.8989675672914057</v>
      </c>
      <c r="G656" s="278">
        <v>7.8214986117431184</v>
      </c>
      <c r="H656" s="278">
        <f t="shared" ref="H656:H663" si="245">SUM(F656:G656)</f>
        <v>17.720466179034524</v>
      </c>
      <c r="I656" s="279"/>
      <c r="J656" s="278">
        <v>13.202676976478147</v>
      </c>
      <c r="K656" s="278">
        <v>10.592457875721863</v>
      </c>
      <c r="L656" s="278">
        <f t="shared" ref="L656:L663" si="246">SUM(J656:K656)</f>
        <v>23.795134852200007</v>
      </c>
      <c r="M656" s="212"/>
      <c r="N656" s="212"/>
    </row>
    <row r="657" spans="1:14">
      <c r="A657" s="213" t="str">
        <f>name!E$6</f>
        <v>Associate professional occupations</v>
      </c>
      <c r="B657" s="278">
        <v>6.6112892640739807</v>
      </c>
      <c r="C657" s="278">
        <v>6.9233757206309408</v>
      </c>
      <c r="D657" s="278">
        <f t="shared" si="244"/>
        <v>13.534664984704921</v>
      </c>
      <c r="E657" s="279"/>
      <c r="F657" s="278">
        <v>9.3480424961874053</v>
      </c>
      <c r="G657" s="278">
        <v>8.7372268082787805</v>
      </c>
      <c r="H657" s="278">
        <f t="shared" si="245"/>
        <v>18.085269304466188</v>
      </c>
      <c r="I657" s="279"/>
      <c r="J657" s="278">
        <v>11.395965788829976</v>
      </c>
      <c r="K657" s="278">
        <v>8.5912580009151966</v>
      </c>
      <c r="L657" s="278">
        <f t="shared" si="246"/>
        <v>19.987223789745173</v>
      </c>
      <c r="M657" s="212"/>
      <c r="N657" s="212"/>
    </row>
    <row r="658" spans="1:14">
      <c r="A658" s="213" t="str">
        <f>name!E$7</f>
        <v>Administrative and secretarial occupations</v>
      </c>
      <c r="B658" s="278">
        <v>33.077097682379915</v>
      </c>
      <c r="C658" s="278">
        <v>7.474435485874273</v>
      </c>
      <c r="D658" s="278">
        <f t="shared" si="244"/>
        <v>40.551533168254188</v>
      </c>
      <c r="E658" s="279"/>
      <c r="F658" s="278">
        <v>39.088880377176423</v>
      </c>
      <c r="G658" s="278">
        <v>9.6653455952687057</v>
      </c>
      <c r="H658" s="278">
        <f t="shared" si="245"/>
        <v>48.754225972445127</v>
      </c>
      <c r="I658" s="279"/>
      <c r="J658" s="278">
        <v>45.963245832488688</v>
      </c>
      <c r="K658" s="278">
        <v>12.266171079232302</v>
      </c>
      <c r="L658" s="278">
        <f t="shared" si="246"/>
        <v>58.229416911720989</v>
      </c>
      <c r="M658" s="212"/>
      <c r="N658" s="212"/>
    </row>
    <row r="659" spans="1:14">
      <c r="A659" s="213" t="str">
        <f>name!E$8</f>
        <v>Skilled trades occupations</v>
      </c>
      <c r="B659" s="278">
        <v>0.85448184848776798</v>
      </c>
      <c r="C659" s="278">
        <v>11.568468491173496</v>
      </c>
      <c r="D659" s="278">
        <f t="shared" si="244"/>
        <v>12.422950339661265</v>
      </c>
      <c r="E659" s="279"/>
      <c r="F659" s="278">
        <v>1.0630810174768035</v>
      </c>
      <c r="G659" s="278">
        <v>11.827799500158628</v>
      </c>
      <c r="H659" s="278">
        <f t="shared" si="245"/>
        <v>12.890880517635431</v>
      </c>
      <c r="I659" s="279"/>
      <c r="J659" s="278">
        <v>1.8961302166966543</v>
      </c>
      <c r="K659" s="278">
        <v>15.144976396198713</v>
      </c>
      <c r="L659" s="278">
        <f t="shared" si="246"/>
        <v>17.041106612895366</v>
      </c>
      <c r="M659" s="212"/>
      <c r="N659" s="212"/>
    </row>
    <row r="660" spans="1:14">
      <c r="A660" s="213" t="str">
        <f>name!E$9</f>
        <v>Caring, leisure and other service occupations</v>
      </c>
      <c r="B660" s="278">
        <v>3.1996969297045541</v>
      </c>
      <c r="C660" s="278">
        <v>4.0187487629851963</v>
      </c>
      <c r="D660" s="278">
        <f t="shared" si="244"/>
        <v>7.21844569268975</v>
      </c>
      <c r="E660" s="279"/>
      <c r="F660" s="278">
        <v>3.6396407367848247</v>
      </c>
      <c r="G660" s="278">
        <v>5.1465141732256541</v>
      </c>
      <c r="H660" s="278">
        <f t="shared" si="245"/>
        <v>8.7861549100104792</v>
      </c>
      <c r="I660" s="279"/>
      <c r="J660" s="278">
        <v>3.5921964367115313</v>
      </c>
      <c r="K660" s="278">
        <v>6.8495117982459099</v>
      </c>
      <c r="L660" s="278">
        <f t="shared" si="246"/>
        <v>10.441708234957442</v>
      </c>
      <c r="M660" s="212"/>
      <c r="N660" s="212"/>
    </row>
    <row r="661" spans="1:14">
      <c r="A661" s="213" t="str">
        <f>name!E$10</f>
        <v>Sales and customer service occupations</v>
      </c>
      <c r="B661" s="278">
        <v>10.542439733131358</v>
      </c>
      <c r="C661" s="278">
        <v>4.0006389397951034</v>
      </c>
      <c r="D661" s="278">
        <f t="shared" si="244"/>
        <v>14.543078672926463</v>
      </c>
      <c r="E661" s="279"/>
      <c r="F661" s="278">
        <v>12.515178232446681</v>
      </c>
      <c r="G661" s="278">
        <v>4.5950621582908013</v>
      </c>
      <c r="H661" s="278">
        <f t="shared" si="245"/>
        <v>17.110240390737481</v>
      </c>
      <c r="I661" s="279"/>
      <c r="J661" s="278">
        <v>15.012808919615468</v>
      </c>
      <c r="K661" s="278">
        <v>5.8709061317660183</v>
      </c>
      <c r="L661" s="278">
        <f t="shared" si="246"/>
        <v>20.883715051381486</v>
      </c>
      <c r="M661" s="212"/>
      <c r="N661" s="212"/>
    </row>
    <row r="662" spans="1:14">
      <c r="A662" s="213" t="str">
        <f>name!E$11</f>
        <v>Process, plant and machine operatives</v>
      </c>
      <c r="B662" s="278">
        <v>3.2649393590614046</v>
      </c>
      <c r="C662" s="278">
        <v>29.223722092406973</v>
      </c>
      <c r="D662" s="278">
        <f t="shared" si="244"/>
        <v>32.488661451468374</v>
      </c>
      <c r="E662" s="279"/>
      <c r="F662" s="278">
        <v>3.2916478347995453</v>
      </c>
      <c r="G662" s="278">
        <v>30.73979094325329</v>
      </c>
      <c r="H662" s="278">
        <f t="shared" si="245"/>
        <v>34.031438778052838</v>
      </c>
      <c r="I662" s="279"/>
      <c r="J662" s="278">
        <v>5.5300827194511832</v>
      </c>
      <c r="K662" s="278">
        <v>30.371569828554993</v>
      </c>
      <c r="L662" s="278">
        <f t="shared" si="246"/>
        <v>35.901652548006176</v>
      </c>
      <c r="M662" s="212"/>
      <c r="N662" s="212"/>
    </row>
    <row r="663" spans="1:14">
      <c r="A663" s="213" t="str">
        <f>name!E$12</f>
        <v>Elementary occupations</v>
      </c>
      <c r="B663" s="278">
        <v>31.115229594606475</v>
      </c>
      <c r="C663" s="278">
        <v>65.60591673849278</v>
      </c>
      <c r="D663" s="278">
        <f t="shared" si="244"/>
        <v>96.721146333099256</v>
      </c>
      <c r="E663" s="279"/>
      <c r="F663" s="278">
        <v>33.243786138069872</v>
      </c>
      <c r="G663" s="278">
        <v>65.775434050356068</v>
      </c>
      <c r="H663" s="278">
        <f t="shared" si="245"/>
        <v>99.019220188425948</v>
      </c>
      <c r="I663" s="279"/>
      <c r="J663" s="278">
        <v>31.858167280464041</v>
      </c>
      <c r="K663" s="278">
        <v>62.85308926257072</v>
      </c>
      <c r="L663" s="278">
        <f t="shared" si="246"/>
        <v>94.711256543034764</v>
      </c>
      <c r="M663" s="212"/>
      <c r="N663" s="212"/>
    </row>
    <row r="664" spans="1:14">
      <c r="A664" s="213"/>
      <c r="B664" s="278"/>
      <c r="C664" s="278"/>
      <c r="D664" s="278"/>
      <c r="E664" s="279"/>
      <c r="F664" s="278"/>
      <c r="G664" s="278"/>
      <c r="H664" s="278"/>
      <c r="I664" s="279"/>
      <c r="J664" s="278"/>
      <c r="K664" s="278"/>
      <c r="L664" s="278"/>
      <c r="M664" s="212"/>
      <c r="N664" s="212"/>
    </row>
    <row r="665" spans="1:14">
      <c r="A665" s="220" t="s">
        <v>119</v>
      </c>
      <c r="B665" s="282">
        <f>SUM(B655:B663)</f>
        <v>103.20700000089948</v>
      </c>
      <c r="C665" s="282">
        <f t="shared" ref="C665:D665" si="247">SUM(C655:C663)</f>
        <v>144.72800000154376</v>
      </c>
      <c r="D665" s="282">
        <f t="shared" si="247"/>
        <v>247.93500000244325</v>
      </c>
      <c r="E665" s="282"/>
      <c r="F665" s="282">
        <f t="shared" ref="F665:H665" si="248">SUM(F655:F663)</f>
        <v>125.65400000039745</v>
      </c>
      <c r="G665" s="282">
        <f t="shared" si="248"/>
        <v>157.33499999991733</v>
      </c>
      <c r="H665" s="282">
        <f t="shared" si="248"/>
        <v>282.98900000031477</v>
      </c>
      <c r="I665" s="282"/>
      <c r="J665" s="282">
        <f t="shared" ref="J665:L665" si="249">SUM(J655:J663)</f>
        <v>145.17300000313026</v>
      </c>
      <c r="K665" s="282">
        <f t="shared" si="249"/>
        <v>165.15300000085301</v>
      </c>
      <c r="L665" s="282">
        <f t="shared" si="249"/>
        <v>310.32600000398327</v>
      </c>
      <c r="M665" s="212"/>
      <c r="N665" s="212"/>
    </row>
    <row r="666" spans="1:14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6"/>
      <c r="M666" s="212"/>
      <c r="N666" s="212"/>
    </row>
    <row r="667" spans="1:14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32" t="s">
        <v>114</v>
      </c>
      <c r="M667" s="212"/>
      <c r="N667" s="212"/>
    </row>
    <row r="668" spans="1:14" ht="12.95">
      <c r="A668" s="218"/>
      <c r="B668" s="226"/>
      <c r="C668" s="226"/>
      <c r="D668" s="226"/>
      <c r="E668" s="226"/>
      <c r="F668" s="226"/>
      <c r="G668" s="226"/>
      <c r="H668" s="226"/>
      <c r="I668" s="226"/>
      <c r="J668" s="226"/>
      <c r="K668" s="226"/>
      <c r="L668" s="212"/>
      <c r="M668" s="212"/>
      <c r="N668" s="212"/>
    </row>
    <row r="669" spans="1:14" ht="12.95">
      <c r="A669" s="217" t="str">
        <f>name!A42</f>
        <v>Accommodation</v>
      </c>
      <c r="B669" s="367">
        <f>B$6</f>
        <v>2015</v>
      </c>
      <c r="C669" s="367"/>
      <c r="D669" s="367"/>
      <c r="E669" s="229"/>
      <c r="F669" s="367">
        <f>F652</f>
        <v>2020</v>
      </c>
      <c r="G669" s="367"/>
      <c r="H669" s="367"/>
      <c r="I669" s="229"/>
      <c r="J669" s="367">
        <f>J652</f>
        <v>2035</v>
      </c>
      <c r="K669" s="367"/>
      <c r="L669" s="367"/>
      <c r="M669" s="212"/>
      <c r="N669" s="212"/>
    </row>
    <row r="670" spans="1:14" ht="12.95">
      <c r="A670" s="230"/>
      <c r="B670" s="231" t="s">
        <v>173</v>
      </c>
      <c r="C670" s="231" t="s">
        <v>174</v>
      </c>
      <c r="D670" s="231" t="s">
        <v>119</v>
      </c>
      <c r="E670" s="231"/>
      <c r="F670" s="231" t="s">
        <v>173</v>
      </c>
      <c r="G670" s="231" t="s">
        <v>174</v>
      </c>
      <c r="H670" s="231" t="s">
        <v>119</v>
      </c>
      <c r="I670" s="231"/>
      <c r="J670" s="231" t="s">
        <v>173</v>
      </c>
      <c r="K670" s="231" t="s">
        <v>174</v>
      </c>
      <c r="L670" s="231" t="s">
        <v>119</v>
      </c>
      <c r="M670" s="212"/>
      <c r="N670" s="212"/>
    </row>
    <row r="671" spans="1:14" ht="12.95">
      <c r="A671" s="234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12"/>
      <c r="N671" s="212"/>
    </row>
    <row r="672" spans="1:14">
      <c r="A672" s="213" t="str">
        <f>name!E$4</f>
        <v>Managers, directors and senior officials</v>
      </c>
      <c r="B672" s="278">
        <v>25.921554855685098</v>
      </c>
      <c r="C672" s="278">
        <v>28.326713227846003</v>
      </c>
      <c r="D672" s="278">
        <f>SUM(B672:C672)</f>
        <v>54.248268083531102</v>
      </c>
      <c r="E672" s="279"/>
      <c r="F672" s="278">
        <v>30.057449980459996</v>
      </c>
      <c r="G672" s="278">
        <v>31.06329152316717</v>
      </c>
      <c r="H672" s="278">
        <f>SUM(F672:G672)</f>
        <v>61.120741503627166</v>
      </c>
      <c r="I672" s="279"/>
      <c r="J672" s="278">
        <v>35.063013571794201</v>
      </c>
      <c r="K672" s="278">
        <v>38.678855175547085</v>
      </c>
      <c r="L672" s="278">
        <f>SUM(J672:K672)</f>
        <v>73.741868747341286</v>
      </c>
      <c r="M672" s="212"/>
      <c r="N672" s="212"/>
    </row>
    <row r="673" spans="1:14">
      <c r="A673" s="213" t="str">
        <f>name!E$5</f>
        <v>Professional occupations</v>
      </c>
      <c r="B673" s="278">
        <v>7.0961107276722108</v>
      </c>
      <c r="C673" s="278">
        <v>5.9774650902707691</v>
      </c>
      <c r="D673" s="278">
        <f t="shared" ref="D673:D680" si="250">SUM(B673:C673)</f>
        <v>13.073575817942981</v>
      </c>
      <c r="E673" s="279"/>
      <c r="F673" s="278">
        <v>9.1897298795598665</v>
      </c>
      <c r="G673" s="278">
        <v>7.7083264438525436</v>
      </c>
      <c r="H673" s="278">
        <f t="shared" ref="H673:H680" si="251">SUM(F673:G673)</f>
        <v>16.898056323412412</v>
      </c>
      <c r="I673" s="279"/>
      <c r="J673" s="278">
        <v>12.370311790818699</v>
      </c>
      <c r="K673" s="278">
        <v>9.7794660492823589</v>
      </c>
      <c r="L673" s="278">
        <f t="shared" ref="L673:L680" si="252">SUM(J673:K673)</f>
        <v>22.149777840101059</v>
      </c>
      <c r="M673" s="212"/>
      <c r="N673" s="212"/>
    </row>
    <row r="674" spans="1:14">
      <c r="A674" s="213" t="str">
        <f>name!E$6</f>
        <v>Associate professional occupations</v>
      </c>
      <c r="B674" s="278">
        <v>7.8627033610992241</v>
      </c>
      <c r="C674" s="278">
        <v>5.1215293502481245</v>
      </c>
      <c r="D674" s="278">
        <f t="shared" si="250"/>
        <v>12.984232711347349</v>
      </c>
      <c r="E674" s="279"/>
      <c r="F674" s="278">
        <v>9.5880398556324256</v>
      </c>
      <c r="G674" s="278">
        <v>6.0591604893157003</v>
      </c>
      <c r="H674" s="278">
        <f t="shared" si="251"/>
        <v>15.647200344948125</v>
      </c>
      <c r="I674" s="279"/>
      <c r="J674" s="278">
        <v>15.1466394946598</v>
      </c>
      <c r="K674" s="278">
        <v>7.2184804151362663</v>
      </c>
      <c r="L674" s="278">
        <f t="shared" si="252"/>
        <v>22.365119909796064</v>
      </c>
      <c r="M674" s="212"/>
      <c r="N674" s="212"/>
    </row>
    <row r="675" spans="1:14">
      <c r="A675" s="213" t="str">
        <f>name!E$7</f>
        <v>Administrative and secretarial occupations</v>
      </c>
      <c r="B675" s="278">
        <v>15.861059453105034</v>
      </c>
      <c r="C675" s="278">
        <v>5.0202114550344215</v>
      </c>
      <c r="D675" s="278">
        <f t="shared" si="250"/>
        <v>20.881270908139456</v>
      </c>
      <c r="E675" s="279"/>
      <c r="F675" s="278">
        <v>15.864231835791143</v>
      </c>
      <c r="G675" s="278">
        <v>5.4091335082919132</v>
      </c>
      <c r="H675" s="278">
        <f t="shared" si="251"/>
        <v>21.273365344083057</v>
      </c>
      <c r="I675" s="279"/>
      <c r="J675" s="278">
        <v>24.148497327291274</v>
      </c>
      <c r="K675" s="278">
        <v>8.1580971629620596</v>
      </c>
      <c r="L675" s="278">
        <f t="shared" si="252"/>
        <v>32.306594490253332</v>
      </c>
      <c r="M675" s="212"/>
      <c r="N675" s="212"/>
    </row>
    <row r="676" spans="1:14">
      <c r="A676" s="213" t="str">
        <f>name!E$8</f>
        <v>Skilled trades occupations</v>
      </c>
      <c r="B676" s="278">
        <v>20.570998692252463</v>
      </c>
      <c r="C676" s="278">
        <v>42.963917538708827</v>
      </c>
      <c r="D676" s="278">
        <f t="shared" si="250"/>
        <v>63.534916230961286</v>
      </c>
      <c r="E676" s="279"/>
      <c r="F676" s="278">
        <v>19.536811574490031</v>
      </c>
      <c r="G676" s="278">
        <v>34.3722005556235</v>
      </c>
      <c r="H676" s="278">
        <f t="shared" si="251"/>
        <v>53.909012130113531</v>
      </c>
      <c r="I676" s="279"/>
      <c r="J676" s="278">
        <v>22.159805315185352</v>
      </c>
      <c r="K676" s="278">
        <v>37.420138008860732</v>
      </c>
      <c r="L676" s="278">
        <f t="shared" si="252"/>
        <v>59.579943324046084</v>
      </c>
      <c r="M676" s="212"/>
      <c r="N676" s="212"/>
    </row>
    <row r="677" spans="1:14">
      <c r="A677" s="213" t="str">
        <f>name!E$9</f>
        <v>Caring, leisure and other service occupations</v>
      </c>
      <c r="B677" s="278">
        <v>16.286834798795123</v>
      </c>
      <c r="C677" s="278">
        <v>2.9896678674873156</v>
      </c>
      <c r="D677" s="278">
        <f t="shared" si="250"/>
        <v>19.27650266628244</v>
      </c>
      <c r="E677" s="279"/>
      <c r="F677" s="278">
        <v>15.509079758827411</v>
      </c>
      <c r="G677" s="278">
        <v>3.5689760343472745</v>
      </c>
      <c r="H677" s="278">
        <f t="shared" si="251"/>
        <v>19.078055793174684</v>
      </c>
      <c r="I677" s="279"/>
      <c r="J677" s="278">
        <v>20.009610597149777</v>
      </c>
      <c r="K677" s="278">
        <v>4.4171850039955682</v>
      </c>
      <c r="L677" s="278">
        <f t="shared" si="252"/>
        <v>24.426795601145344</v>
      </c>
      <c r="M677" s="212"/>
      <c r="N677" s="212"/>
    </row>
    <row r="678" spans="1:14">
      <c r="A678" s="213" t="str">
        <f>name!E$10</f>
        <v>Sales and customer service occupations</v>
      </c>
      <c r="B678" s="278">
        <v>17.968599784950474</v>
      </c>
      <c r="C678" s="278">
        <v>11.068918362663375</v>
      </c>
      <c r="D678" s="278">
        <f t="shared" si="250"/>
        <v>29.037518147613849</v>
      </c>
      <c r="E678" s="279"/>
      <c r="F678" s="278">
        <v>18.841930910131012</v>
      </c>
      <c r="G678" s="278">
        <v>12.763882952955802</v>
      </c>
      <c r="H678" s="278">
        <f t="shared" si="251"/>
        <v>31.605813863086816</v>
      </c>
      <c r="I678" s="279"/>
      <c r="J678" s="278">
        <v>33.426463773720776</v>
      </c>
      <c r="K678" s="278">
        <v>16.945357560650532</v>
      </c>
      <c r="L678" s="278">
        <f t="shared" si="252"/>
        <v>50.371821334371305</v>
      </c>
      <c r="M678" s="212"/>
      <c r="N678" s="212"/>
    </row>
    <row r="679" spans="1:14">
      <c r="A679" s="213" t="str">
        <f>name!E$11</f>
        <v>Process, plant and machine operatives</v>
      </c>
      <c r="B679" s="278">
        <v>2.0876129304036932</v>
      </c>
      <c r="C679" s="278">
        <v>7.7057876476267602</v>
      </c>
      <c r="D679" s="278">
        <f t="shared" si="250"/>
        <v>9.7934005780304538</v>
      </c>
      <c r="E679" s="279"/>
      <c r="F679" s="278">
        <v>1.8053606594533707</v>
      </c>
      <c r="G679" s="278">
        <v>8.6245642818283059</v>
      </c>
      <c r="H679" s="278">
        <f t="shared" si="251"/>
        <v>10.429924941281676</v>
      </c>
      <c r="I679" s="279"/>
      <c r="J679" s="278">
        <v>5.176132839315458</v>
      </c>
      <c r="K679" s="278">
        <v>11.874090162953214</v>
      </c>
      <c r="L679" s="278">
        <f t="shared" si="252"/>
        <v>17.050223002268673</v>
      </c>
      <c r="M679" s="212"/>
      <c r="N679" s="212"/>
    </row>
    <row r="680" spans="1:14">
      <c r="A680" s="213" t="str">
        <f>name!E$12</f>
        <v>Elementary occupations</v>
      </c>
      <c r="B680" s="278">
        <v>104.48652539956053</v>
      </c>
      <c r="C680" s="278">
        <v>60.740789461787706</v>
      </c>
      <c r="D680" s="278">
        <f t="shared" si="250"/>
        <v>165.22731486134825</v>
      </c>
      <c r="E680" s="279"/>
      <c r="F680" s="278">
        <v>108.60836554771072</v>
      </c>
      <c r="G680" s="278">
        <v>61.730464210124168</v>
      </c>
      <c r="H680" s="278">
        <f t="shared" si="251"/>
        <v>170.3388297578349</v>
      </c>
      <c r="I680" s="279"/>
      <c r="J680" s="278">
        <v>116.19552529851903</v>
      </c>
      <c r="K680" s="278">
        <v>68.933330461673634</v>
      </c>
      <c r="L680" s="278">
        <f t="shared" si="252"/>
        <v>185.12885576019266</v>
      </c>
      <c r="M680" s="212"/>
      <c r="N680" s="212"/>
    </row>
    <row r="681" spans="1:14">
      <c r="A681" s="213"/>
      <c r="B681" s="278"/>
      <c r="C681" s="278"/>
      <c r="D681" s="278"/>
      <c r="E681" s="279"/>
      <c r="F681" s="278"/>
      <c r="G681" s="278"/>
      <c r="H681" s="278"/>
      <c r="I681" s="279"/>
      <c r="J681" s="278"/>
      <c r="K681" s="278"/>
      <c r="L681" s="278"/>
      <c r="M681" s="212"/>
      <c r="N681" s="212"/>
    </row>
    <row r="682" spans="1:14">
      <c r="A682" s="220" t="s">
        <v>119</v>
      </c>
      <c r="B682" s="282">
        <f>SUM(B672:B680)</f>
        <v>218.14200000352383</v>
      </c>
      <c r="C682" s="282">
        <f t="shared" ref="C682:D682" si="253">SUM(C672:C680)</f>
        <v>169.91500000167332</v>
      </c>
      <c r="D682" s="282">
        <f t="shared" si="253"/>
        <v>388.05700000519721</v>
      </c>
      <c r="E682" s="282"/>
      <c r="F682" s="282">
        <f t="shared" ref="F682:H682" si="254">SUM(F672:F680)</f>
        <v>229.00100000205597</v>
      </c>
      <c r="G682" s="282">
        <f t="shared" si="254"/>
        <v>171.29999999950638</v>
      </c>
      <c r="H682" s="282">
        <f t="shared" si="254"/>
        <v>400.30100000156233</v>
      </c>
      <c r="I682" s="282"/>
      <c r="J682" s="282">
        <f t="shared" ref="J682:L682" si="255">SUM(J672:J680)</f>
        <v>283.69600000845435</v>
      </c>
      <c r="K682" s="282">
        <f t="shared" si="255"/>
        <v>203.42500000106145</v>
      </c>
      <c r="L682" s="282">
        <f t="shared" si="255"/>
        <v>487.12100000951585</v>
      </c>
      <c r="M682" s="212"/>
      <c r="N682" s="212"/>
    </row>
    <row r="683" spans="1:14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6"/>
      <c r="M683" s="212"/>
      <c r="N683" s="212"/>
    </row>
    <row r="684" spans="1:14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32" t="s">
        <v>114</v>
      </c>
      <c r="M684" s="212"/>
      <c r="N684" s="212"/>
    </row>
    <row r="685" spans="1:14" ht="12.95">
      <c r="A685" s="218"/>
      <c r="B685" s="226"/>
      <c r="C685" s="226"/>
      <c r="D685" s="226"/>
      <c r="E685" s="226"/>
      <c r="F685" s="226"/>
      <c r="G685" s="226"/>
      <c r="H685" s="226"/>
      <c r="I685" s="226"/>
      <c r="J685" s="226"/>
      <c r="K685" s="226"/>
      <c r="L685" s="212"/>
      <c r="M685" s="212"/>
      <c r="N685" s="212"/>
    </row>
    <row r="686" spans="1:14" ht="12.95">
      <c r="A686" s="217" t="str">
        <f>name!A43</f>
        <v>Food and beverage services</v>
      </c>
      <c r="B686" s="367">
        <f>B$6</f>
        <v>2015</v>
      </c>
      <c r="C686" s="367"/>
      <c r="D686" s="367"/>
      <c r="E686" s="229"/>
      <c r="F686" s="367">
        <f>F669</f>
        <v>2020</v>
      </c>
      <c r="G686" s="367"/>
      <c r="H686" s="367"/>
      <c r="I686" s="229"/>
      <c r="J686" s="367">
        <f>J669</f>
        <v>2035</v>
      </c>
      <c r="K686" s="367"/>
      <c r="L686" s="367"/>
      <c r="M686" s="212"/>
      <c r="N686" s="212"/>
    </row>
    <row r="687" spans="1:14" ht="12.95">
      <c r="A687" s="230"/>
      <c r="B687" s="231" t="s">
        <v>173</v>
      </c>
      <c r="C687" s="231" t="s">
        <v>174</v>
      </c>
      <c r="D687" s="231" t="s">
        <v>119</v>
      </c>
      <c r="E687" s="231"/>
      <c r="F687" s="231" t="s">
        <v>173</v>
      </c>
      <c r="G687" s="231" t="s">
        <v>174</v>
      </c>
      <c r="H687" s="231" t="s">
        <v>119</v>
      </c>
      <c r="I687" s="231"/>
      <c r="J687" s="231" t="s">
        <v>173</v>
      </c>
      <c r="K687" s="231" t="s">
        <v>174</v>
      </c>
      <c r="L687" s="231" t="s">
        <v>119</v>
      </c>
      <c r="M687" s="212"/>
      <c r="N687" s="212"/>
    </row>
    <row r="688" spans="1:14" ht="12.95">
      <c r="A688" s="234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12"/>
      <c r="N688" s="212"/>
    </row>
    <row r="689" spans="1:14">
      <c r="A689" s="213" t="str">
        <f>name!E$4</f>
        <v>Managers, directors and senior officials</v>
      </c>
      <c r="B689" s="278">
        <v>58.561890196562864</v>
      </c>
      <c r="C689" s="278">
        <v>92.074764701258601</v>
      </c>
      <c r="D689" s="278">
        <f>SUM(B689:C689)</f>
        <v>150.63665489782147</v>
      </c>
      <c r="E689" s="279"/>
      <c r="F689" s="278">
        <v>80.378826774616641</v>
      </c>
      <c r="G689" s="278">
        <v>104.42895638015051</v>
      </c>
      <c r="H689" s="278">
        <f>SUM(F689:G689)</f>
        <v>184.80778315476715</v>
      </c>
      <c r="I689" s="279"/>
      <c r="J689" s="278">
        <v>92.757732891975905</v>
      </c>
      <c r="K689" s="278">
        <v>138.47336741444576</v>
      </c>
      <c r="L689" s="278">
        <f>SUM(J689:K689)</f>
        <v>231.23110030642167</v>
      </c>
      <c r="M689" s="212"/>
      <c r="N689" s="212"/>
    </row>
    <row r="690" spans="1:14">
      <c r="A690" s="213" t="str">
        <f>name!E$5</f>
        <v>Professional occupations</v>
      </c>
      <c r="B690" s="278">
        <v>19.048555424538691</v>
      </c>
      <c r="C690" s="278">
        <v>19.127484839886936</v>
      </c>
      <c r="D690" s="278">
        <f t="shared" ref="D690:D697" si="256">SUM(B690:C690)</f>
        <v>38.176040264425623</v>
      </c>
      <c r="E690" s="279"/>
      <c r="F690" s="278">
        <v>31.095327336490261</v>
      </c>
      <c r="G690" s="278">
        <v>28.019300799405762</v>
      </c>
      <c r="H690" s="278">
        <f t="shared" ref="H690:H697" si="257">SUM(F690:G690)</f>
        <v>59.114628135896027</v>
      </c>
      <c r="I690" s="279"/>
      <c r="J690" s="278">
        <v>43.558238639284475</v>
      </c>
      <c r="K690" s="278">
        <v>39.412887360130682</v>
      </c>
      <c r="L690" s="278">
        <f t="shared" ref="L690:L697" si="258">SUM(J690:K690)</f>
        <v>82.971125999415165</v>
      </c>
      <c r="M690" s="212"/>
      <c r="N690" s="212"/>
    </row>
    <row r="691" spans="1:14">
      <c r="A691" s="213" t="str">
        <f>name!E$6</f>
        <v>Associate professional occupations</v>
      </c>
      <c r="B691" s="278">
        <v>24.030747320960128</v>
      </c>
      <c r="C691" s="278">
        <v>18.662842745971979</v>
      </c>
      <c r="D691" s="278">
        <f t="shared" si="256"/>
        <v>42.693590066932103</v>
      </c>
      <c r="E691" s="279"/>
      <c r="F691" s="278">
        <v>34.564125635068777</v>
      </c>
      <c r="G691" s="278">
        <v>24.589892503856305</v>
      </c>
      <c r="H691" s="278">
        <f t="shared" si="257"/>
        <v>59.154018138925082</v>
      </c>
      <c r="I691" s="279"/>
      <c r="J691" s="278">
        <v>54.837096618070042</v>
      </c>
      <c r="K691" s="278">
        <v>33.233268831558966</v>
      </c>
      <c r="L691" s="278">
        <f t="shared" si="258"/>
        <v>88.070365449629008</v>
      </c>
      <c r="M691" s="212"/>
      <c r="N691" s="212"/>
    </row>
    <row r="692" spans="1:14">
      <c r="A692" s="213" t="str">
        <f>name!E$7</f>
        <v>Administrative and secretarial occupations</v>
      </c>
      <c r="B692" s="278">
        <v>47.167787377502812</v>
      </c>
      <c r="C692" s="278">
        <v>17.790461873142746</v>
      </c>
      <c r="D692" s="278">
        <f t="shared" si="256"/>
        <v>64.958249250645565</v>
      </c>
      <c r="E692" s="279"/>
      <c r="F692" s="278">
        <v>56.536594325387142</v>
      </c>
      <c r="G692" s="278">
        <v>22.14875840821583</v>
      </c>
      <c r="H692" s="278">
        <f t="shared" si="257"/>
        <v>78.685352733602969</v>
      </c>
      <c r="I692" s="279"/>
      <c r="J692" s="278">
        <v>86.779359936335098</v>
      </c>
      <c r="K692" s="278">
        <v>34.029809874116069</v>
      </c>
      <c r="L692" s="278">
        <f t="shared" si="258"/>
        <v>120.80916981045117</v>
      </c>
      <c r="M692" s="212"/>
      <c r="N692" s="212"/>
    </row>
    <row r="693" spans="1:14">
      <c r="A693" s="213" t="str">
        <f>name!E$8</f>
        <v>Skilled trades occupations</v>
      </c>
      <c r="B693" s="278">
        <v>58.461721590257987</v>
      </c>
      <c r="C693" s="278">
        <v>167.20226625395259</v>
      </c>
      <c r="D693" s="278">
        <f t="shared" si="256"/>
        <v>225.66398784421057</v>
      </c>
      <c r="E693" s="279"/>
      <c r="F693" s="278">
        <v>63.126938428570355</v>
      </c>
      <c r="G693" s="278">
        <v>136.80324993886512</v>
      </c>
      <c r="H693" s="278">
        <f t="shared" si="257"/>
        <v>199.93018836743548</v>
      </c>
      <c r="I693" s="279"/>
      <c r="J693" s="278">
        <v>69.475527537102622</v>
      </c>
      <c r="K693" s="278">
        <v>151.74187408467492</v>
      </c>
      <c r="L693" s="278">
        <f t="shared" si="258"/>
        <v>221.21740162177753</v>
      </c>
      <c r="M693" s="212"/>
      <c r="N693" s="212"/>
    </row>
    <row r="694" spans="1:14">
      <c r="A694" s="213" t="str">
        <f>name!E$9</f>
        <v>Caring, leisure and other service occupations</v>
      </c>
      <c r="B694" s="278">
        <v>52.08899519811041</v>
      </c>
      <c r="C694" s="278">
        <v>12.725284884593405</v>
      </c>
      <c r="D694" s="278">
        <f t="shared" si="256"/>
        <v>64.814280082703817</v>
      </c>
      <c r="E694" s="279"/>
      <c r="F694" s="278">
        <v>56.206684248123274</v>
      </c>
      <c r="G694" s="278">
        <v>16.391765336794865</v>
      </c>
      <c r="H694" s="278">
        <f t="shared" si="257"/>
        <v>72.598449584918143</v>
      </c>
      <c r="I694" s="279"/>
      <c r="J694" s="278">
        <v>68.663711347127915</v>
      </c>
      <c r="K694" s="278">
        <v>21.948183157166216</v>
      </c>
      <c r="L694" s="278">
        <f t="shared" si="258"/>
        <v>90.611894504294128</v>
      </c>
      <c r="M694" s="212"/>
      <c r="N694" s="212"/>
    </row>
    <row r="695" spans="1:14">
      <c r="A695" s="213" t="str">
        <f>name!E$10</f>
        <v>Sales and customer service occupations</v>
      </c>
      <c r="B695" s="278">
        <v>59.625338016283372</v>
      </c>
      <c r="C695" s="278">
        <v>53.260645700949823</v>
      </c>
      <c r="D695" s="278">
        <f t="shared" si="256"/>
        <v>112.88598371723319</v>
      </c>
      <c r="E695" s="279"/>
      <c r="F695" s="278">
        <v>69.239841613916468</v>
      </c>
      <c r="G695" s="278">
        <v>60.740657451231129</v>
      </c>
      <c r="H695" s="278">
        <f t="shared" si="257"/>
        <v>129.9804990651476</v>
      </c>
      <c r="I695" s="279"/>
      <c r="J695" s="278">
        <v>122.65056156531899</v>
      </c>
      <c r="K695" s="278">
        <v>83.488016790359779</v>
      </c>
      <c r="L695" s="278">
        <f t="shared" si="258"/>
        <v>206.13857835567876</v>
      </c>
      <c r="M695" s="212"/>
      <c r="N695" s="212"/>
    </row>
    <row r="696" spans="1:14">
      <c r="A696" s="213" t="str">
        <f>name!E$11</f>
        <v>Process, plant and machine operatives</v>
      </c>
      <c r="B696" s="278">
        <v>7.0109364810867936</v>
      </c>
      <c r="C696" s="278">
        <v>38.489377198054001</v>
      </c>
      <c r="D696" s="278">
        <f t="shared" si="256"/>
        <v>45.500313679140795</v>
      </c>
      <c r="E696" s="279"/>
      <c r="F696" s="278">
        <v>6.9979702022724268</v>
      </c>
      <c r="G696" s="278">
        <v>45.486353513116875</v>
      </c>
      <c r="H696" s="278">
        <f t="shared" si="257"/>
        <v>52.484323715389301</v>
      </c>
      <c r="I696" s="279"/>
      <c r="J696" s="278">
        <v>20.000471595627662</v>
      </c>
      <c r="K696" s="278">
        <v>66.891776650186216</v>
      </c>
      <c r="L696" s="278">
        <f t="shared" si="258"/>
        <v>86.892248245813875</v>
      </c>
      <c r="M696" s="212"/>
      <c r="N696" s="212"/>
    </row>
    <row r="697" spans="1:14">
      <c r="A697" s="213" t="str">
        <f>name!E$12</f>
        <v>Elementary occupations</v>
      </c>
      <c r="B697" s="278">
        <v>435.01002841122835</v>
      </c>
      <c r="C697" s="278">
        <v>315.00287181195108</v>
      </c>
      <c r="D697" s="278">
        <f t="shared" si="256"/>
        <v>750.01290022317949</v>
      </c>
      <c r="E697" s="279"/>
      <c r="F697" s="278">
        <v>465.76369144576688</v>
      </c>
      <c r="G697" s="278">
        <v>333.27906566509455</v>
      </c>
      <c r="H697" s="278">
        <f t="shared" si="257"/>
        <v>799.04275711086143</v>
      </c>
      <c r="I697" s="279"/>
      <c r="J697" s="278">
        <v>463.70329990331436</v>
      </c>
      <c r="K697" s="278">
        <v>362.59381584432663</v>
      </c>
      <c r="L697" s="278">
        <f t="shared" si="258"/>
        <v>826.29711574764099</v>
      </c>
      <c r="M697" s="212"/>
      <c r="N697" s="212"/>
    </row>
    <row r="698" spans="1:14">
      <c r="A698" s="213"/>
      <c r="B698" s="278"/>
      <c r="C698" s="278"/>
      <c r="D698" s="278"/>
      <c r="E698" s="279"/>
      <c r="F698" s="278"/>
      <c r="G698" s="278"/>
      <c r="H698" s="278"/>
      <c r="I698" s="279"/>
      <c r="J698" s="278"/>
      <c r="K698" s="278"/>
      <c r="L698" s="278"/>
      <c r="M698" s="212"/>
      <c r="N698" s="212"/>
    </row>
    <row r="699" spans="1:14">
      <c r="A699" s="220" t="s">
        <v>119</v>
      </c>
      <c r="B699" s="282">
        <f>SUM(B689:B697)</f>
        <v>761.0060000165314</v>
      </c>
      <c r="C699" s="282">
        <f t="shared" ref="C699:D699" si="259">SUM(C689:C697)</f>
        <v>734.33600000976116</v>
      </c>
      <c r="D699" s="282">
        <f t="shared" si="259"/>
        <v>1495.3420000262927</v>
      </c>
      <c r="E699" s="282"/>
      <c r="F699" s="282">
        <f t="shared" ref="F699:H699" si="260">SUM(F689:F697)</f>
        <v>863.91000001021223</v>
      </c>
      <c r="G699" s="282">
        <f t="shared" si="260"/>
        <v>771.88799999673097</v>
      </c>
      <c r="H699" s="282">
        <f t="shared" si="260"/>
        <v>1635.7980000069433</v>
      </c>
      <c r="I699" s="282"/>
      <c r="J699" s="282">
        <f t="shared" ref="J699:L699" si="261">SUM(J689:J697)</f>
        <v>1022.426000034157</v>
      </c>
      <c r="K699" s="282">
        <f t="shared" si="261"/>
        <v>931.81300000696524</v>
      </c>
      <c r="L699" s="282">
        <f t="shared" si="261"/>
        <v>1954.2390000411219</v>
      </c>
      <c r="M699" s="212"/>
      <c r="N699" s="212"/>
    </row>
    <row r="700" spans="1:14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6"/>
      <c r="M700" s="212"/>
      <c r="N700" s="212"/>
    </row>
    <row r="701" spans="1:14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32" t="s">
        <v>114</v>
      </c>
      <c r="M701" s="212"/>
      <c r="N701" s="212"/>
    </row>
    <row r="702" spans="1:14" ht="12.95">
      <c r="A702" s="218"/>
      <c r="B702" s="226"/>
      <c r="C702" s="226"/>
      <c r="D702" s="226"/>
      <c r="E702" s="226"/>
      <c r="F702" s="226"/>
      <c r="G702" s="226"/>
      <c r="H702" s="226"/>
      <c r="I702" s="226"/>
      <c r="J702" s="226"/>
      <c r="K702" s="226"/>
      <c r="L702" s="212"/>
      <c r="M702" s="212"/>
      <c r="N702" s="212"/>
    </row>
    <row r="703" spans="1:14" ht="12.95">
      <c r="A703" s="217" t="str">
        <f>name!A44</f>
        <v>Publishing activities</v>
      </c>
      <c r="B703" s="367">
        <f>B$6</f>
        <v>2015</v>
      </c>
      <c r="C703" s="367"/>
      <c r="D703" s="367"/>
      <c r="E703" s="229"/>
      <c r="F703" s="367">
        <f>F686</f>
        <v>2020</v>
      </c>
      <c r="G703" s="367"/>
      <c r="H703" s="367"/>
      <c r="I703" s="229"/>
      <c r="J703" s="367">
        <f>J686</f>
        <v>2035</v>
      </c>
      <c r="K703" s="367"/>
      <c r="L703" s="367"/>
      <c r="M703" s="212"/>
      <c r="N703" s="212"/>
    </row>
    <row r="704" spans="1:14" ht="12.95">
      <c r="A704" s="230"/>
      <c r="B704" s="231" t="s">
        <v>173</v>
      </c>
      <c r="C704" s="231" t="s">
        <v>174</v>
      </c>
      <c r="D704" s="231" t="s">
        <v>119</v>
      </c>
      <c r="E704" s="231"/>
      <c r="F704" s="231" t="s">
        <v>173</v>
      </c>
      <c r="G704" s="231" t="s">
        <v>174</v>
      </c>
      <c r="H704" s="231" t="s">
        <v>119</v>
      </c>
      <c r="I704" s="231"/>
      <c r="J704" s="231" t="s">
        <v>173</v>
      </c>
      <c r="K704" s="231" t="s">
        <v>174</v>
      </c>
      <c r="L704" s="231" t="s">
        <v>119</v>
      </c>
      <c r="M704" s="212"/>
      <c r="N704" s="212"/>
    </row>
    <row r="705" spans="1:14" ht="12.95">
      <c r="A705" s="234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12"/>
      <c r="N705" s="212"/>
    </row>
    <row r="706" spans="1:14">
      <c r="A706" s="213" t="str">
        <f>name!E$4</f>
        <v>Managers, directors and senior officials</v>
      </c>
      <c r="B706" s="278">
        <v>7.6872640223457953</v>
      </c>
      <c r="C706" s="278">
        <v>20.22432247770994</v>
      </c>
      <c r="D706" s="278">
        <f>SUM(B706:C706)</f>
        <v>27.911586500055733</v>
      </c>
      <c r="E706" s="279"/>
      <c r="F706" s="278">
        <v>8.5702675269190376</v>
      </c>
      <c r="G706" s="278">
        <v>17.986063977833105</v>
      </c>
      <c r="H706" s="278">
        <f>SUM(F706:G706)</f>
        <v>26.556331504752144</v>
      </c>
      <c r="I706" s="279"/>
      <c r="J706" s="278">
        <v>7.8630978807314893</v>
      </c>
      <c r="K706" s="278">
        <v>17.439145288281054</v>
      </c>
      <c r="L706" s="278">
        <f>SUM(J706:K706)</f>
        <v>25.302243169012542</v>
      </c>
      <c r="M706" s="212"/>
      <c r="N706" s="212"/>
    </row>
    <row r="707" spans="1:14">
      <c r="A707" s="213" t="str">
        <f>name!E$5</f>
        <v>Professional occupations</v>
      </c>
      <c r="B707" s="278">
        <v>12.587703079545074</v>
      </c>
      <c r="C707" s="278">
        <v>29.46333766844042</v>
      </c>
      <c r="D707" s="278">
        <f t="shared" ref="D707:D714" si="262">SUM(B707:C707)</f>
        <v>42.051040747985496</v>
      </c>
      <c r="E707" s="279"/>
      <c r="F707" s="278">
        <v>14.269306966500462</v>
      </c>
      <c r="G707" s="278">
        <v>29.082279969796168</v>
      </c>
      <c r="H707" s="278">
        <f t="shared" ref="H707:H714" si="263">SUM(F707:G707)</f>
        <v>43.351586936296627</v>
      </c>
      <c r="I707" s="279"/>
      <c r="J707" s="278">
        <v>16.658867099095271</v>
      </c>
      <c r="K707" s="278">
        <v>35.558809017490411</v>
      </c>
      <c r="L707" s="278">
        <f t="shared" ref="L707:L714" si="264">SUM(J707:K707)</f>
        <v>52.217676116585679</v>
      </c>
      <c r="M707" s="212"/>
      <c r="N707" s="212"/>
    </row>
    <row r="708" spans="1:14">
      <c r="A708" s="213" t="str">
        <f>name!E$6</f>
        <v>Associate professional occupations</v>
      </c>
      <c r="B708" s="278">
        <v>21.816908843408832</v>
      </c>
      <c r="C708" s="278">
        <v>23.35187516277421</v>
      </c>
      <c r="D708" s="278">
        <f t="shared" si="262"/>
        <v>45.168784006183046</v>
      </c>
      <c r="E708" s="279"/>
      <c r="F708" s="278">
        <v>23.092873013525981</v>
      </c>
      <c r="G708" s="278">
        <v>21.000375690326756</v>
      </c>
      <c r="H708" s="278">
        <f t="shared" si="263"/>
        <v>44.093248703852737</v>
      </c>
      <c r="I708" s="279"/>
      <c r="J708" s="278">
        <v>23.405117621009747</v>
      </c>
      <c r="K708" s="278">
        <v>18.675264223125975</v>
      </c>
      <c r="L708" s="278">
        <f t="shared" si="264"/>
        <v>42.080381844135722</v>
      </c>
      <c r="M708" s="212"/>
      <c r="N708" s="212"/>
    </row>
    <row r="709" spans="1:14">
      <c r="A709" s="213" t="str">
        <f>name!E$7</f>
        <v>Administrative and secretarial occupations</v>
      </c>
      <c r="B709" s="278">
        <v>9.7637677451041061</v>
      </c>
      <c r="C709" s="278">
        <v>2.6223910715704988</v>
      </c>
      <c r="D709" s="278">
        <f t="shared" si="262"/>
        <v>12.386158816674605</v>
      </c>
      <c r="E709" s="279"/>
      <c r="F709" s="278">
        <v>7.3294743768743507</v>
      </c>
      <c r="G709" s="278">
        <v>2.214644274710087</v>
      </c>
      <c r="H709" s="278">
        <f t="shared" si="263"/>
        <v>9.5441186515844372</v>
      </c>
      <c r="I709" s="279"/>
      <c r="J709" s="278">
        <v>5.2238460361053392</v>
      </c>
      <c r="K709" s="278">
        <v>2.0220262072169204</v>
      </c>
      <c r="L709" s="278">
        <f t="shared" si="264"/>
        <v>7.2458722433222595</v>
      </c>
      <c r="M709" s="212"/>
      <c r="N709" s="212"/>
    </row>
    <row r="710" spans="1:14">
      <c r="A710" s="213" t="str">
        <f>name!E$8</f>
        <v>Skilled trades occupations</v>
      </c>
      <c r="B710" s="278">
        <v>2.162386536671574</v>
      </c>
      <c r="C710" s="278">
        <v>11.53944004703521</v>
      </c>
      <c r="D710" s="278">
        <f t="shared" si="262"/>
        <v>13.701826583706785</v>
      </c>
      <c r="E710" s="279"/>
      <c r="F710" s="278">
        <v>1.8792046424614617</v>
      </c>
      <c r="G710" s="278">
        <v>7.1305210786579885</v>
      </c>
      <c r="H710" s="278">
        <f t="shared" si="263"/>
        <v>9.0097257211194499</v>
      </c>
      <c r="I710" s="279"/>
      <c r="J710" s="278">
        <v>1.7100332308165676</v>
      </c>
      <c r="K710" s="278">
        <v>5.8667360955466918</v>
      </c>
      <c r="L710" s="278">
        <f t="shared" si="264"/>
        <v>7.5767693263632596</v>
      </c>
      <c r="M710" s="212"/>
      <c r="N710" s="212"/>
    </row>
    <row r="711" spans="1:14">
      <c r="A711" s="213" t="str">
        <f>name!E$9</f>
        <v>Caring, leisure and other service occupations</v>
      </c>
      <c r="B711" s="278">
        <v>0.84973880208083541</v>
      </c>
      <c r="C711" s="278">
        <v>0.79025117772037101</v>
      </c>
      <c r="D711" s="278">
        <f t="shared" si="262"/>
        <v>1.6399899798012063</v>
      </c>
      <c r="E711" s="279"/>
      <c r="F711" s="278">
        <v>0.81266316159949481</v>
      </c>
      <c r="G711" s="278">
        <v>0.64699383749786332</v>
      </c>
      <c r="H711" s="278">
        <f t="shared" si="263"/>
        <v>1.459656999097358</v>
      </c>
      <c r="I711" s="279"/>
      <c r="J711" s="278">
        <v>0.7356274113659268</v>
      </c>
      <c r="K711" s="278">
        <v>0.82430451712321962</v>
      </c>
      <c r="L711" s="278">
        <f t="shared" si="264"/>
        <v>1.5599319284891464</v>
      </c>
      <c r="M711" s="212"/>
      <c r="N711" s="212"/>
    </row>
    <row r="712" spans="1:14">
      <c r="A712" s="213" t="str">
        <f>name!E$10</f>
        <v>Sales and customer service occupations</v>
      </c>
      <c r="B712" s="278">
        <v>4.1308581277408436</v>
      </c>
      <c r="C712" s="278">
        <v>2.7805828895451983</v>
      </c>
      <c r="D712" s="278">
        <f t="shared" si="262"/>
        <v>6.9114410172860419</v>
      </c>
      <c r="E712" s="279"/>
      <c r="F712" s="278">
        <v>3.1575251921703864</v>
      </c>
      <c r="G712" s="278">
        <v>1.9294041766813874</v>
      </c>
      <c r="H712" s="278">
        <f t="shared" si="263"/>
        <v>5.0869293688517736</v>
      </c>
      <c r="I712" s="279"/>
      <c r="J712" s="278">
        <v>2.6379004482828186</v>
      </c>
      <c r="K712" s="278">
        <v>1.9932777213169961</v>
      </c>
      <c r="L712" s="278">
        <f t="shared" si="264"/>
        <v>4.6311781695998144</v>
      </c>
      <c r="M712" s="212"/>
      <c r="N712" s="212"/>
    </row>
    <row r="713" spans="1:14">
      <c r="A713" s="213" t="str">
        <f>name!E$11</f>
        <v>Process, plant and machine operatives</v>
      </c>
      <c r="B713" s="278">
        <v>0.94024464905264904</v>
      </c>
      <c r="C713" s="278">
        <v>3.3441355414775149</v>
      </c>
      <c r="D713" s="278">
        <f t="shared" si="262"/>
        <v>4.2843801905301637</v>
      </c>
      <c r="E713" s="279"/>
      <c r="F713" s="278">
        <v>0.95898293699206139</v>
      </c>
      <c r="G713" s="278">
        <v>2.2928072353923601</v>
      </c>
      <c r="H713" s="278">
        <f t="shared" si="263"/>
        <v>3.2517901723844216</v>
      </c>
      <c r="I713" s="279"/>
      <c r="J713" s="278">
        <v>0.95795271538661764</v>
      </c>
      <c r="K713" s="278">
        <v>1.9733642811785645</v>
      </c>
      <c r="L713" s="278">
        <f t="shared" si="264"/>
        <v>2.9313169965651822</v>
      </c>
      <c r="M713" s="212"/>
      <c r="N713" s="212"/>
    </row>
    <row r="714" spans="1:14">
      <c r="A714" s="213" t="str">
        <f>name!E$12</f>
        <v>Elementary occupations</v>
      </c>
      <c r="B714" s="278">
        <v>3.9901281937448894</v>
      </c>
      <c r="C714" s="278">
        <v>5.0106639634319619</v>
      </c>
      <c r="D714" s="278">
        <f t="shared" si="262"/>
        <v>9.0007921571768517</v>
      </c>
      <c r="E714" s="279"/>
      <c r="F714" s="278">
        <v>3.1387021823949288</v>
      </c>
      <c r="G714" s="278">
        <v>2.7589097595589838</v>
      </c>
      <c r="H714" s="278">
        <f t="shared" si="263"/>
        <v>5.8976119419539126</v>
      </c>
      <c r="I714" s="279"/>
      <c r="J714" s="278">
        <v>3.7455575582553609</v>
      </c>
      <c r="K714" s="278">
        <v>2.0730726498723269</v>
      </c>
      <c r="L714" s="278">
        <f t="shared" si="264"/>
        <v>5.8186302081276882</v>
      </c>
      <c r="M714" s="212"/>
      <c r="N714" s="212"/>
    </row>
    <row r="715" spans="1:14">
      <c r="A715" s="213"/>
      <c r="B715" s="278"/>
      <c r="C715" s="278"/>
      <c r="D715" s="278"/>
      <c r="E715" s="279"/>
      <c r="F715" s="278"/>
      <c r="G715" s="278"/>
      <c r="H715" s="278"/>
      <c r="I715" s="279"/>
      <c r="J715" s="278"/>
      <c r="K715" s="278"/>
      <c r="L715" s="278"/>
      <c r="M715" s="212"/>
      <c r="N715" s="212"/>
    </row>
    <row r="716" spans="1:14">
      <c r="A716" s="220" t="s">
        <v>119</v>
      </c>
      <c r="B716" s="282">
        <f>SUM(B706:B714)</f>
        <v>63.928999999694604</v>
      </c>
      <c r="C716" s="282">
        <f t="shared" ref="C716:D716" si="265">SUM(C706:C714)</f>
        <v>99.126999999705333</v>
      </c>
      <c r="D716" s="282">
        <f t="shared" si="265"/>
        <v>163.05599999939994</v>
      </c>
      <c r="E716" s="282"/>
      <c r="F716" s="282">
        <f t="shared" ref="F716:H716" si="266">SUM(F706:F714)</f>
        <v>63.208999999438163</v>
      </c>
      <c r="G716" s="282">
        <f t="shared" si="266"/>
        <v>85.042000000454706</v>
      </c>
      <c r="H716" s="282">
        <f t="shared" si="266"/>
        <v>148.25099999989285</v>
      </c>
      <c r="I716" s="282"/>
      <c r="J716" s="282">
        <f t="shared" ref="J716:L716" si="267">SUM(J706:J714)</f>
        <v>62.938000001049154</v>
      </c>
      <c r="K716" s="282">
        <f t="shared" si="267"/>
        <v>86.426000001152175</v>
      </c>
      <c r="L716" s="282">
        <f t="shared" si="267"/>
        <v>149.36400000220129</v>
      </c>
      <c r="M716" s="212"/>
      <c r="N716" s="212"/>
    </row>
    <row r="717" spans="1:14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6"/>
      <c r="M717" s="212"/>
      <c r="N717" s="212"/>
    </row>
    <row r="718" spans="1:14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32" t="s">
        <v>114</v>
      </c>
      <c r="M718" s="212"/>
      <c r="N718" s="212"/>
    </row>
    <row r="719" spans="1:14" ht="12.95">
      <c r="A719" s="218"/>
      <c r="B719" s="226"/>
      <c r="C719" s="226"/>
      <c r="D719" s="226"/>
      <c r="E719" s="226"/>
      <c r="F719" s="226"/>
      <c r="G719" s="226"/>
      <c r="H719" s="226"/>
      <c r="I719" s="226"/>
      <c r="J719" s="226"/>
      <c r="K719" s="226"/>
      <c r="L719" s="212"/>
      <c r="M719" s="212"/>
      <c r="N719" s="212"/>
    </row>
    <row r="720" spans="1:14" ht="12.95">
      <c r="A720" s="217" t="str">
        <f>name!A45</f>
        <v>Film and music</v>
      </c>
      <c r="B720" s="367">
        <f>B$6</f>
        <v>2015</v>
      </c>
      <c r="C720" s="367"/>
      <c r="D720" s="367"/>
      <c r="E720" s="229"/>
      <c r="F720" s="367">
        <f>F703</f>
        <v>2020</v>
      </c>
      <c r="G720" s="367"/>
      <c r="H720" s="367"/>
      <c r="I720" s="229"/>
      <c r="J720" s="367">
        <f>J703</f>
        <v>2035</v>
      </c>
      <c r="K720" s="367"/>
      <c r="L720" s="367"/>
      <c r="M720" s="212"/>
      <c r="N720" s="212"/>
    </row>
    <row r="721" spans="1:14" ht="12.95">
      <c r="A721" s="230"/>
      <c r="B721" s="231" t="s">
        <v>173</v>
      </c>
      <c r="C721" s="231" t="s">
        <v>174</v>
      </c>
      <c r="D721" s="231" t="s">
        <v>119</v>
      </c>
      <c r="E721" s="231"/>
      <c r="F721" s="231" t="s">
        <v>173</v>
      </c>
      <c r="G721" s="231" t="s">
        <v>174</v>
      </c>
      <c r="H721" s="231" t="s">
        <v>119</v>
      </c>
      <c r="I721" s="231"/>
      <c r="J721" s="231" t="s">
        <v>173</v>
      </c>
      <c r="K721" s="231" t="s">
        <v>174</v>
      </c>
      <c r="L721" s="231" t="s">
        <v>119</v>
      </c>
      <c r="M721" s="212"/>
      <c r="N721" s="212"/>
    </row>
    <row r="722" spans="1:14" ht="12.95">
      <c r="A722" s="234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12"/>
      <c r="N722" s="212"/>
    </row>
    <row r="723" spans="1:14">
      <c r="A723" s="213" t="str">
        <f>name!E$4</f>
        <v>Managers, directors and senior officials</v>
      </c>
      <c r="B723" s="278">
        <v>8.527222295758083</v>
      </c>
      <c r="C723" s="278">
        <v>7.8786100810337132</v>
      </c>
      <c r="D723" s="278">
        <f>SUM(B723:C723)</f>
        <v>16.405832376791796</v>
      </c>
      <c r="E723" s="279"/>
      <c r="F723" s="278">
        <v>9.6823391778317998</v>
      </c>
      <c r="G723" s="278">
        <v>8.465145397907941</v>
      </c>
      <c r="H723" s="278">
        <f>SUM(F723:G723)</f>
        <v>18.147484575739739</v>
      </c>
      <c r="I723" s="279"/>
      <c r="J723" s="278">
        <v>9.7942633114615987</v>
      </c>
      <c r="K723" s="278">
        <v>9.0713027919940235</v>
      </c>
      <c r="L723" s="278">
        <f>SUM(J723:K723)</f>
        <v>18.86556610345562</v>
      </c>
      <c r="M723" s="212"/>
      <c r="N723" s="212"/>
    </row>
    <row r="724" spans="1:14">
      <c r="A724" s="213" t="str">
        <f>name!E$5</f>
        <v>Professional occupations</v>
      </c>
      <c r="B724" s="278">
        <v>13.69223055040009</v>
      </c>
      <c r="C724" s="278">
        <v>11.895845218471608</v>
      </c>
      <c r="D724" s="278">
        <f t="shared" ref="D724:D731" si="268">SUM(B724:C724)</f>
        <v>25.588075768871697</v>
      </c>
      <c r="E724" s="279"/>
      <c r="F724" s="278">
        <v>18.607357090979285</v>
      </c>
      <c r="G724" s="278">
        <v>14.153479485342197</v>
      </c>
      <c r="H724" s="278">
        <f t="shared" ref="H724:H731" si="269">SUM(F724:G724)</f>
        <v>32.760836576321481</v>
      </c>
      <c r="I724" s="279"/>
      <c r="J724" s="278">
        <v>21.77583038821205</v>
      </c>
      <c r="K724" s="278">
        <v>17.122634127765245</v>
      </c>
      <c r="L724" s="278">
        <f t="shared" ref="L724:L731" si="270">SUM(J724:K724)</f>
        <v>38.898464515977295</v>
      </c>
      <c r="M724" s="212"/>
      <c r="N724" s="212"/>
    </row>
    <row r="725" spans="1:14">
      <c r="A725" s="213" t="str">
        <f>name!E$6</f>
        <v>Associate professional occupations</v>
      </c>
      <c r="B725" s="278">
        <v>16.716755453924382</v>
      </c>
      <c r="C725" s="278">
        <v>24.432717998936855</v>
      </c>
      <c r="D725" s="278">
        <f t="shared" si="268"/>
        <v>41.149473452861237</v>
      </c>
      <c r="E725" s="279"/>
      <c r="F725" s="278">
        <v>19.448418205874788</v>
      </c>
      <c r="G725" s="278">
        <v>26.743656658137041</v>
      </c>
      <c r="H725" s="278">
        <f t="shared" si="269"/>
        <v>46.192074864011829</v>
      </c>
      <c r="I725" s="279"/>
      <c r="J725" s="278">
        <v>21.377287198623446</v>
      </c>
      <c r="K725" s="278">
        <v>25.450178629447898</v>
      </c>
      <c r="L725" s="278">
        <f t="shared" si="270"/>
        <v>46.82746582807134</v>
      </c>
      <c r="M725" s="212"/>
      <c r="N725" s="212"/>
    </row>
    <row r="726" spans="1:14">
      <c r="A726" s="213" t="str">
        <f>name!E$7</f>
        <v>Administrative and secretarial occupations</v>
      </c>
      <c r="B726" s="278">
        <v>11.688840733700284</v>
      </c>
      <c r="C726" s="278">
        <v>2.3154530184599453</v>
      </c>
      <c r="D726" s="278">
        <f t="shared" si="268"/>
        <v>14.00429375216023</v>
      </c>
      <c r="E726" s="279"/>
      <c r="F726" s="278">
        <v>12.729468175415454</v>
      </c>
      <c r="G726" s="278">
        <v>3.5329744123611317</v>
      </c>
      <c r="H726" s="278">
        <f t="shared" si="269"/>
        <v>16.262442587776587</v>
      </c>
      <c r="I726" s="279"/>
      <c r="J726" s="278">
        <v>11.245336737040731</v>
      </c>
      <c r="K726" s="278">
        <v>3.5631364607055183</v>
      </c>
      <c r="L726" s="278">
        <f t="shared" si="270"/>
        <v>14.808473197746249</v>
      </c>
      <c r="M726" s="212"/>
      <c r="N726" s="212"/>
    </row>
    <row r="727" spans="1:14">
      <c r="A727" s="213" t="str">
        <f>name!E$8</f>
        <v>Skilled trades occupations</v>
      </c>
      <c r="B727" s="278">
        <v>2.1781794722009544</v>
      </c>
      <c r="C727" s="278">
        <v>5.9640558659794749</v>
      </c>
      <c r="D727" s="278">
        <f t="shared" si="268"/>
        <v>8.1422353381804289</v>
      </c>
      <c r="E727" s="279"/>
      <c r="F727" s="278">
        <v>2.2984967585945726</v>
      </c>
      <c r="G727" s="278">
        <v>5.2303203794444197</v>
      </c>
      <c r="H727" s="278">
        <f t="shared" si="269"/>
        <v>7.5288171380389919</v>
      </c>
      <c r="I727" s="279"/>
      <c r="J727" s="278">
        <v>3.201222204530132</v>
      </c>
      <c r="K727" s="278">
        <v>4.5633017685929067</v>
      </c>
      <c r="L727" s="278">
        <f t="shared" si="270"/>
        <v>7.7645239731230387</v>
      </c>
      <c r="M727" s="212"/>
      <c r="N727" s="212"/>
    </row>
    <row r="728" spans="1:14">
      <c r="A728" s="213" t="str">
        <f>name!E$9</f>
        <v>Caring, leisure and other service occupations</v>
      </c>
      <c r="B728" s="278">
        <v>5.4775460127221853</v>
      </c>
      <c r="C728" s="278">
        <v>2.5039095143868866</v>
      </c>
      <c r="D728" s="278">
        <f t="shared" si="268"/>
        <v>7.9814555271090715</v>
      </c>
      <c r="E728" s="279"/>
      <c r="F728" s="278">
        <v>5.5928803463614019</v>
      </c>
      <c r="G728" s="278">
        <v>2.9905235524871729</v>
      </c>
      <c r="H728" s="278">
        <f t="shared" si="269"/>
        <v>8.5834038988485748</v>
      </c>
      <c r="I728" s="279"/>
      <c r="J728" s="278">
        <v>5.0550668086785358</v>
      </c>
      <c r="K728" s="278">
        <v>3.0343932963105313</v>
      </c>
      <c r="L728" s="278">
        <f t="shared" si="270"/>
        <v>8.0894601049890671</v>
      </c>
      <c r="M728" s="212"/>
      <c r="N728" s="212"/>
    </row>
    <row r="729" spans="1:14">
      <c r="A729" s="213" t="str">
        <f>name!E$10</f>
        <v>Sales and customer service occupations</v>
      </c>
      <c r="B729" s="278">
        <v>4.2005604032921529</v>
      </c>
      <c r="C729" s="278">
        <v>2.6319723316680861</v>
      </c>
      <c r="D729" s="278">
        <f t="shared" si="268"/>
        <v>6.8325327349602389</v>
      </c>
      <c r="E729" s="279"/>
      <c r="F729" s="278">
        <v>4.3773323830793611</v>
      </c>
      <c r="G729" s="278">
        <v>3.2879166155192681</v>
      </c>
      <c r="H729" s="278">
        <f t="shared" si="269"/>
        <v>7.6652489985986296</v>
      </c>
      <c r="I729" s="279"/>
      <c r="J729" s="278">
        <v>4.4132447177823302</v>
      </c>
      <c r="K729" s="278">
        <v>3.9437624165737954</v>
      </c>
      <c r="L729" s="278">
        <f t="shared" si="270"/>
        <v>8.3570071343561256</v>
      </c>
      <c r="M729" s="212"/>
      <c r="N729" s="212"/>
    </row>
    <row r="730" spans="1:14">
      <c r="A730" s="213" t="str">
        <f>name!E$11</f>
        <v>Process, plant and machine operatives</v>
      </c>
      <c r="B730" s="278">
        <v>0.30783484606250039</v>
      </c>
      <c r="C730" s="278">
        <v>1.0496847117239692</v>
      </c>
      <c r="D730" s="278">
        <f t="shared" si="268"/>
        <v>1.3575195577864696</v>
      </c>
      <c r="E730" s="279"/>
      <c r="F730" s="278">
        <v>0.26812198493042344</v>
      </c>
      <c r="G730" s="278">
        <v>1.3564473286477616</v>
      </c>
      <c r="H730" s="278">
        <f t="shared" si="269"/>
        <v>1.6245693135781851</v>
      </c>
      <c r="I730" s="279"/>
      <c r="J730" s="278">
        <v>0.26865097177543917</v>
      </c>
      <c r="K730" s="278">
        <v>1.5328643762936627</v>
      </c>
      <c r="L730" s="278">
        <f t="shared" si="270"/>
        <v>1.8015153480691017</v>
      </c>
      <c r="M730" s="212"/>
      <c r="N730" s="212"/>
    </row>
    <row r="731" spans="1:14">
      <c r="A731" s="213" t="str">
        <f>name!E$12</f>
        <v>Elementary occupations</v>
      </c>
      <c r="B731" s="278">
        <v>7.8198302318401547</v>
      </c>
      <c r="C731" s="278">
        <v>8.2057512598158251</v>
      </c>
      <c r="D731" s="278">
        <f t="shared" si="268"/>
        <v>16.025581491655981</v>
      </c>
      <c r="E731" s="279"/>
      <c r="F731" s="278">
        <v>6.9315858767422638</v>
      </c>
      <c r="G731" s="278">
        <v>9.2865361710729957</v>
      </c>
      <c r="H731" s="278">
        <f t="shared" si="269"/>
        <v>16.21812204781526</v>
      </c>
      <c r="I731" s="279"/>
      <c r="J731" s="278">
        <v>5.6080976628647665</v>
      </c>
      <c r="K731" s="278">
        <v>10.011426134227012</v>
      </c>
      <c r="L731" s="278">
        <f t="shared" si="270"/>
        <v>15.619523797091778</v>
      </c>
      <c r="M731" s="212"/>
      <c r="N731" s="212"/>
    </row>
    <row r="732" spans="1:14">
      <c r="A732" s="213"/>
      <c r="B732" s="278"/>
      <c r="C732" s="278"/>
      <c r="D732" s="278"/>
      <c r="E732" s="279"/>
      <c r="F732" s="278"/>
      <c r="G732" s="278"/>
      <c r="H732" s="278"/>
      <c r="I732" s="279"/>
      <c r="J732" s="278"/>
      <c r="K732" s="278"/>
      <c r="L732" s="278"/>
      <c r="M732" s="212"/>
      <c r="N732" s="212"/>
    </row>
    <row r="733" spans="1:14">
      <c r="A733" s="220" t="s">
        <v>119</v>
      </c>
      <c r="B733" s="282">
        <f>SUM(B723:B731)</f>
        <v>70.608999999900774</v>
      </c>
      <c r="C733" s="282">
        <f t="shared" ref="C733:D733" si="271">SUM(C723:C731)</f>
        <v>66.878000000476362</v>
      </c>
      <c r="D733" s="282">
        <f t="shared" si="271"/>
        <v>137.48700000037718</v>
      </c>
      <c r="E733" s="282"/>
      <c r="F733" s="282">
        <f t="shared" ref="F733:H733" si="272">SUM(F723:F731)</f>
        <v>79.93599999980934</v>
      </c>
      <c r="G733" s="282">
        <f t="shared" si="272"/>
        <v>75.047000000919937</v>
      </c>
      <c r="H733" s="282">
        <f t="shared" si="272"/>
        <v>154.98300000072928</v>
      </c>
      <c r="I733" s="282"/>
      <c r="J733" s="282">
        <f t="shared" ref="J733:L733" si="273">SUM(J723:J731)</f>
        <v>82.739000000969028</v>
      </c>
      <c r="K733" s="282">
        <f t="shared" si="273"/>
        <v>78.293000001910585</v>
      </c>
      <c r="L733" s="282">
        <f t="shared" si="273"/>
        <v>161.03200000287961</v>
      </c>
      <c r="M733" s="212"/>
      <c r="N733" s="212"/>
    </row>
    <row r="734" spans="1:14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6"/>
      <c r="M734" s="212"/>
      <c r="N734" s="212"/>
    </row>
    <row r="735" spans="1:14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32" t="s">
        <v>114</v>
      </c>
      <c r="M735" s="212"/>
      <c r="N735" s="212"/>
    </row>
    <row r="736" spans="1:14" ht="12.95">
      <c r="A736" s="218"/>
      <c r="B736" s="226"/>
      <c r="C736" s="226"/>
      <c r="D736" s="226"/>
      <c r="E736" s="226"/>
      <c r="F736" s="226"/>
      <c r="G736" s="226"/>
      <c r="H736" s="226"/>
      <c r="I736" s="226"/>
      <c r="J736" s="226"/>
      <c r="K736" s="226"/>
      <c r="L736" s="212"/>
      <c r="M736" s="212"/>
      <c r="N736" s="212"/>
    </row>
    <row r="737" spans="1:14" ht="12.95">
      <c r="A737" s="217" t="str">
        <f>name!A46</f>
        <v>Broadcasting</v>
      </c>
      <c r="B737" s="367">
        <f>B$6</f>
        <v>2015</v>
      </c>
      <c r="C737" s="367"/>
      <c r="D737" s="367"/>
      <c r="E737" s="229"/>
      <c r="F737" s="367">
        <f>F720</f>
        <v>2020</v>
      </c>
      <c r="G737" s="367"/>
      <c r="H737" s="367"/>
      <c r="I737" s="229"/>
      <c r="J737" s="367">
        <f>J720</f>
        <v>2035</v>
      </c>
      <c r="K737" s="367"/>
      <c r="L737" s="367"/>
      <c r="M737" s="212"/>
      <c r="N737" s="212"/>
    </row>
    <row r="738" spans="1:14" ht="12.95">
      <c r="A738" s="230"/>
      <c r="B738" s="231" t="s">
        <v>173</v>
      </c>
      <c r="C738" s="231" t="s">
        <v>174</v>
      </c>
      <c r="D738" s="231" t="s">
        <v>119</v>
      </c>
      <c r="E738" s="231"/>
      <c r="F738" s="231" t="s">
        <v>173</v>
      </c>
      <c r="G738" s="231" t="s">
        <v>174</v>
      </c>
      <c r="H738" s="231" t="s">
        <v>119</v>
      </c>
      <c r="I738" s="231"/>
      <c r="J738" s="231" t="s">
        <v>173</v>
      </c>
      <c r="K738" s="231" t="s">
        <v>174</v>
      </c>
      <c r="L738" s="231" t="s">
        <v>119</v>
      </c>
      <c r="M738" s="212"/>
      <c r="N738" s="212"/>
    </row>
    <row r="739" spans="1:14" ht="12.95">
      <c r="A739" s="234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12"/>
      <c r="N739" s="212"/>
    </row>
    <row r="740" spans="1:14">
      <c r="A740" s="213" t="str">
        <f>name!E$4</f>
        <v>Managers, directors and senior officials</v>
      </c>
      <c r="B740" s="278">
        <v>1.2533770709030025</v>
      </c>
      <c r="C740" s="278">
        <v>4.0061047900824187</v>
      </c>
      <c r="D740" s="278">
        <f>SUM(B740:C740)</f>
        <v>5.2594818609854208</v>
      </c>
      <c r="E740" s="279"/>
      <c r="F740" s="278">
        <v>1.7167061060374196</v>
      </c>
      <c r="G740" s="278">
        <v>4.2222694033231321</v>
      </c>
      <c r="H740" s="278">
        <f>SUM(F740:G740)</f>
        <v>5.9389755093605512</v>
      </c>
      <c r="I740" s="279"/>
      <c r="J740" s="278">
        <v>1.6316019525720866</v>
      </c>
      <c r="K740" s="278">
        <v>4.2107809796152589</v>
      </c>
      <c r="L740" s="278">
        <f>SUM(J740:K740)</f>
        <v>5.8423829321873457</v>
      </c>
      <c r="M740" s="212"/>
      <c r="N740" s="212"/>
    </row>
    <row r="741" spans="1:14">
      <c r="A741" s="213" t="str">
        <f>name!E$5</f>
        <v>Professional occupations</v>
      </c>
      <c r="B741" s="278">
        <v>2.8306480139804817</v>
      </c>
      <c r="C741" s="278">
        <v>6.4896934612023145</v>
      </c>
      <c r="D741" s="278">
        <f t="shared" ref="D741:D748" si="274">SUM(B741:C741)</f>
        <v>9.3203414751827971</v>
      </c>
      <c r="E741" s="279"/>
      <c r="F741" s="278">
        <v>3.927729572234294</v>
      </c>
      <c r="G741" s="278">
        <v>7.6222605904186169</v>
      </c>
      <c r="H741" s="278">
        <f t="shared" ref="H741:H748" si="275">SUM(F741:G741)</f>
        <v>11.549990162652911</v>
      </c>
      <c r="I741" s="279"/>
      <c r="J741" s="278">
        <v>4.4692605070412954</v>
      </c>
      <c r="K741" s="278">
        <v>9.5574216068763764</v>
      </c>
      <c r="L741" s="278">
        <f t="shared" ref="L741:L748" si="276">SUM(J741:K741)</f>
        <v>14.026682113917673</v>
      </c>
      <c r="M741" s="212"/>
      <c r="N741" s="212"/>
    </row>
    <row r="742" spans="1:14">
      <c r="A742" s="213" t="str">
        <f>name!E$6</f>
        <v>Associate professional occupations</v>
      </c>
      <c r="B742" s="278">
        <v>3.4662057256409153</v>
      </c>
      <c r="C742" s="278">
        <v>9.5293132144504789</v>
      </c>
      <c r="D742" s="278">
        <f t="shared" si="274"/>
        <v>12.995518940091394</v>
      </c>
      <c r="E742" s="279"/>
      <c r="F742" s="278">
        <v>6.1820144660206608</v>
      </c>
      <c r="G742" s="278">
        <v>9.5710723124123582</v>
      </c>
      <c r="H742" s="278">
        <f t="shared" si="275"/>
        <v>15.753086778433019</v>
      </c>
      <c r="I742" s="279"/>
      <c r="J742" s="278">
        <v>6.1006675316189884</v>
      </c>
      <c r="K742" s="278">
        <v>8.6654382225300317</v>
      </c>
      <c r="L742" s="278">
        <f t="shared" si="276"/>
        <v>14.76610575414902</v>
      </c>
      <c r="M742" s="212"/>
      <c r="N742" s="212"/>
    </row>
    <row r="743" spans="1:14">
      <c r="A743" s="213" t="str">
        <f>name!E$7</f>
        <v>Administrative and secretarial occupations</v>
      </c>
      <c r="B743" s="278">
        <v>1.6938349900842466</v>
      </c>
      <c r="C743" s="278">
        <v>0.98979369074952694</v>
      </c>
      <c r="D743" s="278">
        <f t="shared" si="274"/>
        <v>2.6836286808337735</v>
      </c>
      <c r="E743" s="279"/>
      <c r="F743" s="278">
        <v>1.6466782412870669</v>
      </c>
      <c r="G743" s="278">
        <v>1.2648509716822181</v>
      </c>
      <c r="H743" s="278">
        <f t="shared" si="275"/>
        <v>2.9115292129692847</v>
      </c>
      <c r="I743" s="279"/>
      <c r="J743" s="278">
        <v>1.4733919216672222</v>
      </c>
      <c r="K743" s="278">
        <v>1.3498558303765813</v>
      </c>
      <c r="L743" s="278">
        <f t="shared" si="276"/>
        <v>2.8232477520438035</v>
      </c>
      <c r="M743" s="212"/>
      <c r="N743" s="212"/>
    </row>
    <row r="744" spans="1:14">
      <c r="A744" s="213" t="str">
        <f>name!E$8</f>
        <v>Skilled trades occupations</v>
      </c>
      <c r="B744" s="278">
        <v>0.35651342018948345</v>
      </c>
      <c r="C744" s="278">
        <v>3.2922953097366707</v>
      </c>
      <c r="D744" s="278">
        <f t="shared" si="274"/>
        <v>3.648808729926154</v>
      </c>
      <c r="E744" s="279"/>
      <c r="F744" s="278">
        <v>0.83469253008474609</v>
      </c>
      <c r="G744" s="278">
        <v>2.7725584017803011</v>
      </c>
      <c r="H744" s="278">
        <f t="shared" si="275"/>
        <v>3.607250931865047</v>
      </c>
      <c r="I744" s="279"/>
      <c r="J744" s="278">
        <v>0.89195049778234958</v>
      </c>
      <c r="K744" s="278">
        <v>2.5265337315488789</v>
      </c>
      <c r="L744" s="278">
        <f t="shared" si="276"/>
        <v>3.4184842293312285</v>
      </c>
      <c r="M744" s="212"/>
      <c r="N744" s="212"/>
    </row>
    <row r="745" spans="1:14">
      <c r="A745" s="213" t="str">
        <f>name!E$9</f>
        <v>Caring, leisure and other service occupations</v>
      </c>
      <c r="B745" s="278">
        <v>0.54459232666837754</v>
      </c>
      <c r="C745" s="278">
        <v>1.0507624023079005</v>
      </c>
      <c r="D745" s="278">
        <f t="shared" si="274"/>
        <v>1.5953547289762779</v>
      </c>
      <c r="E745" s="279"/>
      <c r="F745" s="278">
        <v>0.65435289721676815</v>
      </c>
      <c r="G745" s="278">
        <v>1.1401766382180245</v>
      </c>
      <c r="H745" s="278">
        <f t="shared" si="275"/>
        <v>1.7945295354347928</v>
      </c>
      <c r="I745" s="279"/>
      <c r="J745" s="278">
        <v>0.58323632312095608</v>
      </c>
      <c r="K745" s="278">
        <v>1.2992994905072135</v>
      </c>
      <c r="L745" s="278">
        <f t="shared" si="276"/>
        <v>1.8825358136281696</v>
      </c>
      <c r="M745" s="212"/>
      <c r="N745" s="212"/>
    </row>
    <row r="746" spans="1:14">
      <c r="A746" s="213" t="str">
        <f>name!E$10</f>
        <v>Sales and customer service occupations</v>
      </c>
      <c r="B746" s="278">
        <v>0.7658816661424328</v>
      </c>
      <c r="C746" s="278">
        <v>1.1702493892359302</v>
      </c>
      <c r="D746" s="278">
        <f t="shared" si="274"/>
        <v>1.9361310553783631</v>
      </c>
      <c r="E746" s="279"/>
      <c r="F746" s="278">
        <v>0.71018304711518565</v>
      </c>
      <c r="G746" s="278">
        <v>1.2648838158600189</v>
      </c>
      <c r="H746" s="278">
        <f t="shared" si="275"/>
        <v>1.9750668629752046</v>
      </c>
      <c r="I746" s="279"/>
      <c r="J746" s="278">
        <v>0.63269702358532098</v>
      </c>
      <c r="K746" s="278">
        <v>1.4963078074836444</v>
      </c>
      <c r="L746" s="278">
        <f t="shared" si="276"/>
        <v>2.1290048310689653</v>
      </c>
      <c r="M746" s="212"/>
      <c r="N746" s="212"/>
    </row>
    <row r="747" spans="1:14">
      <c r="A747" s="213" t="str">
        <f>name!E$11</f>
        <v>Process, plant and machine operatives</v>
      </c>
      <c r="B747" s="278">
        <v>2.4458498435267272E-2</v>
      </c>
      <c r="C747" s="278">
        <v>0.23183850260232652</v>
      </c>
      <c r="D747" s="278">
        <f t="shared" si="274"/>
        <v>0.25629700103759379</v>
      </c>
      <c r="E747" s="279"/>
      <c r="F747" s="278">
        <v>3.7282520755772777E-2</v>
      </c>
      <c r="G747" s="278">
        <v>0.24170490128934666</v>
      </c>
      <c r="H747" s="278">
        <f t="shared" si="275"/>
        <v>0.27898742204511945</v>
      </c>
      <c r="I747" s="279"/>
      <c r="J747" s="278">
        <v>3.7427278763805562E-2</v>
      </c>
      <c r="K747" s="278">
        <v>0.23158847376627334</v>
      </c>
      <c r="L747" s="278">
        <f t="shared" si="276"/>
        <v>0.26901575253007892</v>
      </c>
      <c r="M747" s="212"/>
      <c r="N747" s="212"/>
    </row>
    <row r="748" spans="1:14">
      <c r="A748" s="213" t="str">
        <f>name!E$12</f>
        <v>Elementary occupations</v>
      </c>
      <c r="B748" s="278">
        <v>0.32348828788386752</v>
      </c>
      <c r="C748" s="278">
        <v>0.88094923965687588</v>
      </c>
      <c r="D748" s="278">
        <f t="shared" si="274"/>
        <v>1.2044375275407435</v>
      </c>
      <c r="E748" s="279"/>
      <c r="F748" s="278">
        <v>0.39936061914366217</v>
      </c>
      <c r="G748" s="278">
        <v>0.92722296533557036</v>
      </c>
      <c r="H748" s="278">
        <f t="shared" si="275"/>
        <v>1.3265835844792324</v>
      </c>
      <c r="I748" s="279"/>
      <c r="J748" s="278">
        <v>0.29576696402551134</v>
      </c>
      <c r="K748" s="278">
        <v>0.76577385801305964</v>
      </c>
      <c r="L748" s="278">
        <f t="shared" si="276"/>
        <v>1.0615408220385709</v>
      </c>
      <c r="M748" s="212"/>
      <c r="N748" s="212"/>
    </row>
    <row r="749" spans="1:14">
      <c r="A749" s="213"/>
      <c r="B749" s="278"/>
      <c r="C749" s="278"/>
      <c r="D749" s="278"/>
      <c r="E749" s="279"/>
      <c r="F749" s="278"/>
      <c r="G749" s="278"/>
      <c r="H749" s="278"/>
      <c r="I749" s="279"/>
      <c r="J749" s="278"/>
      <c r="K749" s="278"/>
      <c r="L749" s="278"/>
      <c r="M749" s="212"/>
      <c r="N749" s="212"/>
    </row>
    <row r="750" spans="1:14">
      <c r="A750" s="220" t="s">
        <v>119</v>
      </c>
      <c r="B750" s="282">
        <f>SUM(B740:B748)</f>
        <v>11.258999999928072</v>
      </c>
      <c r="C750" s="282">
        <f t="shared" ref="C750:D750" si="277">SUM(C740:C748)</f>
        <v>27.641000000024437</v>
      </c>
      <c r="D750" s="282">
        <f t="shared" si="277"/>
        <v>38.899999999952513</v>
      </c>
      <c r="E750" s="282"/>
      <c r="F750" s="282">
        <f t="shared" ref="F750:H750" si="278">SUM(F740:F748)</f>
        <v>16.108999999895573</v>
      </c>
      <c r="G750" s="282">
        <f t="shared" si="278"/>
        <v>29.027000000319585</v>
      </c>
      <c r="H750" s="282">
        <f t="shared" si="278"/>
        <v>45.136000000215155</v>
      </c>
      <c r="I750" s="282"/>
      <c r="J750" s="282">
        <f t="shared" ref="J750:L750" si="279">SUM(J740:J748)</f>
        <v>16.116000000177536</v>
      </c>
      <c r="K750" s="282">
        <f t="shared" si="279"/>
        <v>30.103000000717316</v>
      </c>
      <c r="L750" s="282">
        <f t="shared" si="279"/>
        <v>46.219000000894859</v>
      </c>
      <c r="M750" s="212"/>
      <c r="N750" s="212"/>
    </row>
    <row r="751" spans="1:14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6"/>
      <c r="M751" s="212"/>
      <c r="N751" s="212"/>
    </row>
    <row r="752" spans="1:14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32" t="s">
        <v>114</v>
      </c>
      <c r="M752" s="212"/>
      <c r="N752" s="212"/>
    </row>
    <row r="753" spans="1:14" ht="12.95">
      <c r="A753" s="218"/>
      <c r="B753" s="226"/>
      <c r="C753" s="226"/>
      <c r="D753" s="226"/>
      <c r="E753" s="226"/>
      <c r="F753" s="226"/>
      <c r="G753" s="226"/>
      <c r="H753" s="226"/>
      <c r="I753" s="226"/>
      <c r="J753" s="226"/>
      <c r="K753" s="226"/>
      <c r="L753" s="212"/>
      <c r="M753" s="212"/>
      <c r="N753" s="212"/>
    </row>
    <row r="754" spans="1:14" ht="12.95">
      <c r="A754" s="217" t="str">
        <f>name!A47</f>
        <v>Telecommunications</v>
      </c>
      <c r="B754" s="367">
        <f>B$6</f>
        <v>2015</v>
      </c>
      <c r="C754" s="367"/>
      <c r="D754" s="367"/>
      <c r="E754" s="229"/>
      <c r="F754" s="367">
        <f>F737</f>
        <v>2020</v>
      </c>
      <c r="G754" s="367"/>
      <c r="H754" s="367"/>
      <c r="I754" s="229"/>
      <c r="J754" s="367">
        <f>J737</f>
        <v>2035</v>
      </c>
      <c r="K754" s="367"/>
      <c r="L754" s="367"/>
      <c r="M754" s="212"/>
      <c r="N754" s="212"/>
    </row>
    <row r="755" spans="1:14" ht="12.95">
      <c r="A755" s="230"/>
      <c r="B755" s="231" t="s">
        <v>173</v>
      </c>
      <c r="C755" s="231" t="s">
        <v>174</v>
      </c>
      <c r="D755" s="231" t="s">
        <v>119</v>
      </c>
      <c r="E755" s="231"/>
      <c r="F755" s="231" t="s">
        <v>173</v>
      </c>
      <c r="G755" s="231" t="s">
        <v>174</v>
      </c>
      <c r="H755" s="231" t="s">
        <v>119</v>
      </c>
      <c r="I755" s="231"/>
      <c r="J755" s="231" t="s">
        <v>173</v>
      </c>
      <c r="K755" s="231" t="s">
        <v>174</v>
      </c>
      <c r="L755" s="231" t="s">
        <v>119</v>
      </c>
      <c r="M755" s="212"/>
      <c r="N755" s="212"/>
    </row>
    <row r="756" spans="1:14" ht="12.95">
      <c r="A756" s="234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12"/>
      <c r="N756" s="212"/>
    </row>
    <row r="757" spans="1:14">
      <c r="A757" s="213" t="str">
        <f>name!E$4</f>
        <v>Managers, directors and senior officials</v>
      </c>
      <c r="B757" s="278">
        <v>6.0187266917775313</v>
      </c>
      <c r="C757" s="278">
        <v>30.457259549990152</v>
      </c>
      <c r="D757" s="278">
        <f>SUM(B757:C757)</f>
        <v>36.475986241767686</v>
      </c>
      <c r="E757" s="279"/>
      <c r="F757" s="278">
        <v>5.975721156274977</v>
      </c>
      <c r="G757" s="278">
        <v>29.240426211052117</v>
      </c>
      <c r="H757" s="278">
        <f>SUM(F757:G757)</f>
        <v>35.216147367327096</v>
      </c>
      <c r="I757" s="279"/>
      <c r="J757" s="278">
        <v>6.9473924171026944</v>
      </c>
      <c r="K757" s="278">
        <v>28.306030182127564</v>
      </c>
      <c r="L757" s="278">
        <f>SUM(J757:K757)</f>
        <v>35.253422599230262</v>
      </c>
      <c r="M757" s="212"/>
      <c r="N757" s="212"/>
    </row>
    <row r="758" spans="1:14">
      <c r="A758" s="213" t="str">
        <f>name!E$5</f>
        <v>Professional occupations</v>
      </c>
      <c r="B758" s="278">
        <v>6.1638297400998905</v>
      </c>
      <c r="C758" s="278">
        <v>52.091684599576645</v>
      </c>
      <c r="D758" s="278">
        <f t="shared" ref="D758:D765" si="280">SUM(B758:C758)</f>
        <v>58.255514339676537</v>
      </c>
      <c r="E758" s="279"/>
      <c r="F758" s="278">
        <v>6.9383482622119557</v>
      </c>
      <c r="G758" s="278">
        <v>53.779138308772659</v>
      </c>
      <c r="H758" s="278">
        <f t="shared" ref="H758:H765" si="281">SUM(F758:G758)</f>
        <v>60.717486570984612</v>
      </c>
      <c r="I758" s="279"/>
      <c r="J758" s="278">
        <v>9.5786837224827526</v>
      </c>
      <c r="K758" s="278">
        <v>71.939521113140842</v>
      </c>
      <c r="L758" s="278">
        <f t="shared" ref="L758:L765" si="282">SUM(J758:K758)</f>
        <v>81.518204835623592</v>
      </c>
      <c r="M758" s="212"/>
      <c r="N758" s="212"/>
    </row>
    <row r="759" spans="1:14">
      <c r="A759" s="213" t="str">
        <f>name!E$6</f>
        <v>Associate professional occupations</v>
      </c>
      <c r="B759" s="278">
        <v>6.5146202374739284</v>
      </c>
      <c r="C759" s="278">
        <v>20.529231209629099</v>
      </c>
      <c r="D759" s="278">
        <f t="shared" si="280"/>
        <v>27.043851447103027</v>
      </c>
      <c r="E759" s="279"/>
      <c r="F759" s="278">
        <v>6.2235530143510553</v>
      </c>
      <c r="G759" s="278">
        <v>20.073327154255697</v>
      </c>
      <c r="H759" s="278">
        <f t="shared" si="281"/>
        <v>26.296880168606751</v>
      </c>
      <c r="I759" s="279"/>
      <c r="J759" s="278">
        <v>7.5818993353751827</v>
      </c>
      <c r="K759" s="278">
        <v>21.244014870436505</v>
      </c>
      <c r="L759" s="278">
        <f t="shared" si="282"/>
        <v>28.825914205811689</v>
      </c>
      <c r="M759" s="212"/>
      <c r="N759" s="212"/>
    </row>
    <row r="760" spans="1:14">
      <c r="A760" s="213" t="str">
        <f>name!E$7</f>
        <v>Administrative and secretarial occupations</v>
      </c>
      <c r="B760" s="278">
        <v>6.3868606807193293</v>
      </c>
      <c r="C760" s="278">
        <v>6.641187562733716</v>
      </c>
      <c r="D760" s="278">
        <f t="shared" si="280"/>
        <v>13.028048243453046</v>
      </c>
      <c r="E760" s="279"/>
      <c r="F760" s="278">
        <v>4.6037233461163396</v>
      </c>
      <c r="G760" s="278">
        <v>6.6104588392971024</v>
      </c>
      <c r="H760" s="278">
        <f t="shared" si="281"/>
        <v>11.214182185413442</v>
      </c>
      <c r="I760" s="279"/>
      <c r="J760" s="278">
        <v>4.9393151557388428</v>
      </c>
      <c r="K760" s="278">
        <v>8.4557830321015413</v>
      </c>
      <c r="L760" s="278">
        <f t="shared" si="282"/>
        <v>13.395098187840384</v>
      </c>
      <c r="M760" s="212"/>
      <c r="N760" s="212"/>
    </row>
    <row r="761" spans="1:14">
      <c r="A761" s="213" t="str">
        <f>name!E$8</f>
        <v>Skilled trades occupations</v>
      </c>
      <c r="B761" s="278">
        <v>0.78725232547781709</v>
      </c>
      <c r="C761" s="278">
        <v>25.557360490809646</v>
      </c>
      <c r="D761" s="278">
        <f t="shared" si="280"/>
        <v>26.344612816287462</v>
      </c>
      <c r="E761" s="279"/>
      <c r="F761" s="278">
        <v>0.72502644342443745</v>
      </c>
      <c r="G761" s="278">
        <v>17.74202314449067</v>
      </c>
      <c r="H761" s="278">
        <f t="shared" si="281"/>
        <v>18.467049587915106</v>
      </c>
      <c r="I761" s="279"/>
      <c r="J761" s="278">
        <v>1.0704901031895444</v>
      </c>
      <c r="K761" s="278">
        <v>12.997199954386163</v>
      </c>
      <c r="L761" s="278">
        <f t="shared" si="282"/>
        <v>14.067690057575707</v>
      </c>
      <c r="M761" s="212"/>
      <c r="N761" s="212"/>
    </row>
    <row r="762" spans="1:14">
      <c r="A762" s="213" t="str">
        <f>name!E$9</f>
        <v>Caring, leisure and other service occupations</v>
      </c>
      <c r="B762" s="278">
        <v>0.87573803830337071</v>
      </c>
      <c r="C762" s="278">
        <v>4.6759396295530937</v>
      </c>
      <c r="D762" s="278">
        <f t="shared" si="280"/>
        <v>5.5516776678564641</v>
      </c>
      <c r="E762" s="279"/>
      <c r="F762" s="278">
        <v>0.32168628901994134</v>
      </c>
      <c r="G762" s="278">
        <v>4.0855039218787219</v>
      </c>
      <c r="H762" s="278">
        <f t="shared" si="281"/>
        <v>4.4071902108986629</v>
      </c>
      <c r="I762" s="279"/>
      <c r="J762" s="278">
        <v>0.27548723693123528</v>
      </c>
      <c r="K762" s="278">
        <v>5.1933410640232927</v>
      </c>
      <c r="L762" s="278">
        <f t="shared" si="282"/>
        <v>5.4688283009545282</v>
      </c>
      <c r="M762" s="212"/>
      <c r="N762" s="212"/>
    </row>
    <row r="763" spans="1:14">
      <c r="A763" s="213" t="str">
        <f>name!E$10</f>
        <v>Sales and customer service occupations</v>
      </c>
      <c r="B763" s="278">
        <v>11.492925589126626</v>
      </c>
      <c r="C763" s="278">
        <v>11.983825327364446</v>
      </c>
      <c r="D763" s="278">
        <f t="shared" si="280"/>
        <v>23.476750916491071</v>
      </c>
      <c r="E763" s="279"/>
      <c r="F763" s="278">
        <v>8.0036238162575852</v>
      </c>
      <c r="G763" s="278">
        <v>10.572933659275753</v>
      </c>
      <c r="H763" s="278">
        <f t="shared" si="281"/>
        <v>18.576557475533338</v>
      </c>
      <c r="I763" s="279"/>
      <c r="J763" s="278">
        <v>8.8063432092132956</v>
      </c>
      <c r="K763" s="278">
        <v>13.338568626095633</v>
      </c>
      <c r="L763" s="278">
        <f t="shared" si="282"/>
        <v>22.144911835308928</v>
      </c>
      <c r="M763" s="212"/>
      <c r="N763" s="212"/>
    </row>
    <row r="764" spans="1:14">
      <c r="A764" s="213" t="str">
        <f>name!E$11</f>
        <v>Process, plant and machine operatives</v>
      </c>
      <c r="B764" s="278">
        <v>0.28998850545451055</v>
      </c>
      <c r="C764" s="278">
        <v>2.2236057222224419</v>
      </c>
      <c r="D764" s="278">
        <f t="shared" si="280"/>
        <v>2.5135942276769523</v>
      </c>
      <c r="E764" s="279"/>
      <c r="F764" s="278">
        <v>0.12603200889599045</v>
      </c>
      <c r="G764" s="278">
        <v>1.5124857940345453</v>
      </c>
      <c r="H764" s="278">
        <f t="shared" si="281"/>
        <v>1.6385178029305358</v>
      </c>
      <c r="I764" s="279"/>
      <c r="J764" s="278">
        <v>0.17978945855744746</v>
      </c>
      <c r="K764" s="278">
        <v>1.7317087628073828</v>
      </c>
      <c r="L764" s="278">
        <f t="shared" si="282"/>
        <v>1.9114982213648304</v>
      </c>
      <c r="M764" s="212"/>
      <c r="N764" s="212"/>
    </row>
    <row r="765" spans="1:14">
      <c r="A765" s="213" t="str">
        <f>name!E$12</f>
        <v>Elementary occupations</v>
      </c>
      <c r="B765" s="278">
        <v>0.65305819142757993</v>
      </c>
      <c r="C765" s="278">
        <v>2.9209059064089962</v>
      </c>
      <c r="D765" s="278">
        <f t="shared" si="280"/>
        <v>3.5739640978365763</v>
      </c>
      <c r="E765" s="279"/>
      <c r="F765" s="278">
        <v>0.25728566321791813</v>
      </c>
      <c r="G765" s="278">
        <v>1.9187029659422496</v>
      </c>
      <c r="H765" s="278">
        <f t="shared" si="281"/>
        <v>2.1759886291601678</v>
      </c>
      <c r="I765" s="279"/>
      <c r="J765" s="278">
        <v>0.55759936288592238</v>
      </c>
      <c r="K765" s="278">
        <v>2.2288323945214299</v>
      </c>
      <c r="L765" s="278">
        <f t="shared" si="282"/>
        <v>2.7864317574073523</v>
      </c>
      <c r="M765" s="212"/>
      <c r="N765" s="212"/>
    </row>
    <row r="766" spans="1:14">
      <c r="A766" s="213"/>
      <c r="B766" s="278"/>
      <c r="C766" s="278"/>
      <c r="D766" s="278"/>
      <c r="E766" s="279"/>
      <c r="F766" s="278"/>
      <c r="G766" s="278"/>
      <c r="H766" s="278"/>
      <c r="I766" s="279"/>
      <c r="J766" s="278"/>
      <c r="K766" s="278"/>
      <c r="L766" s="278"/>
      <c r="M766" s="212"/>
      <c r="N766" s="212"/>
    </row>
    <row r="767" spans="1:14">
      <c r="A767" s="220" t="s">
        <v>119</v>
      </c>
      <c r="B767" s="282">
        <f>SUM(B757:B765)</f>
        <v>39.182999999860584</v>
      </c>
      <c r="C767" s="282">
        <f t="shared" ref="C767:D767" si="283">SUM(C757:C765)</f>
        <v>157.08099999828823</v>
      </c>
      <c r="D767" s="282">
        <f t="shared" si="283"/>
        <v>196.26399999814882</v>
      </c>
      <c r="E767" s="282"/>
      <c r="F767" s="282">
        <f t="shared" ref="F767:H767" si="284">SUM(F757:F765)</f>
        <v>33.174999999770201</v>
      </c>
      <c r="G767" s="282">
        <f t="shared" si="284"/>
        <v>145.5349999989995</v>
      </c>
      <c r="H767" s="282">
        <f t="shared" si="284"/>
        <v>178.70999999876975</v>
      </c>
      <c r="I767" s="282"/>
      <c r="J767" s="282">
        <f t="shared" ref="J767:L767" si="285">SUM(J757:J765)</f>
        <v>39.937000001476918</v>
      </c>
      <c r="K767" s="282">
        <f t="shared" si="285"/>
        <v>165.43499999964033</v>
      </c>
      <c r="L767" s="282">
        <f t="shared" si="285"/>
        <v>205.37200000111727</v>
      </c>
      <c r="M767" s="212"/>
      <c r="N767" s="212"/>
    </row>
    <row r="768" spans="1:14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6"/>
      <c r="M768" s="212"/>
      <c r="N768" s="212"/>
    </row>
    <row r="769" spans="1:14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32" t="s">
        <v>114</v>
      </c>
      <c r="M769" s="212"/>
      <c r="N769" s="212"/>
    </row>
    <row r="770" spans="1:14" ht="12.95">
      <c r="A770" s="218"/>
      <c r="B770" s="226"/>
      <c r="C770" s="226"/>
      <c r="D770" s="226"/>
      <c r="E770" s="226"/>
      <c r="F770" s="226"/>
      <c r="G770" s="226"/>
      <c r="H770" s="226"/>
      <c r="I770" s="226"/>
      <c r="J770" s="226"/>
      <c r="K770" s="226"/>
      <c r="L770" s="212"/>
      <c r="M770" s="212"/>
      <c r="N770" s="212"/>
    </row>
    <row r="771" spans="1:14" ht="12.95">
      <c r="A771" s="217" t="str">
        <f>name!A48</f>
        <v>Computing services</v>
      </c>
      <c r="B771" s="367">
        <f>B$6</f>
        <v>2015</v>
      </c>
      <c r="C771" s="367"/>
      <c r="D771" s="367"/>
      <c r="E771" s="229"/>
      <c r="F771" s="367">
        <f>F$6</f>
        <v>2020</v>
      </c>
      <c r="G771" s="367"/>
      <c r="H771" s="367"/>
      <c r="I771" s="229"/>
      <c r="J771" s="367">
        <f>J$6</f>
        <v>2035</v>
      </c>
      <c r="K771" s="367"/>
      <c r="L771" s="367"/>
      <c r="M771" s="212"/>
      <c r="N771" s="212"/>
    </row>
    <row r="772" spans="1:14" ht="12.95">
      <c r="A772" s="230"/>
      <c r="B772" s="231" t="s">
        <v>173</v>
      </c>
      <c r="C772" s="231" t="s">
        <v>174</v>
      </c>
      <c r="D772" s="231" t="s">
        <v>119</v>
      </c>
      <c r="E772" s="231"/>
      <c r="F772" s="231" t="s">
        <v>173</v>
      </c>
      <c r="G772" s="231" t="s">
        <v>174</v>
      </c>
      <c r="H772" s="231" t="s">
        <v>119</v>
      </c>
      <c r="I772" s="231"/>
      <c r="J772" s="231" t="s">
        <v>173</v>
      </c>
      <c r="K772" s="231" t="s">
        <v>174</v>
      </c>
      <c r="L772" s="231" t="s">
        <v>119</v>
      </c>
      <c r="M772" s="212"/>
      <c r="N772" s="212"/>
    </row>
    <row r="773" spans="1:14" ht="12.95">
      <c r="A773" s="234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12"/>
      <c r="N773" s="212"/>
    </row>
    <row r="774" spans="1:14">
      <c r="A774" s="213" t="str">
        <f>name!E$4</f>
        <v>Managers, directors and senior officials</v>
      </c>
      <c r="B774" s="278">
        <v>26.809737525294782</v>
      </c>
      <c r="C774" s="278">
        <v>75.449998757767204</v>
      </c>
      <c r="D774" s="278">
        <f>SUM(B774:C774)</f>
        <v>102.25973628306198</v>
      </c>
      <c r="E774" s="279"/>
      <c r="F774" s="278">
        <v>35.003008637151964</v>
      </c>
      <c r="G774" s="278">
        <v>84.317794799772798</v>
      </c>
      <c r="H774" s="278">
        <f>SUM(F774:G774)</f>
        <v>119.32080343692476</v>
      </c>
      <c r="I774" s="279"/>
      <c r="J774" s="278">
        <v>39.898087649459981</v>
      </c>
      <c r="K774" s="278">
        <v>79.966128853055793</v>
      </c>
      <c r="L774" s="278">
        <f>SUM(J774:K774)</f>
        <v>119.86421650251577</v>
      </c>
      <c r="M774" s="212"/>
      <c r="N774" s="212"/>
    </row>
    <row r="775" spans="1:14">
      <c r="A775" s="213" t="str">
        <f>name!E$5</f>
        <v>Professional occupations</v>
      </c>
      <c r="B775" s="278">
        <v>59.557071796990918</v>
      </c>
      <c r="C775" s="278">
        <v>245.46432591951699</v>
      </c>
      <c r="D775" s="278">
        <f t="shared" ref="D775:D782" si="286">SUM(B775:C775)</f>
        <v>305.02139771650792</v>
      </c>
      <c r="E775" s="279"/>
      <c r="F775" s="278">
        <v>84.507052606073074</v>
      </c>
      <c r="G775" s="278">
        <v>284.1302745551443</v>
      </c>
      <c r="H775" s="278">
        <f t="shared" ref="H775:H782" si="287">SUM(F775:G775)</f>
        <v>368.6373271612174</v>
      </c>
      <c r="I775" s="279"/>
      <c r="J775" s="278">
        <v>116.29455151410004</v>
      </c>
      <c r="K775" s="278">
        <v>361.56708212893824</v>
      </c>
      <c r="L775" s="278">
        <f t="shared" ref="L775:L782" si="288">SUM(J775:K775)</f>
        <v>477.86163364303826</v>
      </c>
      <c r="M775" s="212"/>
      <c r="N775" s="212"/>
    </row>
    <row r="776" spans="1:14">
      <c r="A776" s="213" t="str">
        <f>name!E$6</f>
        <v>Associate professional occupations</v>
      </c>
      <c r="B776" s="278">
        <v>37.876206077298143</v>
      </c>
      <c r="C776" s="278">
        <v>81.967168460751395</v>
      </c>
      <c r="D776" s="278">
        <f t="shared" si="286"/>
        <v>119.84337453804955</v>
      </c>
      <c r="E776" s="279"/>
      <c r="F776" s="278">
        <v>46.212391440276171</v>
      </c>
      <c r="G776" s="278">
        <v>91.846671066822111</v>
      </c>
      <c r="H776" s="278">
        <f t="shared" si="287"/>
        <v>138.05906250709828</v>
      </c>
      <c r="I776" s="279"/>
      <c r="J776" s="278">
        <v>53.906804897511755</v>
      </c>
      <c r="K776" s="278">
        <v>86.731004804448133</v>
      </c>
      <c r="L776" s="278">
        <f t="shared" si="288"/>
        <v>140.6378097019599</v>
      </c>
      <c r="M776" s="212"/>
      <c r="N776" s="212"/>
    </row>
    <row r="777" spans="1:14">
      <c r="A777" s="213" t="str">
        <f>name!E$7</f>
        <v>Administrative and secretarial occupations</v>
      </c>
      <c r="B777" s="278">
        <v>34.968406895700248</v>
      </c>
      <c r="C777" s="278">
        <v>12.856993603526666</v>
      </c>
      <c r="D777" s="278">
        <f t="shared" si="286"/>
        <v>47.825400499226916</v>
      </c>
      <c r="E777" s="279"/>
      <c r="F777" s="278">
        <v>30.797407879852965</v>
      </c>
      <c r="G777" s="278">
        <v>13.651674349466346</v>
      </c>
      <c r="H777" s="278">
        <f t="shared" si="287"/>
        <v>44.449082229319309</v>
      </c>
      <c r="I777" s="279"/>
      <c r="J777" s="278">
        <v>26.018938061472941</v>
      </c>
      <c r="K777" s="278">
        <v>14.466820372713062</v>
      </c>
      <c r="L777" s="278">
        <f t="shared" si="288"/>
        <v>40.485758434186003</v>
      </c>
      <c r="M777" s="212"/>
      <c r="N777" s="212"/>
    </row>
    <row r="778" spans="1:14">
      <c r="A778" s="213" t="str">
        <f>name!E$8</f>
        <v>Skilled trades occupations</v>
      </c>
      <c r="B778" s="278">
        <v>2.3410543213845578</v>
      </c>
      <c r="C778" s="278">
        <v>30.172533506757894</v>
      </c>
      <c r="D778" s="278">
        <f t="shared" si="286"/>
        <v>32.513587828142448</v>
      </c>
      <c r="E778" s="279"/>
      <c r="F778" s="278">
        <v>2.8659398654208941</v>
      </c>
      <c r="G778" s="278">
        <v>23.443907105432015</v>
      </c>
      <c r="H778" s="278">
        <f t="shared" si="287"/>
        <v>26.309846970852909</v>
      </c>
      <c r="I778" s="279"/>
      <c r="J778" s="278">
        <v>3.657858999194572</v>
      </c>
      <c r="K778" s="278">
        <v>23.875705784659957</v>
      </c>
      <c r="L778" s="278">
        <f t="shared" si="288"/>
        <v>27.53356478385453</v>
      </c>
      <c r="M778" s="212"/>
      <c r="N778" s="212"/>
    </row>
    <row r="779" spans="1:14">
      <c r="A779" s="213" t="str">
        <f>name!E$9</f>
        <v>Caring, leisure and other service occupations</v>
      </c>
      <c r="B779" s="278">
        <v>6.2874044287331978</v>
      </c>
      <c r="C779" s="278">
        <v>5.5915707961864785</v>
      </c>
      <c r="D779" s="278">
        <f t="shared" si="286"/>
        <v>11.878975224919676</v>
      </c>
      <c r="E779" s="279"/>
      <c r="F779" s="278">
        <v>6.160851464691838</v>
      </c>
      <c r="G779" s="278">
        <v>5.5289545363642514</v>
      </c>
      <c r="H779" s="278">
        <f t="shared" si="287"/>
        <v>11.689806001056089</v>
      </c>
      <c r="I779" s="279"/>
      <c r="J779" s="278">
        <v>7.1780380315963983</v>
      </c>
      <c r="K779" s="278">
        <v>7.5165462595655921</v>
      </c>
      <c r="L779" s="278">
        <f t="shared" si="288"/>
        <v>14.694584291161991</v>
      </c>
      <c r="M779" s="212"/>
      <c r="N779" s="212"/>
    </row>
    <row r="780" spans="1:14">
      <c r="A780" s="213" t="str">
        <f>name!E$10</f>
        <v>Sales and customer service occupations</v>
      </c>
      <c r="B780" s="278">
        <v>10.382143664474219</v>
      </c>
      <c r="C780" s="278">
        <v>4.7215382728893429</v>
      </c>
      <c r="D780" s="278">
        <f t="shared" si="286"/>
        <v>15.103681937363561</v>
      </c>
      <c r="E780" s="279"/>
      <c r="F780" s="278">
        <v>9.4119796231200112</v>
      </c>
      <c r="G780" s="278">
        <v>4.8933605398324431</v>
      </c>
      <c r="H780" s="278">
        <f t="shared" si="287"/>
        <v>14.305340162952454</v>
      </c>
      <c r="I780" s="279"/>
      <c r="J780" s="278">
        <v>10.472326171279059</v>
      </c>
      <c r="K780" s="278">
        <v>6.4350250382240084</v>
      </c>
      <c r="L780" s="278">
        <f t="shared" si="288"/>
        <v>16.907351209503069</v>
      </c>
      <c r="M780" s="212"/>
      <c r="N780" s="212"/>
    </row>
    <row r="781" spans="1:14">
      <c r="A781" s="213" t="str">
        <f>name!E$11</f>
        <v>Process, plant and machine operatives</v>
      </c>
      <c r="B781" s="278">
        <v>1.5048299496845627</v>
      </c>
      <c r="C781" s="278">
        <v>4.4635245119437839</v>
      </c>
      <c r="D781" s="278">
        <f t="shared" si="286"/>
        <v>5.9683544616283468</v>
      </c>
      <c r="E781" s="279"/>
      <c r="F781" s="278">
        <v>1.3447386946521658</v>
      </c>
      <c r="G781" s="278">
        <v>4.8884251878780018</v>
      </c>
      <c r="H781" s="278">
        <f t="shared" si="287"/>
        <v>6.2331638825301674</v>
      </c>
      <c r="I781" s="279"/>
      <c r="J781" s="278">
        <v>1.851893986149159</v>
      </c>
      <c r="K781" s="278">
        <v>5.5891977094719705</v>
      </c>
      <c r="L781" s="278">
        <f t="shared" si="288"/>
        <v>7.4410916956211297</v>
      </c>
      <c r="M781" s="212"/>
      <c r="N781" s="212"/>
    </row>
    <row r="782" spans="1:14">
      <c r="A782" s="213" t="str">
        <f>name!E$12</f>
        <v>Elementary occupations</v>
      </c>
      <c r="B782" s="278">
        <v>3.0761453384328141</v>
      </c>
      <c r="C782" s="278">
        <v>2.9613461638094969</v>
      </c>
      <c r="D782" s="278">
        <f t="shared" si="286"/>
        <v>6.037491502242311</v>
      </c>
      <c r="E782" s="279"/>
      <c r="F782" s="278">
        <v>2.2616297868516662</v>
      </c>
      <c r="G782" s="278">
        <v>2.1859378579530877</v>
      </c>
      <c r="H782" s="278">
        <f t="shared" si="287"/>
        <v>4.4475676448047539</v>
      </c>
      <c r="I782" s="279"/>
      <c r="J782" s="278">
        <v>3.9345006946513523</v>
      </c>
      <c r="K782" s="278">
        <v>2.0124890487472906</v>
      </c>
      <c r="L782" s="278">
        <f t="shared" si="288"/>
        <v>5.9469897433986425</v>
      </c>
      <c r="M782" s="212"/>
      <c r="N782" s="212"/>
    </row>
    <row r="783" spans="1:14">
      <c r="A783" s="213"/>
      <c r="B783" s="278"/>
      <c r="C783" s="278"/>
      <c r="D783" s="278"/>
      <c r="E783" s="279"/>
      <c r="F783" s="278"/>
      <c r="G783" s="278"/>
      <c r="H783" s="278"/>
      <c r="I783" s="279"/>
      <c r="J783" s="278"/>
      <c r="K783" s="278"/>
      <c r="L783" s="278"/>
      <c r="M783" s="212"/>
      <c r="N783" s="212"/>
    </row>
    <row r="784" spans="1:14">
      <c r="A784" s="220" t="s">
        <v>119</v>
      </c>
      <c r="B784" s="282">
        <f>SUM(B774:B782)</f>
        <v>182.80299999799342</v>
      </c>
      <c r="C784" s="282">
        <f t="shared" ref="C784:D784" si="289">SUM(C774:C782)</f>
        <v>463.64899999314923</v>
      </c>
      <c r="D784" s="282">
        <f t="shared" si="289"/>
        <v>646.45199999114288</v>
      </c>
      <c r="E784" s="282"/>
      <c r="F784" s="282">
        <f t="shared" ref="F784:H784" si="290">SUM(F774:F782)</f>
        <v>218.56499999809074</v>
      </c>
      <c r="G784" s="282">
        <f t="shared" si="290"/>
        <v>514.88699999866537</v>
      </c>
      <c r="H784" s="282">
        <f t="shared" si="290"/>
        <v>733.45199999675617</v>
      </c>
      <c r="I784" s="282"/>
      <c r="J784" s="282">
        <f t="shared" ref="J784:L784" si="291">SUM(J774:J782)</f>
        <v>263.21300000541527</v>
      </c>
      <c r="K784" s="282">
        <f t="shared" si="291"/>
        <v>588.15999999982409</v>
      </c>
      <c r="L784" s="282">
        <f t="shared" si="291"/>
        <v>851.37300000523919</v>
      </c>
      <c r="M784" s="212"/>
      <c r="N784" s="212"/>
    </row>
    <row r="785" spans="1:14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6"/>
      <c r="M785" s="212"/>
      <c r="N785" s="212"/>
    </row>
    <row r="786" spans="1:14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32" t="s">
        <v>114</v>
      </c>
      <c r="M786" s="212"/>
      <c r="N786" s="212"/>
    </row>
    <row r="787" spans="1:14" ht="12.95">
      <c r="A787" s="218"/>
      <c r="B787" s="226"/>
      <c r="C787" s="226"/>
      <c r="D787" s="226"/>
      <c r="E787" s="226"/>
      <c r="F787" s="226"/>
      <c r="G787" s="226"/>
      <c r="H787" s="226"/>
      <c r="I787" s="226"/>
      <c r="J787" s="226"/>
      <c r="K787" s="226"/>
      <c r="L787" s="212"/>
      <c r="M787" s="212"/>
      <c r="N787" s="212"/>
    </row>
    <row r="788" spans="1:14" ht="12.95">
      <c r="A788" s="217" t="str">
        <f>name!A49</f>
        <v>Information services</v>
      </c>
      <c r="B788" s="367">
        <f>B$6</f>
        <v>2015</v>
      </c>
      <c r="C788" s="367"/>
      <c r="D788" s="367"/>
      <c r="E788" s="229"/>
      <c r="F788" s="367">
        <f>F$6</f>
        <v>2020</v>
      </c>
      <c r="G788" s="367"/>
      <c r="H788" s="367"/>
      <c r="I788" s="229"/>
      <c r="J788" s="367">
        <f>J$6</f>
        <v>2035</v>
      </c>
      <c r="K788" s="367"/>
      <c r="L788" s="367"/>
      <c r="M788" s="212"/>
      <c r="N788" s="212"/>
    </row>
    <row r="789" spans="1:14" ht="12.95">
      <c r="A789" s="230"/>
      <c r="B789" s="231" t="s">
        <v>173</v>
      </c>
      <c r="C789" s="231" t="s">
        <v>174</v>
      </c>
      <c r="D789" s="231" t="s">
        <v>119</v>
      </c>
      <c r="E789" s="231"/>
      <c r="F789" s="231" t="s">
        <v>173</v>
      </c>
      <c r="G789" s="231" t="s">
        <v>174</v>
      </c>
      <c r="H789" s="231" t="s">
        <v>119</v>
      </c>
      <c r="I789" s="231"/>
      <c r="J789" s="231" t="s">
        <v>173</v>
      </c>
      <c r="K789" s="231" t="s">
        <v>174</v>
      </c>
      <c r="L789" s="231" t="s">
        <v>119</v>
      </c>
      <c r="M789" s="212"/>
      <c r="N789" s="212"/>
    </row>
    <row r="790" spans="1:14" ht="12.95">
      <c r="A790" s="234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12"/>
      <c r="N790" s="212"/>
    </row>
    <row r="791" spans="1:14">
      <c r="A791" s="213" t="str">
        <f>name!E$4</f>
        <v>Managers, directors and senior officials</v>
      </c>
      <c r="B791" s="278">
        <v>5.0358172193752111</v>
      </c>
      <c r="C791" s="278">
        <v>8.4421169569545036</v>
      </c>
      <c r="D791" s="278">
        <f>SUM(B791:C791)</f>
        <v>13.477934176329715</v>
      </c>
      <c r="E791" s="279"/>
      <c r="F791" s="278">
        <v>5.6631494052324571</v>
      </c>
      <c r="G791" s="278">
        <v>7.6346800242472916</v>
      </c>
      <c r="H791" s="278">
        <f>SUM(F791:G791)</f>
        <v>13.297829429479748</v>
      </c>
      <c r="I791" s="279"/>
      <c r="J791" s="278">
        <v>6.4092800208696854</v>
      </c>
      <c r="K791" s="278">
        <v>7.6327555481976344</v>
      </c>
      <c r="L791" s="278">
        <f>SUM(J791:K791)</f>
        <v>14.04203556906732</v>
      </c>
      <c r="M791" s="212"/>
      <c r="N791" s="212"/>
    </row>
    <row r="792" spans="1:14">
      <c r="A792" s="213" t="str">
        <f>name!E$5</f>
        <v>Professional occupations</v>
      </c>
      <c r="B792" s="278">
        <v>9.8841256458776066</v>
      </c>
      <c r="C792" s="278">
        <v>22.765690417437899</v>
      </c>
      <c r="D792" s="278">
        <f t="shared" ref="D792:D799" si="292">SUM(B792:C792)</f>
        <v>32.649816063315505</v>
      </c>
      <c r="E792" s="279"/>
      <c r="F792" s="278">
        <v>12.622522689489456</v>
      </c>
      <c r="G792" s="278">
        <v>21.867740693764528</v>
      </c>
      <c r="H792" s="278">
        <f t="shared" ref="H792:H799" si="293">SUM(F792:G792)</f>
        <v>34.490263383253982</v>
      </c>
      <c r="I792" s="279"/>
      <c r="J792" s="278">
        <v>17.15876331696397</v>
      </c>
      <c r="K792" s="278">
        <v>29.231124467592135</v>
      </c>
      <c r="L792" s="278">
        <f t="shared" ref="L792:L799" si="294">SUM(J792:K792)</f>
        <v>46.389887784556109</v>
      </c>
      <c r="M792" s="212"/>
      <c r="N792" s="212"/>
    </row>
    <row r="793" spans="1:14">
      <c r="A793" s="213" t="str">
        <f>name!E$6</f>
        <v>Associate professional occupations</v>
      </c>
      <c r="B793" s="278">
        <v>7.0569758685554111</v>
      </c>
      <c r="C793" s="278">
        <v>10.041650816525264</v>
      </c>
      <c r="D793" s="278">
        <f t="shared" si="292"/>
        <v>17.098626685080674</v>
      </c>
      <c r="E793" s="279"/>
      <c r="F793" s="278">
        <v>7.8668877878065491</v>
      </c>
      <c r="G793" s="278">
        <v>9.0651772362645104</v>
      </c>
      <c r="H793" s="278">
        <f t="shared" si="293"/>
        <v>16.932065024071058</v>
      </c>
      <c r="I793" s="279"/>
      <c r="J793" s="278">
        <v>9.6761826632134227</v>
      </c>
      <c r="K793" s="278">
        <v>8.6669039267514592</v>
      </c>
      <c r="L793" s="278">
        <f t="shared" si="294"/>
        <v>18.343086589964884</v>
      </c>
      <c r="M793" s="212"/>
      <c r="N793" s="212"/>
    </row>
    <row r="794" spans="1:14">
      <c r="A794" s="213" t="str">
        <f>name!E$7</f>
        <v>Administrative and secretarial occupations</v>
      </c>
      <c r="B794" s="278">
        <v>6.1440959457831319</v>
      </c>
      <c r="C794" s="278">
        <v>1.8002652441090277</v>
      </c>
      <c r="D794" s="278">
        <f t="shared" si="292"/>
        <v>7.9443611898921596</v>
      </c>
      <c r="E794" s="279"/>
      <c r="F794" s="278">
        <v>5.0479437054817975</v>
      </c>
      <c r="G794" s="278">
        <v>1.7138691622764965</v>
      </c>
      <c r="H794" s="278">
        <f t="shared" si="293"/>
        <v>6.7618128677582945</v>
      </c>
      <c r="I794" s="279"/>
      <c r="J794" s="278">
        <v>4.8387863197527192</v>
      </c>
      <c r="K794" s="278">
        <v>1.8996107090479748</v>
      </c>
      <c r="L794" s="278">
        <f t="shared" si="294"/>
        <v>6.7383970288006942</v>
      </c>
      <c r="M794" s="212"/>
      <c r="N794" s="212"/>
    </row>
    <row r="795" spans="1:14">
      <c r="A795" s="213" t="str">
        <f>name!E$8</f>
        <v>Skilled trades occupations</v>
      </c>
      <c r="B795" s="278">
        <v>0.44325604989902284</v>
      </c>
      <c r="C795" s="278">
        <v>3.2843211512725259</v>
      </c>
      <c r="D795" s="278">
        <f t="shared" si="292"/>
        <v>3.7275772011715489</v>
      </c>
      <c r="E795" s="279"/>
      <c r="F795" s="278">
        <v>0.47806980421956508</v>
      </c>
      <c r="G795" s="278">
        <v>2.0804705912690209</v>
      </c>
      <c r="H795" s="278">
        <f t="shared" si="293"/>
        <v>2.5585403954885861</v>
      </c>
      <c r="I795" s="279"/>
      <c r="J795" s="278">
        <v>0.65625371332466054</v>
      </c>
      <c r="K795" s="278">
        <v>2.0667802349909472</v>
      </c>
      <c r="L795" s="278">
        <f t="shared" si="294"/>
        <v>2.7230339483156079</v>
      </c>
      <c r="M795" s="212"/>
      <c r="N795" s="212"/>
    </row>
    <row r="796" spans="1:14">
      <c r="A796" s="213" t="str">
        <f>name!E$9</f>
        <v>Caring, leisure and other service occupations</v>
      </c>
      <c r="B796" s="278">
        <v>2.4133257571539417</v>
      </c>
      <c r="C796" s="278">
        <v>0.91018949120681281</v>
      </c>
      <c r="D796" s="278">
        <f t="shared" si="292"/>
        <v>3.3235152483607546</v>
      </c>
      <c r="E796" s="279"/>
      <c r="F796" s="278">
        <v>1.9839954096570593</v>
      </c>
      <c r="G796" s="278">
        <v>0.85958591996308953</v>
      </c>
      <c r="H796" s="278">
        <f t="shared" si="293"/>
        <v>2.8435813296201489</v>
      </c>
      <c r="I796" s="279"/>
      <c r="J796" s="278">
        <v>2.5053462986507009</v>
      </c>
      <c r="K796" s="278">
        <v>1.0949443905961262</v>
      </c>
      <c r="L796" s="278">
        <f t="shared" si="294"/>
        <v>3.6002906892468269</v>
      </c>
      <c r="M796" s="212"/>
      <c r="N796" s="212"/>
    </row>
    <row r="797" spans="1:14">
      <c r="A797" s="213" t="str">
        <f>name!E$10</f>
        <v>Sales and customer service occupations</v>
      </c>
      <c r="B797" s="278">
        <v>2.2405639740851604</v>
      </c>
      <c r="C797" s="278">
        <v>1.3573265290752414</v>
      </c>
      <c r="D797" s="278">
        <f t="shared" si="292"/>
        <v>3.5978905031604018</v>
      </c>
      <c r="E797" s="279"/>
      <c r="F797" s="278">
        <v>1.9027771822532236</v>
      </c>
      <c r="G797" s="278">
        <v>1.2216722961912416</v>
      </c>
      <c r="H797" s="278">
        <f t="shared" si="293"/>
        <v>3.1244494784444652</v>
      </c>
      <c r="I797" s="279"/>
      <c r="J797" s="278">
        <v>2.2956656683087995</v>
      </c>
      <c r="K797" s="278">
        <v>1.6461942022952276</v>
      </c>
      <c r="L797" s="278">
        <f t="shared" si="294"/>
        <v>3.9418598706040271</v>
      </c>
      <c r="M797" s="212"/>
      <c r="N797" s="212"/>
    </row>
    <row r="798" spans="1:14">
      <c r="A798" s="213" t="str">
        <f>name!E$11</f>
        <v>Process, plant and machine operatives</v>
      </c>
      <c r="B798" s="278">
        <v>0.42377892849713295</v>
      </c>
      <c r="C798" s="278">
        <v>1.0642064799802398</v>
      </c>
      <c r="D798" s="278">
        <f t="shared" si="292"/>
        <v>1.4879854084773727</v>
      </c>
      <c r="E798" s="279"/>
      <c r="F798" s="278">
        <v>0.26027499535553011</v>
      </c>
      <c r="G798" s="278">
        <v>0.96612890112439131</v>
      </c>
      <c r="H798" s="278">
        <f t="shared" si="293"/>
        <v>1.2264038964799213</v>
      </c>
      <c r="I798" s="279"/>
      <c r="J798" s="278">
        <v>0.31810077844565215</v>
      </c>
      <c r="K798" s="278">
        <v>1.1080487795568037</v>
      </c>
      <c r="L798" s="278">
        <f t="shared" si="294"/>
        <v>1.4261495580024559</v>
      </c>
      <c r="M798" s="212"/>
      <c r="N798" s="212"/>
    </row>
    <row r="799" spans="1:14">
      <c r="A799" s="213" t="str">
        <f>name!E$12</f>
        <v>Elementary occupations</v>
      </c>
      <c r="B799" s="278">
        <v>4.055060610607919</v>
      </c>
      <c r="C799" s="278">
        <v>5.8082329128979646</v>
      </c>
      <c r="D799" s="278">
        <f t="shared" si="292"/>
        <v>9.8632935235058845</v>
      </c>
      <c r="E799" s="279"/>
      <c r="F799" s="278">
        <v>3.051379020290748</v>
      </c>
      <c r="G799" s="278">
        <v>4.6516751749637804</v>
      </c>
      <c r="H799" s="278">
        <f t="shared" si="293"/>
        <v>7.7030541952545288</v>
      </c>
      <c r="I799" s="279"/>
      <c r="J799" s="278">
        <v>3.7366212212534538</v>
      </c>
      <c r="K799" s="278">
        <v>4.2266377412185445</v>
      </c>
      <c r="L799" s="278">
        <f t="shared" si="294"/>
        <v>7.9632589624719987</v>
      </c>
      <c r="M799" s="212"/>
      <c r="N799" s="212"/>
    </row>
    <row r="800" spans="1:14">
      <c r="A800" s="213"/>
      <c r="B800" s="278"/>
      <c r="C800" s="278"/>
      <c r="D800" s="278"/>
      <c r="E800" s="279"/>
      <c r="F800" s="278"/>
      <c r="G800" s="278"/>
      <c r="H800" s="278"/>
      <c r="I800" s="279"/>
      <c r="J800" s="278"/>
      <c r="K800" s="278"/>
      <c r="L800" s="278"/>
      <c r="M800" s="212"/>
      <c r="N800" s="212"/>
    </row>
    <row r="801" spans="1:14">
      <c r="A801" s="220" t="s">
        <v>119</v>
      </c>
      <c r="B801" s="282">
        <f>SUM(B791:B799)</f>
        <v>37.696999999834539</v>
      </c>
      <c r="C801" s="282">
        <f t="shared" ref="C801:D801" si="295">SUM(C791:C799)</f>
        <v>55.473999999459487</v>
      </c>
      <c r="D801" s="282">
        <f t="shared" si="295"/>
        <v>93.170999999294011</v>
      </c>
      <c r="E801" s="282"/>
      <c r="F801" s="282">
        <f t="shared" ref="F801:H801" si="296">SUM(F791:F799)</f>
        <v>38.876999999786392</v>
      </c>
      <c r="G801" s="282">
        <f t="shared" si="296"/>
        <v>50.061000000064347</v>
      </c>
      <c r="H801" s="282">
        <f t="shared" si="296"/>
        <v>88.937999999850732</v>
      </c>
      <c r="I801" s="282"/>
      <c r="J801" s="282">
        <f t="shared" ref="J801:L801" si="297">SUM(J791:J799)</f>
        <v>47.595000000783067</v>
      </c>
      <c r="K801" s="282">
        <f t="shared" si="297"/>
        <v>57.573000000246857</v>
      </c>
      <c r="L801" s="282">
        <f t="shared" si="297"/>
        <v>105.16800000102991</v>
      </c>
      <c r="M801" s="212"/>
      <c r="N801" s="212"/>
    </row>
    <row r="802" spans="1:14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6"/>
      <c r="M802" s="212"/>
      <c r="N802" s="212"/>
    </row>
    <row r="803" spans="1:14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32" t="s">
        <v>114</v>
      </c>
      <c r="M803" s="212"/>
      <c r="N803" s="212"/>
    </row>
    <row r="804" spans="1:14" ht="12.95">
      <c r="A804" s="218"/>
      <c r="B804" s="226"/>
      <c r="C804" s="226"/>
      <c r="D804" s="226"/>
      <c r="E804" s="226"/>
      <c r="F804" s="226"/>
      <c r="G804" s="226"/>
      <c r="H804" s="226"/>
      <c r="I804" s="226"/>
      <c r="J804" s="226"/>
      <c r="K804" s="226"/>
      <c r="L804" s="212"/>
      <c r="M804" s="212"/>
      <c r="N804" s="212"/>
    </row>
    <row r="805" spans="1:14" ht="12.95">
      <c r="A805" s="217" t="str">
        <f>name!A50</f>
        <v>Financial services</v>
      </c>
      <c r="B805" s="367">
        <f>B$6</f>
        <v>2015</v>
      </c>
      <c r="C805" s="367"/>
      <c r="D805" s="367"/>
      <c r="E805" s="229"/>
      <c r="F805" s="367">
        <f>F$6</f>
        <v>2020</v>
      </c>
      <c r="G805" s="367"/>
      <c r="H805" s="367"/>
      <c r="I805" s="229"/>
      <c r="J805" s="367">
        <f>J$6</f>
        <v>2035</v>
      </c>
      <c r="K805" s="367"/>
      <c r="L805" s="367"/>
      <c r="M805" s="212"/>
      <c r="N805" s="212"/>
    </row>
    <row r="806" spans="1:14" ht="12.95">
      <c r="A806" s="230"/>
      <c r="B806" s="231" t="s">
        <v>173</v>
      </c>
      <c r="C806" s="231" t="s">
        <v>174</v>
      </c>
      <c r="D806" s="231" t="s">
        <v>119</v>
      </c>
      <c r="E806" s="231"/>
      <c r="F806" s="231" t="s">
        <v>173</v>
      </c>
      <c r="G806" s="231" t="s">
        <v>174</v>
      </c>
      <c r="H806" s="231" t="s">
        <v>119</v>
      </c>
      <c r="I806" s="231"/>
      <c r="J806" s="231" t="s">
        <v>173</v>
      </c>
      <c r="K806" s="231" t="s">
        <v>174</v>
      </c>
      <c r="L806" s="231" t="s">
        <v>119</v>
      </c>
      <c r="M806" s="212"/>
      <c r="N806" s="212"/>
    </row>
    <row r="807" spans="1:14" ht="12.95">
      <c r="A807" s="234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12"/>
      <c r="N807" s="212"/>
    </row>
    <row r="808" spans="1:14">
      <c r="A808" s="213" t="str">
        <f>name!E$4</f>
        <v>Managers, directors and senior officials</v>
      </c>
      <c r="B808" s="278">
        <v>26.336077742534648</v>
      </c>
      <c r="C808" s="278">
        <v>58.856332253942064</v>
      </c>
      <c r="D808" s="278">
        <f>SUM(B808:C808)</f>
        <v>85.192409996476712</v>
      </c>
      <c r="E808" s="279"/>
      <c r="F808" s="278">
        <v>30.098712746880462</v>
      </c>
      <c r="G808" s="278">
        <v>56.903354894082213</v>
      </c>
      <c r="H808" s="278">
        <f>SUM(F808:G808)</f>
        <v>87.002067640962679</v>
      </c>
      <c r="I808" s="279"/>
      <c r="J808" s="278">
        <v>30.584106016997325</v>
      </c>
      <c r="K808" s="278">
        <v>46.695884132143163</v>
      </c>
      <c r="L808" s="278">
        <f>SUM(J808:K808)</f>
        <v>77.279990149140488</v>
      </c>
      <c r="M808" s="212"/>
      <c r="N808" s="212"/>
    </row>
    <row r="809" spans="1:14">
      <c r="A809" s="213" t="str">
        <f>name!E$5</f>
        <v>Professional occupations</v>
      </c>
      <c r="B809" s="278">
        <v>25.037518042036229</v>
      </c>
      <c r="C809" s="278">
        <v>68.940196477025879</v>
      </c>
      <c r="D809" s="278">
        <f t="shared" ref="D809:D816" si="298">SUM(B809:C809)</f>
        <v>93.977714519062104</v>
      </c>
      <c r="E809" s="279"/>
      <c r="F809" s="278">
        <v>32.376394206594789</v>
      </c>
      <c r="G809" s="278">
        <v>71.593100082233562</v>
      </c>
      <c r="H809" s="278">
        <f t="shared" ref="H809:H816" si="299">SUM(F809:G809)</f>
        <v>103.96949428882834</v>
      </c>
      <c r="I809" s="279"/>
      <c r="J809" s="278">
        <v>38.132501789240621</v>
      </c>
      <c r="K809" s="278">
        <v>83.731496865277151</v>
      </c>
      <c r="L809" s="278">
        <f t="shared" ref="L809:L816" si="300">SUM(J809:K809)</f>
        <v>121.86399865451777</v>
      </c>
      <c r="M809" s="212"/>
      <c r="N809" s="212"/>
    </row>
    <row r="810" spans="1:14">
      <c r="A810" s="213" t="str">
        <f>name!E$6</f>
        <v>Associate professional occupations</v>
      </c>
      <c r="B810" s="278">
        <v>33.994045386191594</v>
      </c>
      <c r="C810" s="278">
        <v>56.339152085111571</v>
      </c>
      <c r="D810" s="278">
        <f t="shared" si="298"/>
        <v>90.333197471303166</v>
      </c>
      <c r="E810" s="279"/>
      <c r="F810" s="278">
        <v>35.635602672933004</v>
      </c>
      <c r="G810" s="278">
        <v>54.066223789444599</v>
      </c>
      <c r="H810" s="278">
        <f t="shared" si="299"/>
        <v>89.701826462377596</v>
      </c>
      <c r="I810" s="279"/>
      <c r="J810" s="278">
        <v>35.916104105348239</v>
      </c>
      <c r="K810" s="278">
        <v>49.393097880687897</v>
      </c>
      <c r="L810" s="278">
        <f t="shared" si="300"/>
        <v>85.309201986036129</v>
      </c>
      <c r="M810" s="212"/>
      <c r="N810" s="212"/>
    </row>
    <row r="811" spans="1:14">
      <c r="A811" s="213" t="str">
        <f>name!E$7</f>
        <v>Administrative and secretarial occupations</v>
      </c>
      <c r="B811" s="278">
        <v>92.717866055042919</v>
      </c>
      <c r="C811" s="278">
        <v>42.575203392042219</v>
      </c>
      <c r="D811" s="278">
        <f t="shared" si="298"/>
        <v>135.29306944708514</v>
      </c>
      <c r="E811" s="279"/>
      <c r="F811" s="278">
        <v>77.36040622393169</v>
      </c>
      <c r="G811" s="278">
        <v>41.083385949688854</v>
      </c>
      <c r="H811" s="278">
        <f t="shared" si="299"/>
        <v>118.44379217362055</v>
      </c>
      <c r="I811" s="279"/>
      <c r="J811" s="278">
        <v>64.912913013555752</v>
      </c>
      <c r="K811" s="278">
        <v>42.078458025309892</v>
      </c>
      <c r="L811" s="278">
        <f t="shared" si="300"/>
        <v>106.99137103886565</v>
      </c>
      <c r="M811" s="212"/>
      <c r="N811" s="212"/>
    </row>
    <row r="812" spans="1:14">
      <c r="A812" s="213" t="str">
        <f>name!E$8</f>
        <v>Skilled trades occupations</v>
      </c>
      <c r="B812" s="278">
        <v>0.61377713650927668</v>
      </c>
      <c r="C812" s="278">
        <v>5.4124325513995979</v>
      </c>
      <c r="D812" s="278">
        <f t="shared" si="298"/>
        <v>6.0262096879088745</v>
      </c>
      <c r="E812" s="279"/>
      <c r="F812" s="278">
        <v>0.55633122921229072</v>
      </c>
      <c r="G812" s="278">
        <v>3.3103711913267642</v>
      </c>
      <c r="H812" s="278">
        <f t="shared" si="299"/>
        <v>3.8667024205390548</v>
      </c>
      <c r="I812" s="279"/>
      <c r="J812" s="278">
        <v>0.92135201655701093</v>
      </c>
      <c r="K812" s="278">
        <v>2.6651282091239481</v>
      </c>
      <c r="L812" s="278">
        <f t="shared" si="300"/>
        <v>3.5864802256809591</v>
      </c>
      <c r="M812" s="212"/>
      <c r="N812" s="212"/>
    </row>
    <row r="813" spans="1:14">
      <c r="A813" s="213" t="str">
        <f>name!E$9</f>
        <v>Caring, leisure and other service occupations</v>
      </c>
      <c r="B813" s="278">
        <v>0.671334897522747</v>
      </c>
      <c r="C813" s="278">
        <v>0.65766701808388128</v>
      </c>
      <c r="D813" s="278">
        <f t="shared" si="298"/>
        <v>1.3290019156066282</v>
      </c>
      <c r="E813" s="279"/>
      <c r="F813" s="278">
        <v>0.54142263806909097</v>
      </c>
      <c r="G813" s="278">
        <v>0.49671234364121808</v>
      </c>
      <c r="H813" s="278">
        <f t="shared" si="299"/>
        <v>1.0381349817103089</v>
      </c>
      <c r="I813" s="279"/>
      <c r="J813" s="278">
        <v>0.53667635929668989</v>
      </c>
      <c r="K813" s="278">
        <v>0.49133947513804854</v>
      </c>
      <c r="L813" s="278">
        <f t="shared" si="300"/>
        <v>1.0280158344347385</v>
      </c>
      <c r="M813" s="212"/>
      <c r="N813" s="212"/>
    </row>
    <row r="814" spans="1:14">
      <c r="A814" s="213" t="str">
        <f>name!E$10</f>
        <v>Sales and customer service occupations</v>
      </c>
      <c r="B814" s="278">
        <v>23.469569033071654</v>
      </c>
      <c r="C814" s="278">
        <v>11.291558046673055</v>
      </c>
      <c r="D814" s="278">
        <f t="shared" si="298"/>
        <v>34.76112707974471</v>
      </c>
      <c r="E814" s="279"/>
      <c r="F814" s="278">
        <v>20.009771626823838</v>
      </c>
      <c r="G814" s="278">
        <v>8.7853440508771623</v>
      </c>
      <c r="H814" s="278">
        <f t="shared" si="299"/>
        <v>28.795115677700998</v>
      </c>
      <c r="I814" s="279"/>
      <c r="J814" s="278">
        <v>18.360822120224761</v>
      </c>
      <c r="K814" s="278">
        <v>9.3137036667499498</v>
      </c>
      <c r="L814" s="278">
        <f t="shared" si="300"/>
        <v>27.674525786974712</v>
      </c>
      <c r="M814" s="212"/>
      <c r="N814" s="212"/>
    </row>
    <row r="815" spans="1:14">
      <c r="A815" s="213" t="str">
        <f>name!E$11</f>
        <v>Process, plant and machine operatives</v>
      </c>
      <c r="B815" s="278">
        <v>0.36628009604416117</v>
      </c>
      <c r="C815" s="278">
        <v>1.6706854797858861</v>
      </c>
      <c r="D815" s="278">
        <f t="shared" si="298"/>
        <v>2.0369655758300471</v>
      </c>
      <c r="E815" s="279"/>
      <c r="F815" s="278">
        <v>0.238437044900358</v>
      </c>
      <c r="G815" s="278">
        <v>1.0673738603161482</v>
      </c>
      <c r="H815" s="278">
        <f t="shared" si="299"/>
        <v>1.3058109052165063</v>
      </c>
      <c r="I815" s="279"/>
      <c r="J815" s="278">
        <v>0.25470900781268435</v>
      </c>
      <c r="K815" s="278">
        <v>1.0130985432236819</v>
      </c>
      <c r="L815" s="278">
        <f t="shared" si="300"/>
        <v>1.2678075510363662</v>
      </c>
      <c r="M815" s="212"/>
      <c r="N815" s="212"/>
    </row>
    <row r="816" spans="1:14">
      <c r="A816" s="213" t="str">
        <f>name!E$12</f>
        <v>Elementary occupations</v>
      </c>
      <c r="B816" s="278">
        <v>1.6585316100473675</v>
      </c>
      <c r="C816" s="278">
        <v>2.9417726928624179</v>
      </c>
      <c r="D816" s="278">
        <f t="shared" si="298"/>
        <v>4.6003043029097856</v>
      </c>
      <c r="E816" s="279"/>
      <c r="F816" s="278">
        <v>1.0639216094512629</v>
      </c>
      <c r="G816" s="278">
        <v>1.9781338382720737</v>
      </c>
      <c r="H816" s="278">
        <f t="shared" si="299"/>
        <v>3.0420554477233366</v>
      </c>
      <c r="I816" s="279"/>
      <c r="J816" s="278">
        <v>0.99381557635718809</v>
      </c>
      <c r="K816" s="278">
        <v>1.6497932041657872</v>
      </c>
      <c r="L816" s="278">
        <f t="shared" si="300"/>
        <v>2.6436087805229755</v>
      </c>
      <c r="M816" s="212"/>
      <c r="N816" s="212"/>
    </row>
    <row r="817" spans="1:14">
      <c r="A817" s="213"/>
      <c r="B817" s="278"/>
      <c r="C817" s="278"/>
      <c r="D817" s="278"/>
      <c r="E817" s="279"/>
      <c r="F817" s="278"/>
      <c r="G817" s="278"/>
      <c r="H817" s="278"/>
      <c r="I817" s="279"/>
      <c r="J817" s="278"/>
      <c r="K817" s="278"/>
      <c r="L817" s="278"/>
      <c r="M817" s="212"/>
      <c r="N817" s="212"/>
    </row>
    <row r="818" spans="1:14">
      <c r="A818" s="220" t="s">
        <v>119</v>
      </c>
      <c r="B818" s="282">
        <f>SUM(B808:B816)</f>
        <v>204.86499999900059</v>
      </c>
      <c r="C818" s="282">
        <f t="shared" ref="C818:D818" si="301">SUM(C808:C816)</f>
        <v>248.68499999692659</v>
      </c>
      <c r="D818" s="282">
        <f t="shared" si="301"/>
        <v>453.54999999592712</v>
      </c>
      <c r="E818" s="282"/>
      <c r="F818" s="282">
        <f t="shared" ref="F818:H818" si="302">SUM(F808:F816)</f>
        <v>197.8809999987968</v>
      </c>
      <c r="G818" s="282">
        <f t="shared" si="302"/>
        <v>239.28399999988255</v>
      </c>
      <c r="H818" s="282">
        <f t="shared" si="302"/>
        <v>437.16499999867932</v>
      </c>
      <c r="I818" s="282"/>
      <c r="J818" s="282">
        <f t="shared" ref="J818:L818" si="303">SUM(J808:J816)</f>
        <v>190.61300000539026</v>
      </c>
      <c r="K818" s="282">
        <f t="shared" si="303"/>
        <v>237.03200000181948</v>
      </c>
      <c r="L818" s="282">
        <f t="shared" si="303"/>
        <v>427.64500000720977</v>
      </c>
      <c r="M818" s="212"/>
      <c r="N818" s="212"/>
    </row>
    <row r="819" spans="1:14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6"/>
      <c r="M819" s="212"/>
      <c r="N819" s="212"/>
    </row>
    <row r="820" spans="1:14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32" t="s">
        <v>114</v>
      </c>
      <c r="M820" s="212"/>
      <c r="N820" s="212"/>
    </row>
    <row r="821" spans="1:14" ht="12.95">
      <c r="A821" s="218"/>
      <c r="B821" s="226"/>
      <c r="C821" s="226"/>
      <c r="D821" s="226"/>
      <c r="E821" s="226"/>
      <c r="F821" s="226"/>
      <c r="G821" s="226"/>
      <c r="H821" s="226"/>
      <c r="I821" s="226"/>
      <c r="J821" s="226"/>
      <c r="K821" s="226"/>
      <c r="L821" s="212"/>
      <c r="M821" s="212"/>
      <c r="N821" s="212"/>
    </row>
    <row r="822" spans="1:14" ht="12.95">
      <c r="A822" s="217" t="str">
        <f>name!A51</f>
        <v>Insurance and pensions</v>
      </c>
      <c r="B822" s="367">
        <f>B$6</f>
        <v>2015</v>
      </c>
      <c r="C822" s="367"/>
      <c r="D822" s="367"/>
      <c r="E822" s="229"/>
      <c r="F822" s="367">
        <f>F$6</f>
        <v>2020</v>
      </c>
      <c r="G822" s="367"/>
      <c r="H822" s="367"/>
      <c r="I822" s="229"/>
      <c r="J822" s="367">
        <f>J$6</f>
        <v>2035</v>
      </c>
      <c r="K822" s="367"/>
      <c r="L822" s="367"/>
      <c r="M822" s="212"/>
      <c r="N822" s="212"/>
    </row>
    <row r="823" spans="1:14" ht="12.95">
      <c r="A823" s="230"/>
      <c r="B823" s="231" t="s">
        <v>173</v>
      </c>
      <c r="C823" s="231" t="s">
        <v>174</v>
      </c>
      <c r="D823" s="231" t="s">
        <v>119</v>
      </c>
      <c r="E823" s="231"/>
      <c r="F823" s="231" t="s">
        <v>173</v>
      </c>
      <c r="G823" s="231" t="s">
        <v>174</v>
      </c>
      <c r="H823" s="231" t="s">
        <v>119</v>
      </c>
      <c r="I823" s="231"/>
      <c r="J823" s="231" t="s">
        <v>173</v>
      </c>
      <c r="K823" s="231" t="s">
        <v>174</v>
      </c>
      <c r="L823" s="231" t="s">
        <v>119</v>
      </c>
      <c r="M823" s="212"/>
      <c r="N823" s="212"/>
    </row>
    <row r="824" spans="1:14" ht="12.95">
      <c r="A824" s="234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12"/>
      <c r="N824" s="212"/>
    </row>
    <row r="825" spans="1:14">
      <c r="A825" s="213" t="str">
        <f>name!E$4</f>
        <v>Managers, directors and senior officials</v>
      </c>
      <c r="B825" s="278">
        <v>5.4181156580917564</v>
      </c>
      <c r="C825" s="278">
        <v>6.3409141716560873</v>
      </c>
      <c r="D825" s="278">
        <f>SUM(B825:C825)</f>
        <v>11.759029829747844</v>
      </c>
      <c r="E825" s="279"/>
      <c r="F825" s="278">
        <v>7.0887125634916863</v>
      </c>
      <c r="G825" s="278">
        <v>6.7103846843755433</v>
      </c>
      <c r="H825" s="278">
        <f>SUM(F825:G825)</f>
        <v>13.79909724786723</v>
      </c>
      <c r="I825" s="279"/>
      <c r="J825" s="278">
        <v>6.7075907261845265</v>
      </c>
      <c r="K825" s="278">
        <v>5.2144681015918106</v>
      </c>
      <c r="L825" s="278">
        <f>SUM(J825:K825)</f>
        <v>11.922058827776336</v>
      </c>
      <c r="M825" s="212"/>
      <c r="N825" s="212"/>
    </row>
    <row r="826" spans="1:14">
      <c r="A826" s="213" t="str">
        <f>name!E$5</f>
        <v>Professional occupations</v>
      </c>
      <c r="B826" s="278">
        <v>11.425427326403042</v>
      </c>
      <c r="C826" s="278">
        <v>10.402619543360659</v>
      </c>
      <c r="D826" s="278">
        <f t="shared" ref="D826:D833" si="304">SUM(B826:C826)</f>
        <v>21.828046869763703</v>
      </c>
      <c r="E826" s="279"/>
      <c r="F826" s="278">
        <v>16.904675737694657</v>
      </c>
      <c r="G826" s="278">
        <v>13.025589634066666</v>
      </c>
      <c r="H826" s="278">
        <f t="shared" ref="H826:H833" si="305">SUM(F826:G826)</f>
        <v>29.930265371761323</v>
      </c>
      <c r="I826" s="279"/>
      <c r="J826" s="278">
        <v>19.145850258707469</v>
      </c>
      <c r="K826" s="278">
        <v>14.710649055742577</v>
      </c>
      <c r="L826" s="278">
        <f t="shared" ref="L826:L833" si="306">SUM(J826:K826)</f>
        <v>33.856499314450048</v>
      </c>
      <c r="M826" s="212"/>
      <c r="N826" s="212"/>
    </row>
    <row r="827" spans="1:14">
      <c r="A827" s="213" t="str">
        <f>name!E$6</f>
        <v>Associate professional occupations</v>
      </c>
      <c r="B827" s="278">
        <v>11.992674870324882</v>
      </c>
      <c r="C827" s="278">
        <v>11.976793413962724</v>
      </c>
      <c r="D827" s="278">
        <f t="shared" si="304"/>
        <v>23.969468284287608</v>
      </c>
      <c r="E827" s="279"/>
      <c r="F827" s="278">
        <v>14.901287895479541</v>
      </c>
      <c r="G827" s="278">
        <v>12.797671962620401</v>
      </c>
      <c r="H827" s="278">
        <f t="shared" si="305"/>
        <v>27.69895985809994</v>
      </c>
      <c r="I827" s="279"/>
      <c r="J827" s="278">
        <v>15.28630217668999</v>
      </c>
      <c r="K827" s="278">
        <v>10.576660501813024</v>
      </c>
      <c r="L827" s="278">
        <f t="shared" si="306"/>
        <v>25.862962678503013</v>
      </c>
      <c r="M827" s="212"/>
      <c r="N827" s="212"/>
    </row>
    <row r="828" spans="1:14">
      <c r="A828" s="213" t="str">
        <f>name!E$7</f>
        <v>Administrative and secretarial occupations</v>
      </c>
      <c r="B828" s="278">
        <v>18.146820329112277</v>
      </c>
      <c r="C828" s="278">
        <v>9.416778497027158</v>
      </c>
      <c r="D828" s="278">
        <f t="shared" si="304"/>
        <v>27.563598826139433</v>
      </c>
      <c r="E828" s="279"/>
      <c r="F828" s="278">
        <v>17.735098655567107</v>
      </c>
      <c r="G828" s="278">
        <v>9.8000250041162147</v>
      </c>
      <c r="H828" s="278">
        <f t="shared" si="305"/>
        <v>27.535123659683322</v>
      </c>
      <c r="I828" s="279"/>
      <c r="J828" s="278">
        <v>13.455149744975191</v>
      </c>
      <c r="K828" s="278">
        <v>9.5139715184538574</v>
      </c>
      <c r="L828" s="278">
        <f t="shared" si="306"/>
        <v>22.969121263429049</v>
      </c>
      <c r="M828" s="212"/>
      <c r="N828" s="212"/>
    </row>
    <row r="829" spans="1:14">
      <c r="A829" s="213" t="str">
        <f>name!E$8</f>
        <v>Skilled trades occupations</v>
      </c>
      <c r="B829" s="278">
        <v>0.49589021314311754</v>
      </c>
      <c r="C829" s="278">
        <v>2.2110477469646717</v>
      </c>
      <c r="D829" s="278">
        <f t="shared" si="304"/>
        <v>2.7069379601077892</v>
      </c>
      <c r="E829" s="279"/>
      <c r="F829" s="278">
        <v>0.58568865776325307</v>
      </c>
      <c r="G829" s="278">
        <v>1.3763046695220527</v>
      </c>
      <c r="H829" s="278">
        <f t="shared" si="305"/>
        <v>1.9619933272853056</v>
      </c>
      <c r="I829" s="279"/>
      <c r="J829" s="278">
        <v>0.65951972269751358</v>
      </c>
      <c r="K829" s="278">
        <v>1.0216867855833025</v>
      </c>
      <c r="L829" s="278">
        <f t="shared" si="306"/>
        <v>1.6812065082808161</v>
      </c>
      <c r="M829" s="212"/>
      <c r="N829" s="212"/>
    </row>
    <row r="830" spans="1:14">
      <c r="A830" s="213" t="str">
        <f>name!E$9</f>
        <v>Caring, leisure and other service occupations</v>
      </c>
      <c r="B830" s="278">
        <v>1.6833083374453188</v>
      </c>
      <c r="C830" s="278">
        <v>1.3725104941137578</v>
      </c>
      <c r="D830" s="278">
        <f t="shared" si="304"/>
        <v>3.0558188315590766</v>
      </c>
      <c r="E830" s="279"/>
      <c r="F830" s="278">
        <v>1.8526967956350147</v>
      </c>
      <c r="G830" s="278">
        <v>1.4041372953742084</v>
      </c>
      <c r="H830" s="278">
        <f t="shared" si="305"/>
        <v>3.2568340910092228</v>
      </c>
      <c r="I830" s="279"/>
      <c r="J830" s="278">
        <v>1.867004203624566</v>
      </c>
      <c r="K830" s="278">
        <v>1.5218862899023138</v>
      </c>
      <c r="L830" s="278">
        <f t="shared" si="306"/>
        <v>3.3888904935268798</v>
      </c>
      <c r="M830" s="212"/>
      <c r="N830" s="212"/>
    </row>
    <row r="831" spans="1:14">
      <c r="A831" s="213" t="str">
        <f>name!E$10</f>
        <v>Sales and customer service occupations</v>
      </c>
      <c r="B831" s="278">
        <v>8.0431341011053412</v>
      </c>
      <c r="C831" s="278">
        <v>4.8714362361100623</v>
      </c>
      <c r="D831" s="278">
        <f t="shared" si="304"/>
        <v>12.914570337215403</v>
      </c>
      <c r="E831" s="279"/>
      <c r="F831" s="278">
        <v>8.1108752697705278</v>
      </c>
      <c r="G831" s="278">
        <v>4.421414317046187</v>
      </c>
      <c r="H831" s="278">
        <f t="shared" si="305"/>
        <v>12.532289586816715</v>
      </c>
      <c r="I831" s="279"/>
      <c r="J831" s="278">
        <v>6.7799645225740628</v>
      </c>
      <c r="K831" s="278">
        <v>4.4431840151405666</v>
      </c>
      <c r="L831" s="278">
        <f t="shared" si="306"/>
        <v>11.223148537714629</v>
      </c>
      <c r="M831" s="212"/>
      <c r="N831" s="212"/>
    </row>
    <row r="832" spans="1:14">
      <c r="A832" s="213" t="str">
        <f>name!E$11</f>
        <v>Process, plant and machine operatives</v>
      </c>
      <c r="B832" s="278">
        <v>0.19981603417096835</v>
      </c>
      <c r="C832" s="278">
        <v>0.42139201742469817</v>
      </c>
      <c r="D832" s="278">
        <f t="shared" si="304"/>
        <v>0.6212080515956665</v>
      </c>
      <c r="E832" s="279"/>
      <c r="F832" s="278">
        <v>0.16340415356857102</v>
      </c>
      <c r="G832" s="278">
        <v>0.33080855560972311</v>
      </c>
      <c r="H832" s="278">
        <f t="shared" si="305"/>
        <v>0.49421270917829413</v>
      </c>
      <c r="I832" s="279"/>
      <c r="J832" s="278">
        <v>0.16749045106195248</v>
      </c>
      <c r="K832" s="278">
        <v>0.2768334176003987</v>
      </c>
      <c r="L832" s="278">
        <f t="shared" si="306"/>
        <v>0.44432386866235118</v>
      </c>
      <c r="M832" s="212"/>
      <c r="N832" s="212"/>
    </row>
    <row r="833" spans="1:14">
      <c r="A833" s="213" t="str">
        <f>name!E$12</f>
        <v>Elementary occupations</v>
      </c>
      <c r="B833" s="278">
        <v>0.59281312979039724</v>
      </c>
      <c r="C833" s="278">
        <v>0.84850787894889279</v>
      </c>
      <c r="D833" s="278">
        <f t="shared" si="304"/>
        <v>1.44132100873929</v>
      </c>
      <c r="E833" s="279"/>
      <c r="F833" s="278">
        <v>0.50256027057924713</v>
      </c>
      <c r="G833" s="278">
        <v>0.65266387708315088</v>
      </c>
      <c r="H833" s="278">
        <f t="shared" si="305"/>
        <v>1.1552241476623979</v>
      </c>
      <c r="I833" s="279"/>
      <c r="J833" s="278">
        <v>0.45212819518563219</v>
      </c>
      <c r="K833" s="278">
        <v>0.54266031415992866</v>
      </c>
      <c r="L833" s="278">
        <f t="shared" si="306"/>
        <v>0.99478850934556085</v>
      </c>
      <c r="M833" s="212"/>
      <c r="N833" s="212"/>
    </row>
    <row r="834" spans="1:14">
      <c r="A834" s="213"/>
      <c r="B834" s="278"/>
      <c r="C834" s="278"/>
      <c r="D834" s="278"/>
      <c r="E834" s="279"/>
      <c r="F834" s="278"/>
      <c r="G834" s="278"/>
      <c r="H834" s="278"/>
      <c r="I834" s="279"/>
      <c r="J834" s="278"/>
      <c r="K834" s="278"/>
      <c r="L834" s="278"/>
      <c r="M834" s="212"/>
      <c r="N834" s="212"/>
    </row>
    <row r="835" spans="1:14">
      <c r="A835" s="220" t="s">
        <v>119</v>
      </c>
      <c r="B835" s="282">
        <f>SUM(B825:B833)</f>
        <v>57.997999999587094</v>
      </c>
      <c r="C835" s="282">
        <f t="shared" ref="C835:D835" si="307">SUM(C825:C833)</f>
        <v>47.861999999568717</v>
      </c>
      <c r="D835" s="282">
        <f t="shared" si="307"/>
        <v>105.85999999915583</v>
      </c>
      <c r="E835" s="282"/>
      <c r="F835" s="282">
        <f t="shared" ref="F835:H835" si="308">SUM(F825:F833)</f>
        <v>67.8449999995496</v>
      </c>
      <c r="G835" s="282">
        <f t="shared" si="308"/>
        <v>50.518999999814135</v>
      </c>
      <c r="H835" s="282">
        <f t="shared" si="308"/>
        <v>118.36399999936376</v>
      </c>
      <c r="I835" s="282"/>
      <c r="J835" s="282">
        <f t="shared" ref="J835:L835" si="309">SUM(J825:J833)</f>
        <v>64.521000001700912</v>
      </c>
      <c r="K835" s="282">
        <f t="shared" si="309"/>
        <v>47.821999999987781</v>
      </c>
      <c r="L835" s="282">
        <f t="shared" si="309"/>
        <v>112.34300000168867</v>
      </c>
      <c r="M835" s="212"/>
      <c r="N835" s="212"/>
    </row>
    <row r="836" spans="1:14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6"/>
      <c r="M836" s="212"/>
      <c r="N836" s="212"/>
    </row>
    <row r="837" spans="1:14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32" t="s">
        <v>114</v>
      </c>
      <c r="M837" s="212"/>
      <c r="N837" s="212"/>
    </row>
    <row r="838" spans="1:14" ht="12.95">
      <c r="A838" s="218"/>
      <c r="B838" s="226"/>
      <c r="C838" s="226"/>
      <c r="D838" s="226"/>
      <c r="E838" s="226"/>
      <c r="F838" s="226"/>
      <c r="G838" s="226"/>
      <c r="H838" s="226"/>
      <c r="I838" s="226"/>
      <c r="J838" s="226"/>
      <c r="K838" s="226"/>
      <c r="L838" s="212"/>
      <c r="M838" s="212"/>
      <c r="N838" s="212"/>
    </row>
    <row r="839" spans="1:14" ht="12.95">
      <c r="A839" s="217" t="str">
        <f>name!A52</f>
        <v>Auxiliary financial services</v>
      </c>
      <c r="B839" s="367">
        <f>B$6</f>
        <v>2015</v>
      </c>
      <c r="C839" s="367"/>
      <c r="D839" s="367"/>
      <c r="E839" s="229"/>
      <c r="F839" s="367">
        <f>F$6</f>
        <v>2020</v>
      </c>
      <c r="G839" s="367"/>
      <c r="H839" s="367"/>
      <c r="I839" s="229"/>
      <c r="J839" s="367">
        <f>J$6</f>
        <v>2035</v>
      </c>
      <c r="K839" s="367"/>
      <c r="L839" s="367"/>
      <c r="M839" s="212"/>
      <c r="N839" s="212"/>
    </row>
    <row r="840" spans="1:14" ht="12.95">
      <c r="A840" s="230"/>
      <c r="B840" s="231" t="s">
        <v>173</v>
      </c>
      <c r="C840" s="231" t="s">
        <v>174</v>
      </c>
      <c r="D840" s="231" t="s">
        <v>119</v>
      </c>
      <c r="E840" s="231"/>
      <c r="F840" s="231" t="s">
        <v>173</v>
      </c>
      <c r="G840" s="231" t="s">
        <v>174</v>
      </c>
      <c r="H840" s="231" t="s">
        <v>119</v>
      </c>
      <c r="I840" s="231"/>
      <c r="J840" s="231" t="s">
        <v>173</v>
      </c>
      <c r="K840" s="231" t="s">
        <v>174</v>
      </c>
      <c r="L840" s="231" t="s">
        <v>119</v>
      </c>
      <c r="M840" s="212"/>
      <c r="N840" s="212"/>
    </row>
    <row r="841" spans="1:14" ht="12.95">
      <c r="A841" s="234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12"/>
      <c r="N841" s="212"/>
    </row>
    <row r="842" spans="1:14">
      <c r="A842" s="213" t="str">
        <f>name!E$4</f>
        <v>Managers, directors and senior officials</v>
      </c>
      <c r="B842" s="278">
        <v>19.102419499409518</v>
      </c>
      <c r="C842" s="278">
        <v>49.050418850886587</v>
      </c>
      <c r="D842" s="278">
        <f>SUM(B842:C842)</f>
        <v>68.152838350296108</v>
      </c>
      <c r="E842" s="279"/>
      <c r="F842" s="278">
        <v>23.216736504730054</v>
      </c>
      <c r="G842" s="278">
        <v>54.128271533149032</v>
      </c>
      <c r="H842" s="278">
        <f>SUM(F842:G842)</f>
        <v>77.345008037879083</v>
      </c>
      <c r="I842" s="279"/>
      <c r="J842" s="278">
        <v>23.472962769831138</v>
      </c>
      <c r="K842" s="278">
        <v>47.0851171153585</v>
      </c>
      <c r="L842" s="278">
        <f>SUM(J842:K842)</f>
        <v>70.558079885189642</v>
      </c>
      <c r="M842" s="212"/>
      <c r="N842" s="212"/>
    </row>
    <row r="843" spans="1:14">
      <c r="A843" s="213" t="str">
        <f>name!E$5</f>
        <v>Professional occupations</v>
      </c>
      <c r="B843" s="278">
        <v>31.82021501576347</v>
      </c>
      <c r="C843" s="278">
        <v>56.604422428236141</v>
      </c>
      <c r="D843" s="278">
        <f t="shared" ref="D843:D850" si="310">SUM(B843:C843)</f>
        <v>88.424637443999615</v>
      </c>
      <c r="E843" s="279"/>
      <c r="F843" s="278">
        <v>43.549071339697385</v>
      </c>
      <c r="G843" s="278">
        <v>70.006209030658795</v>
      </c>
      <c r="H843" s="278">
        <f t="shared" ref="H843:H850" si="311">SUM(F843:G843)</f>
        <v>113.55528037035617</v>
      </c>
      <c r="I843" s="279"/>
      <c r="J843" s="278">
        <v>51.01398138001101</v>
      </c>
      <c r="K843" s="278">
        <v>81.226099609115366</v>
      </c>
      <c r="L843" s="278">
        <f t="shared" ref="L843:L850" si="312">SUM(J843:K843)</f>
        <v>132.24008098912637</v>
      </c>
      <c r="M843" s="212"/>
      <c r="N843" s="212"/>
    </row>
    <row r="844" spans="1:14">
      <c r="A844" s="213" t="str">
        <f>name!E$6</f>
        <v>Associate professional occupations</v>
      </c>
      <c r="B844" s="278">
        <v>47.104161248177135</v>
      </c>
      <c r="C844" s="278">
        <v>76.936313194235453</v>
      </c>
      <c r="D844" s="278">
        <f t="shared" si="310"/>
        <v>124.04047444241259</v>
      </c>
      <c r="E844" s="279"/>
      <c r="F844" s="278">
        <v>52.344742131720643</v>
      </c>
      <c r="G844" s="278">
        <v>83.164695374482434</v>
      </c>
      <c r="H844" s="278">
        <f t="shared" si="311"/>
        <v>135.50943750620308</v>
      </c>
      <c r="I844" s="279"/>
      <c r="J844" s="278">
        <v>54.256360686497267</v>
      </c>
      <c r="K844" s="278">
        <v>78.757446299903037</v>
      </c>
      <c r="L844" s="278">
        <f t="shared" si="312"/>
        <v>133.01380698640031</v>
      </c>
      <c r="M844" s="212"/>
      <c r="N844" s="212"/>
    </row>
    <row r="845" spans="1:14">
      <c r="A845" s="213" t="str">
        <f>name!E$7</f>
        <v>Administrative and secretarial occupations</v>
      </c>
      <c r="B845" s="278">
        <v>69.717142792579821</v>
      </c>
      <c r="C845" s="278">
        <v>21.335771670401396</v>
      </c>
      <c r="D845" s="278">
        <f t="shared" si="310"/>
        <v>91.052914462981221</v>
      </c>
      <c r="E845" s="279"/>
      <c r="F845" s="278">
        <v>62.765911884220927</v>
      </c>
      <c r="G845" s="278">
        <v>21.77011429173044</v>
      </c>
      <c r="H845" s="278">
        <f t="shared" si="311"/>
        <v>84.536026175951363</v>
      </c>
      <c r="I845" s="279"/>
      <c r="J845" s="278">
        <v>46.340810837585337</v>
      </c>
      <c r="K845" s="278">
        <v>20.983155807245325</v>
      </c>
      <c r="L845" s="278">
        <f t="shared" si="312"/>
        <v>67.323966644830662</v>
      </c>
      <c r="M845" s="212"/>
      <c r="N845" s="212"/>
    </row>
    <row r="846" spans="1:14">
      <c r="A846" s="213" t="str">
        <f>name!E$8</f>
        <v>Skilled trades occupations</v>
      </c>
      <c r="B846" s="278">
        <v>1.3382457407059956</v>
      </c>
      <c r="C846" s="278">
        <v>5.9341481000962997</v>
      </c>
      <c r="D846" s="278">
        <f t="shared" si="310"/>
        <v>7.2723938408022955</v>
      </c>
      <c r="E846" s="279"/>
      <c r="F846" s="278">
        <v>1.2339865686876441</v>
      </c>
      <c r="G846" s="278">
        <v>4.5175629725941944</v>
      </c>
      <c r="H846" s="278">
        <f t="shared" si="311"/>
        <v>5.7515495412818387</v>
      </c>
      <c r="I846" s="279"/>
      <c r="J846" s="278">
        <v>1.2475941781193678</v>
      </c>
      <c r="K846" s="278">
        <v>3.9728049131119563</v>
      </c>
      <c r="L846" s="278">
        <f t="shared" si="312"/>
        <v>5.2203990912313243</v>
      </c>
      <c r="M846" s="212"/>
      <c r="N846" s="212"/>
    </row>
    <row r="847" spans="1:14">
      <c r="A847" s="213" t="str">
        <f>name!E$9</f>
        <v>Caring, leisure and other service occupations</v>
      </c>
      <c r="B847" s="278">
        <v>1.6598478405078136</v>
      </c>
      <c r="C847" s="278">
        <v>1.2849894745792532</v>
      </c>
      <c r="D847" s="278">
        <f t="shared" si="310"/>
        <v>2.9448373150870668</v>
      </c>
      <c r="E847" s="279"/>
      <c r="F847" s="278">
        <v>1.6475133024666992</v>
      </c>
      <c r="G847" s="278">
        <v>1.2843796039658977</v>
      </c>
      <c r="H847" s="278">
        <f t="shared" si="311"/>
        <v>2.9318929064325969</v>
      </c>
      <c r="I847" s="279"/>
      <c r="J847" s="278">
        <v>1.9363148785180448</v>
      </c>
      <c r="K847" s="278">
        <v>1.5699221367553171</v>
      </c>
      <c r="L847" s="278">
        <f t="shared" si="312"/>
        <v>3.5062370152733617</v>
      </c>
      <c r="M847" s="212"/>
      <c r="N847" s="212"/>
    </row>
    <row r="848" spans="1:14">
      <c r="A848" s="213" t="str">
        <f>name!E$10</f>
        <v>Sales and customer service occupations</v>
      </c>
      <c r="B848" s="278">
        <v>13.252025364035649</v>
      </c>
      <c r="C848" s="278">
        <v>8.7811072048559407</v>
      </c>
      <c r="D848" s="278">
        <f t="shared" si="310"/>
        <v>22.033132568891588</v>
      </c>
      <c r="E848" s="279"/>
      <c r="F848" s="278">
        <v>12.308437108753761</v>
      </c>
      <c r="G848" s="278">
        <v>8.5068562454854302</v>
      </c>
      <c r="H848" s="278">
        <f t="shared" si="311"/>
        <v>20.815293354239191</v>
      </c>
      <c r="I848" s="279"/>
      <c r="J848" s="278">
        <v>10.482440856397917</v>
      </c>
      <c r="K848" s="278">
        <v>9.2548569751430296</v>
      </c>
      <c r="L848" s="278">
        <f t="shared" si="312"/>
        <v>19.737297831540946</v>
      </c>
      <c r="M848" s="212"/>
      <c r="N848" s="212"/>
    </row>
    <row r="849" spans="1:14">
      <c r="A849" s="213" t="str">
        <f>name!E$11</f>
        <v>Process, plant and machine operatives</v>
      </c>
      <c r="B849" s="278">
        <v>0.9438726702285487</v>
      </c>
      <c r="C849" s="278">
        <v>2.9715503161094721</v>
      </c>
      <c r="D849" s="278">
        <f t="shared" si="310"/>
        <v>3.9154229863380206</v>
      </c>
      <c r="E849" s="279"/>
      <c r="F849" s="278">
        <v>0.72716809243080416</v>
      </c>
      <c r="G849" s="278">
        <v>3.2054036895841862</v>
      </c>
      <c r="H849" s="278">
        <f t="shared" si="311"/>
        <v>3.9325717820149904</v>
      </c>
      <c r="I849" s="279"/>
      <c r="J849" s="278">
        <v>1.097491953039591</v>
      </c>
      <c r="K849" s="278">
        <v>3.516876278115908</v>
      </c>
      <c r="L849" s="278">
        <f t="shared" si="312"/>
        <v>4.614368231155499</v>
      </c>
      <c r="M849" s="212"/>
      <c r="N849" s="212"/>
    </row>
    <row r="850" spans="1:14">
      <c r="A850" s="213" t="str">
        <f>name!E$12</f>
        <v>Elementary occupations</v>
      </c>
      <c r="B850" s="278">
        <v>3.5040698272952722</v>
      </c>
      <c r="C850" s="278">
        <v>3.5192787577098312</v>
      </c>
      <c r="D850" s="278">
        <f t="shared" si="310"/>
        <v>7.0233485850051034</v>
      </c>
      <c r="E850" s="279"/>
      <c r="F850" s="278">
        <v>2.4834330659095545</v>
      </c>
      <c r="G850" s="278">
        <v>2.7765072587545969</v>
      </c>
      <c r="H850" s="278">
        <f t="shared" si="311"/>
        <v>5.2599403246641518</v>
      </c>
      <c r="I850" s="279"/>
      <c r="J850" s="278">
        <v>3.0580424653509928</v>
      </c>
      <c r="K850" s="278">
        <v>2.5207208680007493</v>
      </c>
      <c r="L850" s="278">
        <f t="shared" si="312"/>
        <v>5.5787633333517421</v>
      </c>
      <c r="M850" s="212"/>
      <c r="N850" s="212"/>
    </row>
    <row r="851" spans="1:14">
      <c r="A851" s="213"/>
      <c r="B851" s="278"/>
      <c r="C851" s="278"/>
      <c r="D851" s="278"/>
      <c r="E851" s="279"/>
      <c r="F851" s="278"/>
      <c r="G851" s="278"/>
      <c r="H851" s="278"/>
      <c r="I851" s="279"/>
      <c r="J851" s="278"/>
      <c r="K851" s="278"/>
      <c r="L851" s="278"/>
      <c r="M851" s="212"/>
      <c r="N851" s="212"/>
    </row>
    <row r="852" spans="1:14">
      <c r="A852" s="220" t="s">
        <v>119</v>
      </c>
      <c r="B852" s="282">
        <f>SUM(B842:B850)</f>
        <v>188.44199999870324</v>
      </c>
      <c r="C852" s="282">
        <f t="shared" ref="C852:D852" si="313">SUM(C842:C850)</f>
        <v>226.41799999711037</v>
      </c>
      <c r="D852" s="282">
        <f t="shared" si="313"/>
        <v>414.85999999581355</v>
      </c>
      <c r="E852" s="282"/>
      <c r="F852" s="282">
        <f t="shared" ref="F852:H852" si="314">SUM(F842:F850)</f>
        <v>200.27699999861753</v>
      </c>
      <c r="G852" s="282">
        <f t="shared" si="314"/>
        <v>249.36000000040502</v>
      </c>
      <c r="H852" s="282">
        <f t="shared" si="314"/>
        <v>449.63699999902252</v>
      </c>
      <c r="I852" s="282"/>
      <c r="J852" s="282">
        <f t="shared" ref="J852:L852" si="315">SUM(J842:J850)</f>
        <v>192.90600000535062</v>
      </c>
      <c r="K852" s="282">
        <f t="shared" si="315"/>
        <v>248.88700000274923</v>
      </c>
      <c r="L852" s="282">
        <f t="shared" si="315"/>
        <v>441.79300000809985</v>
      </c>
      <c r="M852" s="212"/>
      <c r="N852" s="212"/>
    </row>
    <row r="853" spans="1:14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6"/>
      <c r="M853" s="212"/>
      <c r="N853" s="212"/>
    </row>
    <row r="854" spans="1:14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32" t="s">
        <v>114</v>
      </c>
      <c r="M854" s="212"/>
      <c r="N854" s="212"/>
    </row>
    <row r="855" spans="1:14" ht="12.95">
      <c r="A855" s="218"/>
      <c r="B855" s="226"/>
      <c r="C855" s="226"/>
      <c r="D855" s="226"/>
      <c r="E855" s="226"/>
      <c r="F855" s="226"/>
      <c r="G855" s="226"/>
      <c r="H855" s="226"/>
      <c r="I855" s="226"/>
      <c r="J855" s="226"/>
      <c r="K855" s="226"/>
      <c r="L855" s="212"/>
      <c r="M855" s="212"/>
      <c r="N855" s="212"/>
    </row>
    <row r="856" spans="1:14" ht="12.95">
      <c r="A856" s="217" t="str">
        <f>name!A53</f>
        <v>Real estate</v>
      </c>
      <c r="B856" s="367">
        <f>B$6</f>
        <v>2015</v>
      </c>
      <c r="C856" s="367"/>
      <c r="D856" s="367"/>
      <c r="E856" s="229"/>
      <c r="F856" s="367">
        <f>F$6</f>
        <v>2020</v>
      </c>
      <c r="G856" s="367"/>
      <c r="H856" s="367"/>
      <c r="I856" s="229"/>
      <c r="J856" s="367">
        <f>J$6</f>
        <v>2035</v>
      </c>
      <c r="K856" s="367"/>
      <c r="L856" s="367"/>
      <c r="M856" s="212"/>
      <c r="N856" s="212"/>
    </row>
    <row r="857" spans="1:14" ht="12.95">
      <c r="A857" s="230"/>
      <c r="B857" s="231" t="s">
        <v>173</v>
      </c>
      <c r="C857" s="231" t="s">
        <v>174</v>
      </c>
      <c r="D857" s="231" t="s">
        <v>119</v>
      </c>
      <c r="E857" s="231"/>
      <c r="F857" s="231" t="s">
        <v>173</v>
      </c>
      <c r="G857" s="231" t="s">
        <v>174</v>
      </c>
      <c r="H857" s="231" t="s">
        <v>119</v>
      </c>
      <c r="I857" s="231"/>
      <c r="J857" s="231" t="s">
        <v>173</v>
      </c>
      <c r="K857" s="231" t="s">
        <v>174</v>
      </c>
      <c r="L857" s="231" t="s">
        <v>119</v>
      </c>
      <c r="M857" s="212"/>
      <c r="N857" s="212"/>
    </row>
    <row r="858" spans="1:14" ht="12.95">
      <c r="A858" s="234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12"/>
      <c r="N858" s="212"/>
    </row>
    <row r="859" spans="1:14">
      <c r="A859" s="213" t="str">
        <f>name!E$4</f>
        <v>Managers, directors and senior officials</v>
      </c>
      <c r="B859" s="278">
        <v>38.340265646066534</v>
      </c>
      <c r="C859" s="278">
        <v>61.137045236528117</v>
      </c>
      <c r="D859" s="278">
        <f>SUM(B859:C859)</f>
        <v>99.477310882594651</v>
      </c>
      <c r="E859" s="279"/>
      <c r="F859" s="278">
        <v>48.303725476989015</v>
      </c>
      <c r="G859" s="278">
        <v>75.836679891725041</v>
      </c>
      <c r="H859" s="278">
        <f>SUM(F859:G859)</f>
        <v>124.14040536871406</v>
      </c>
      <c r="I859" s="279"/>
      <c r="J859" s="278">
        <v>47.92562726402619</v>
      </c>
      <c r="K859" s="278">
        <v>77.92977978591756</v>
      </c>
      <c r="L859" s="278">
        <f>SUM(J859:K859)</f>
        <v>125.85540704994375</v>
      </c>
      <c r="M859" s="212"/>
      <c r="N859" s="212"/>
    </row>
    <row r="860" spans="1:14">
      <c r="A860" s="213" t="str">
        <f>name!E$5</f>
        <v>Professional occupations</v>
      </c>
      <c r="B860" s="278">
        <v>39.216412654779226</v>
      </c>
      <c r="C860" s="278">
        <v>45.655358502131605</v>
      </c>
      <c r="D860" s="278">
        <f t="shared" ref="D860:D867" si="316">SUM(B860:C860)</f>
        <v>84.871771156910825</v>
      </c>
      <c r="E860" s="279"/>
      <c r="F860" s="278">
        <v>51.230257986955877</v>
      </c>
      <c r="G860" s="278">
        <v>67.124159431766728</v>
      </c>
      <c r="H860" s="278">
        <f t="shared" ref="H860:H867" si="317">SUM(F860:G860)</f>
        <v>118.3544174187226</v>
      </c>
      <c r="I860" s="279"/>
      <c r="J860" s="278">
        <v>55.767485371117189</v>
      </c>
      <c r="K860" s="278">
        <v>75.818271747488808</v>
      </c>
      <c r="L860" s="278">
        <f t="shared" ref="L860:L867" si="318">SUM(J860:K860)</f>
        <v>131.58575711860601</v>
      </c>
      <c r="M860" s="212"/>
      <c r="N860" s="212"/>
    </row>
    <row r="861" spans="1:14">
      <c r="A861" s="213" t="str">
        <f>name!E$6</f>
        <v>Associate professional occupations</v>
      </c>
      <c r="B861" s="278">
        <v>39.791989799680962</v>
      </c>
      <c r="C861" s="278">
        <v>39.196011573948837</v>
      </c>
      <c r="D861" s="278">
        <f t="shared" si="316"/>
        <v>78.9880013736298</v>
      </c>
      <c r="E861" s="279"/>
      <c r="F861" s="278">
        <v>48.257202361392061</v>
      </c>
      <c r="G861" s="278">
        <v>50.643269678724131</v>
      </c>
      <c r="H861" s="278">
        <f t="shared" si="317"/>
        <v>98.900472040116199</v>
      </c>
      <c r="I861" s="279"/>
      <c r="J861" s="278">
        <v>63.352244068366183</v>
      </c>
      <c r="K861" s="278">
        <v>51.095668634230982</v>
      </c>
      <c r="L861" s="278">
        <f t="shared" si="318"/>
        <v>114.44791270259716</v>
      </c>
      <c r="M861" s="212"/>
      <c r="N861" s="212"/>
    </row>
    <row r="862" spans="1:14">
      <c r="A862" s="213" t="str">
        <f>name!E$7</f>
        <v>Administrative and secretarial occupations</v>
      </c>
      <c r="B862" s="278">
        <v>81.473423162324963</v>
      </c>
      <c r="C862" s="278">
        <v>13.816965789667991</v>
      </c>
      <c r="D862" s="278">
        <f t="shared" si="316"/>
        <v>95.290388951992952</v>
      </c>
      <c r="E862" s="279"/>
      <c r="F862" s="278">
        <v>78.894202528706145</v>
      </c>
      <c r="G862" s="278">
        <v>16.338263865155255</v>
      </c>
      <c r="H862" s="278">
        <f t="shared" si="317"/>
        <v>95.232466393861401</v>
      </c>
      <c r="I862" s="279"/>
      <c r="J862" s="278">
        <v>69.128011904009668</v>
      </c>
      <c r="K862" s="278">
        <v>18.604268464102159</v>
      </c>
      <c r="L862" s="278">
        <f t="shared" si="318"/>
        <v>87.73228036811183</v>
      </c>
      <c r="M862" s="212"/>
      <c r="N862" s="212"/>
    </row>
    <row r="863" spans="1:14">
      <c r="A863" s="213" t="str">
        <f>name!E$8</f>
        <v>Skilled trades occupations</v>
      </c>
      <c r="B863" s="278">
        <v>7.146664003383643</v>
      </c>
      <c r="C863" s="278">
        <v>30.236541921176023</v>
      </c>
      <c r="D863" s="278">
        <f t="shared" si="316"/>
        <v>37.383205924559668</v>
      </c>
      <c r="E863" s="279"/>
      <c r="F863" s="278">
        <v>8.8380079801539146</v>
      </c>
      <c r="G863" s="278">
        <v>23.464819509638783</v>
      </c>
      <c r="H863" s="278">
        <f t="shared" si="317"/>
        <v>32.302827489792698</v>
      </c>
      <c r="I863" s="279"/>
      <c r="J863" s="278">
        <v>14.326805144714912</v>
      </c>
      <c r="K863" s="278">
        <v>23.865837764228193</v>
      </c>
      <c r="L863" s="278">
        <f t="shared" si="318"/>
        <v>38.192642908943107</v>
      </c>
      <c r="M863" s="212"/>
      <c r="N863" s="212"/>
    </row>
    <row r="864" spans="1:14">
      <c r="A864" s="213" t="str">
        <f>name!E$9</f>
        <v>Caring, leisure and other service occupations</v>
      </c>
      <c r="B864" s="278">
        <v>9.706962252866207</v>
      </c>
      <c r="C864" s="278">
        <v>6.1982153751385614</v>
      </c>
      <c r="D864" s="278">
        <f t="shared" si="316"/>
        <v>15.905177628004768</v>
      </c>
      <c r="E864" s="279"/>
      <c r="F864" s="278">
        <v>9.6086406609596526</v>
      </c>
      <c r="G864" s="278">
        <v>6.7150605195710984</v>
      </c>
      <c r="H864" s="278">
        <f t="shared" si="317"/>
        <v>16.323701180530751</v>
      </c>
      <c r="I864" s="279"/>
      <c r="J864" s="278">
        <v>11.194187300883334</v>
      </c>
      <c r="K864" s="278">
        <v>6.9539071177660023</v>
      </c>
      <c r="L864" s="278">
        <f t="shared" si="318"/>
        <v>18.148094418649336</v>
      </c>
      <c r="M864" s="212"/>
      <c r="N864" s="212"/>
    </row>
    <row r="865" spans="1:14">
      <c r="A865" s="213" t="str">
        <f>name!E$10</f>
        <v>Sales and customer service occupations</v>
      </c>
      <c r="B865" s="278">
        <v>40.624543132251127</v>
      </c>
      <c r="C865" s="278">
        <v>18.931992814409821</v>
      </c>
      <c r="D865" s="278">
        <f t="shared" si="316"/>
        <v>59.556535946660944</v>
      </c>
      <c r="E865" s="279"/>
      <c r="F865" s="278">
        <v>36.698773248678393</v>
      </c>
      <c r="G865" s="278">
        <v>19.703921563389049</v>
      </c>
      <c r="H865" s="278">
        <f t="shared" si="317"/>
        <v>56.402694812067438</v>
      </c>
      <c r="I865" s="279"/>
      <c r="J865" s="278">
        <v>38.654094017193032</v>
      </c>
      <c r="K865" s="278">
        <v>20.327322134095539</v>
      </c>
      <c r="L865" s="278">
        <f t="shared" si="318"/>
        <v>58.98141615128857</v>
      </c>
      <c r="M865" s="212"/>
      <c r="N865" s="212"/>
    </row>
    <row r="866" spans="1:14">
      <c r="A866" s="213" t="str">
        <f>name!E$11</f>
        <v>Process, plant and machine operatives</v>
      </c>
      <c r="B866" s="278">
        <v>0.8847092904679682</v>
      </c>
      <c r="C866" s="278">
        <v>6.0056756549436798</v>
      </c>
      <c r="D866" s="278">
        <f t="shared" si="316"/>
        <v>6.8903849454116477</v>
      </c>
      <c r="E866" s="279"/>
      <c r="F866" s="278">
        <v>0.78821832652432022</v>
      </c>
      <c r="G866" s="278">
        <v>5.7359561417852447</v>
      </c>
      <c r="H866" s="278">
        <f t="shared" si="317"/>
        <v>6.5241744683095648</v>
      </c>
      <c r="I866" s="279"/>
      <c r="J866" s="278">
        <v>1.384533970405357</v>
      </c>
      <c r="K866" s="278">
        <v>4.4798535316473993</v>
      </c>
      <c r="L866" s="278">
        <f t="shared" si="318"/>
        <v>5.8643875020527565</v>
      </c>
      <c r="M866" s="212"/>
      <c r="N866" s="212"/>
    </row>
    <row r="867" spans="1:14">
      <c r="A867" s="213" t="str">
        <f>name!E$12</f>
        <v>Elementary occupations</v>
      </c>
      <c r="B867" s="278">
        <v>12.69703005839362</v>
      </c>
      <c r="C867" s="278">
        <v>8.6491931302594853</v>
      </c>
      <c r="D867" s="278">
        <f t="shared" si="316"/>
        <v>21.346223188653106</v>
      </c>
      <c r="E867" s="279"/>
      <c r="F867" s="278">
        <v>10.37097142831275</v>
      </c>
      <c r="G867" s="278">
        <v>7.53286939779177</v>
      </c>
      <c r="H867" s="278">
        <f t="shared" si="317"/>
        <v>17.903840826104521</v>
      </c>
      <c r="I867" s="279"/>
      <c r="J867" s="278">
        <v>9.349010964480172</v>
      </c>
      <c r="K867" s="278">
        <v>7.7070908210510938</v>
      </c>
      <c r="L867" s="278">
        <f t="shared" si="318"/>
        <v>17.056101785531265</v>
      </c>
      <c r="M867" s="212"/>
      <c r="N867" s="212"/>
    </row>
    <row r="868" spans="1:14">
      <c r="A868" s="213"/>
      <c r="B868" s="278"/>
      <c r="C868" s="278"/>
      <c r="D868" s="278"/>
      <c r="E868" s="279"/>
      <c r="F868" s="278"/>
      <c r="G868" s="278"/>
      <c r="H868" s="278"/>
      <c r="I868" s="279"/>
      <c r="J868" s="278"/>
      <c r="K868" s="278"/>
      <c r="L868" s="278"/>
      <c r="M868" s="212"/>
      <c r="N868" s="212"/>
    </row>
    <row r="869" spans="1:14">
      <c r="A869" s="220" t="s">
        <v>119</v>
      </c>
      <c r="B869" s="282">
        <f>SUM(B859:B867)</f>
        <v>269.8820000002143</v>
      </c>
      <c r="C869" s="282">
        <f t="shared" ref="C869:D869" si="319">SUM(C859:C867)</f>
        <v>229.82699999820409</v>
      </c>
      <c r="D869" s="282">
        <f t="shared" si="319"/>
        <v>499.70899999841828</v>
      </c>
      <c r="E869" s="282"/>
      <c r="F869" s="282">
        <f t="shared" ref="F869:H869" si="320">SUM(F859:F867)</f>
        <v>292.98999999867215</v>
      </c>
      <c r="G869" s="282">
        <f t="shared" si="320"/>
        <v>273.0949999995471</v>
      </c>
      <c r="H869" s="282">
        <f t="shared" si="320"/>
        <v>566.08499999821925</v>
      </c>
      <c r="I869" s="282"/>
      <c r="J869" s="282">
        <f t="shared" ref="J869:L869" si="321">SUM(J859:J867)</f>
        <v>311.08200000519599</v>
      </c>
      <c r="K869" s="282">
        <f t="shared" si="321"/>
        <v>286.78200000052772</v>
      </c>
      <c r="L869" s="282">
        <f t="shared" si="321"/>
        <v>597.86400000572382</v>
      </c>
      <c r="M869" s="212"/>
      <c r="N869" s="212"/>
    </row>
    <row r="870" spans="1:14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6"/>
      <c r="M870" s="212"/>
      <c r="N870" s="212"/>
    </row>
    <row r="871" spans="1:14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32" t="s">
        <v>114</v>
      </c>
      <c r="M871" s="212"/>
      <c r="N871" s="212"/>
    </row>
    <row r="872" spans="1:14" ht="12.95">
      <c r="A872" s="218"/>
      <c r="B872" s="226"/>
      <c r="C872" s="226"/>
      <c r="D872" s="226"/>
      <c r="E872" s="226"/>
      <c r="F872" s="226"/>
      <c r="G872" s="226"/>
      <c r="H872" s="226"/>
      <c r="I872" s="226"/>
      <c r="J872" s="226"/>
      <c r="K872" s="226"/>
      <c r="L872" s="212"/>
      <c r="M872" s="212"/>
      <c r="N872" s="212"/>
    </row>
    <row r="873" spans="1:14" ht="12.95">
      <c r="A873" s="217" t="str">
        <f>name!A54</f>
        <v>Legal and accounting</v>
      </c>
      <c r="B873" s="367">
        <f>B$6</f>
        <v>2015</v>
      </c>
      <c r="C873" s="367"/>
      <c r="D873" s="367"/>
      <c r="E873" s="229"/>
      <c r="F873" s="367">
        <f>F$6</f>
        <v>2020</v>
      </c>
      <c r="G873" s="367"/>
      <c r="H873" s="367"/>
      <c r="I873" s="229"/>
      <c r="J873" s="367">
        <f>J$6</f>
        <v>2035</v>
      </c>
      <c r="K873" s="367"/>
      <c r="L873" s="367"/>
      <c r="M873" s="212"/>
      <c r="N873" s="212"/>
    </row>
    <row r="874" spans="1:14" ht="12.95">
      <c r="A874" s="230"/>
      <c r="B874" s="231" t="s">
        <v>173</v>
      </c>
      <c r="C874" s="231" t="s">
        <v>174</v>
      </c>
      <c r="D874" s="231" t="s">
        <v>119</v>
      </c>
      <c r="E874" s="231"/>
      <c r="F874" s="231" t="s">
        <v>173</v>
      </c>
      <c r="G874" s="231" t="s">
        <v>174</v>
      </c>
      <c r="H874" s="231" t="s">
        <v>119</v>
      </c>
      <c r="I874" s="231"/>
      <c r="J874" s="231" t="s">
        <v>173</v>
      </c>
      <c r="K874" s="231" t="s">
        <v>174</v>
      </c>
      <c r="L874" s="231" t="s">
        <v>119</v>
      </c>
      <c r="M874" s="212"/>
      <c r="N874" s="212"/>
    </row>
    <row r="875" spans="1:14" ht="12.95">
      <c r="A875" s="234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12"/>
      <c r="N875" s="212"/>
    </row>
    <row r="876" spans="1:14">
      <c r="A876" s="213" t="str">
        <f>name!E$4</f>
        <v>Managers, directors and senior officials</v>
      </c>
      <c r="B876" s="278">
        <v>36.451535966702941</v>
      </c>
      <c r="C876" s="278">
        <v>48.652250112097292</v>
      </c>
      <c r="D876" s="278">
        <f>SUM(B876:C876)</f>
        <v>85.103786078800226</v>
      </c>
      <c r="E876" s="279"/>
      <c r="F876" s="278">
        <v>46.784409222520438</v>
      </c>
      <c r="G876" s="278">
        <v>49.396681814879827</v>
      </c>
      <c r="H876" s="278">
        <f>SUM(F876:G876)</f>
        <v>96.181091037400265</v>
      </c>
      <c r="I876" s="279"/>
      <c r="J876" s="278">
        <v>51.914670759939042</v>
      </c>
      <c r="K876" s="278">
        <v>51.960735742580937</v>
      </c>
      <c r="L876" s="278">
        <f>SUM(J876:K876)</f>
        <v>103.87540650251998</v>
      </c>
      <c r="M876" s="212"/>
      <c r="N876" s="212"/>
    </row>
    <row r="877" spans="1:14">
      <c r="A877" s="213" t="str">
        <f>name!E$5</f>
        <v>Professional occupations</v>
      </c>
      <c r="B877" s="278">
        <v>101.94305952345513</v>
      </c>
      <c r="C877" s="278">
        <v>145.88955519238337</v>
      </c>
      <c r="D877" s="278">
        <f t="shared" ref="D877:D884" si="322">SUM(B877:C877)</f>
        <v>247.8326147158385</v>
      </c>
      <c r="E877" s="279"/>
      <c r="F877" s="278">
        <v>138.31671415602696</v>
      </c>
      <c r="G877" s="278">
        <v>155.19802165830467</v>
      </c>
      <c r="H877" s="278">
        <f t="shared" ref="H877:H884" si="323">SUM(F877:G877)</f>
        <v>293.51473581433163</v>
      </c>
      <c r="I877" s="279"/>
      <c r="J877" s="278">
        <v>171.90021035857953</v>
      </c>
      <c r="K877" s="278">
        <v>185.90284390549868</v>
      </c>
      <c r="L877" s="278">
        <f t="shared" ref="L877:L884" si="324">SUM(J877:K877)</f>
        <v>357.80305426407824</v>
      </c>
      <c r="M877" s="212"/>
      <c r="N877" s="212"/>
    </row>
    <row r="878" spans="1:14">
      <c r="A878" s="213" t="str">
        <f>name!E$6</f>
        <v>Associate professional occupations</v>
      </c>
      <c r="B878" s="278">
        <v>68.932916295588186</v>
      </c>
      <c r="C878" s="278">
        <v>61.807726624446303</v>
      </c>
      <c r="D878" s="278">
        <f t="shared" si="322"/>
        <v>130.74064292003447</v>
      </c>
      <c r="E878" s="279"/>
      <c r="F878" s="278">
        <v>78.155357507176078</v>
      </c>
      <c r="G878" s="278">
        <v>63.68030186360533</v>
      </c>
      <c r="H878" s="278">
        <f t="shared" si="323"/>
        <v>141.8356593707814</v>
      </c>
      <c r="I878" s="279"/>
      <c r="J878" s="278">
        <v>92.736888038103672</v>
      </c>
      <c r="K878" s="278">
        <v>66.766667033917969</v>
      </c>
      <c r="L878" s="278">
        <f t="shared" si="324"/>
        <v>159.50355507202164</v>
      </c>
      <c r="M878" s="212"/>
      <c r="N878" s="212"/>
    </row>
    <row r="879" spans="1:14">
      <c r="A879" s="213" t="str">
        <f>name!E$7</f>
        <v>Administrative and secretarial occupations</v>
      </c>
      <c r="B879" s="278">
        <v>116.71951790388927</v>
      </c>
      <c r="C879" s="278">
        <v>24.12343370033674</v>
      </c>
      <c r="D879" s="278">
        <f t="shared" si="322"/>
        <v>140.84295160422602</v>
      </c>
      <c r="E879" s="279"/>
      <c r="F879" s="278">
        <v>116.46813828082927</v>
      </c>
      <c r="G879" s="278">
        <v>25.663992352398839</v>
      </c>
      <c r="H879" s="278">
        <f t="shared" si="323"/>
        <v>142.13213063322812</v>
      </c>
      <c r="I879" s="279"/>
      <c r="J879" s="278">
        <v>95.09212726866437</v>
      </c>
      <c r="K879" s="278">
        <v>30.908282550320283</v>
      </c>
      <c r="L879" s="278">
        <f t="shared" si="324"/>
        <v>126.00040981898465</v>
      </c>
      <c r="M879" s="212"/>
      <c r="N879" s="212"/>
    </row>
    <row r="880" spans="1:14">
      <c r="A880" s="213" t="str">
        <f>name!E$8</f>
        <v>Skilled trades occupations</v>
      </c>
      <c r="B880" s="278">
        <v>2.6903740702660426</v>
      </c>
      <c r="C880" s="278">
        <v>13.797026633853523</v>
      </c>
      <c r="D880" s="278">
        <f t="shared" si="322"/>
        <v>16.487400704119565</v>
      </c>
      <c r="E880" s="279"/>
      <c r="F880" s="278">
        <v>3.0265922559972886</v>
      </c>
      <c r="G880" s="278">
        <v>9.3226782121965286</v>
      </c>
      <c r="H880" s="278">
        <f t="shared" si="323"/>
        <v>12.349270468193817</v>
      </c>
      <c r="I880" s="279"/>
      <c r="J880" s="278">
        <v>5.3204485624552227</v>
      </c>
      <c r="K880" s="278">
        <v>8.7582261594289719</v>
      </c>
      <c r="L880" s="278">
        <f t="shared" si="324"/>
        <v>14.078674721884195</v>
      </c>
      <c r="M880" s="212"/>
      <c r="N880" s="212"/>
    </row>
    <row r="881" spans="1:14">
      <c r="A881" s="213" t="str">
        <f>name!E$9</f>
        <v>Caring, leisure and other service occupations</v>
      </c>
      <c r="B881" s="278">
        <v>1.7670622927040802</v>
      </c>
      <c r="C881" s="278">
        <v>1.4048044145929952</v>
      </c>
      <c r="D881" s="278">
        <f t="shared" si="322"/>
        <v>3.1718667072970756</v>
      </c>
      <c r="E881" s="279"/>
      <c r="F881" s="278">
        <v>1.6538945256160478</v>
      </c>
      <c r="G881" s="278">
        <v>1.3646950388951982</v>
      </c>
      <c r="H881" s="278">
        <f t="shared" si="323"/>
        <v>3.0185895645112462</v>
      </c>
      <c r="I881" s="279"/>
      <c r="J881" s="278">
        <v>1.7223578087453919</v>
      </c>
      <c r="K881" s="278">
        <v>2.0960273256141937</v>
      </c>
      <c r="L881" s="278">
        <f t="shared" si="324"/>
        <v>3.8183851343595858</v>
      </c>
      <c r="M881" s="212"/>
      <c r="N881" s="212"/>
    </row>
    <row r="882" spans="1:14">
      <c r="A882" s="213" t="str">
        <f>name!E$10</f>
        <v>Sales and customer service occupations</v>
      </c>
      <c r="B882" s="278">
        <v>20.271140535797311</v>
      </c>
      <c r="C882" s="278">
        <v>7.437547326264597</v>
      </c>
      <c r="D882" s="278">
        <f t="shared" si="322"/>
        <v>27.708687862061907</v>
      </c>
      <c r="E882" s="279"/>
      <c r="F882" s="278">
        <v>19.048466569003317</v>
      </c>
      <c r="G882" s="278">
        <v>7.0022873941875456</v>
      </c>
      <c r="H882" s="278">
        <f t="shared" si="323"/>
        <v>26.050753963190864</v>
      </c>
      <c r="I882" s="279"/>
      <c r="J882" s="278">
        <v>18.120824404350049</v>
      </c>
      <c r="K882" s="278">
        <v>9.080359625600984</v>
      </c>
      <c r="L882" s="278">
        <f t="shared" si="324"/>
        <v>27.201184029951033</v>
      </c>
      <c r="M882" s="212"/>
      <c r="N882" s="212"/>
    </row>
    <row r="883" spans="1:14">
      <c r="A883" s="213" t="str">
        <f>name!E$11</f>
        <v>Process, plant and machine operatives</v>
      </c>
      <c r="B883" s="278">
        <v>1.6591028110666393</v>
      </c>
      <c r="C883" s="278">
        <v>4.9627273452912988</v>
      </c>
      <c r="D883" s="278">
        <f t="shared" si="322"/>
        <v>6.6218301563579383</v>
      </c>
      <c r="E883" s="279"/>
      <c r="F883" s="278">
        <v>1.4632338600983306</v>
      </c>
      <c r="G883" s="278">
        <v>3.9839026967462177</v>
      </c>
      <c r="H883" s="278">
        <f t="shared" si="323"/>
        <v>5.4471365568445478</v>
      </c>
      <c r="I883" s="279"/>
      <c r="J883" s="278">
        <v>2.2882966040734218</v>
      </c>
      <c r="K883" s="278">
        <v>3.9801187713616613</v>
      </c>
      <c r="L883" s="278">
        <f t="shared" si="324"/>
        <v>6.2684153754350831</v>
      </c>
      <c r="M883" s="212"/>
      <c r="N883" s="212"/>
    </row>
    <row r="884" spans="1:14">
      <c r="A884" s="213" t="str">
        <f>name!E$12</f>
        <v>Elementary occupations</v>
      </c>
      <c r="B884" s="278">
        <v>7.8272905960346018</v>
      </c>
      <c r="C884" s="278">
        <v>3.9499286460818728</v>
      </c>
      <c r="D884" s="278">
        <f t="shared" si="322"/>
        <v>11.777219242116475</v>
      </c>
      <c r="E884" s="279"/>
      <c r="F884" s="278">
        <v>6.6771936187710823</v>
      </c>
      <c r="G884" s="278">
        <v>3.1324389692145629</v>
      </c>
      <c r="H884" s="278">
        <f t="shared" si="323"/>
        <v>9.8096325879856447</v>
      </c>
      <c r="I884" s="279"/>
      <c r="J884" s="278">
        <v>8.4481762068779673</v>
      </c>
      <c r="K884" s="278">
        <v>3.2277388892899141</v>
      </c>
      <c r="L884" s="278">
        <f t="shared" si="324"/>
        <v>11.675915096167881</v>
      </c>
      <c r="M884" s="212"/>
      <c r="N884" s="212"/>
    </row>
    <row r="885" spans="1:14">
      <c r="A885" s="213"/>
      <c r="B885" s="278"/>
      <c r="C885" s="278"/>
      <c r="D885" s="278"/>
      <c r="E885" s="279"/>
      <c r="F885" s="278"/>
      <c r="G885" s="278"/>
      <c r="H885" s="278"/>
      <c r="I885" s="279"/>
      <c r="J885" s="278"/>
      <c r="K885" s="278"/>
      <c r="L885" s="278"/>
      <c r="M885" s="212"/>
      <c r="N885" s="212"/>
    </row>
    <row r="886" spans="1:14">
      <c r="A886" s="220" t="s">
        <v>119</v>
      </c>
      <c r="B886" s="282">
        <f>SUM(B876:B884)</f>
        <v>358.2619999955042</v>
      </c>
      <c r="C886" s="282">
        <f t="shared" ref="C886:D886" si="325">SUM(C876:C884)</f>
        <v>312.02499999534803</v>
      </c>
      <c r="D886" s="282">
        <f t="shared" si="325"/>
        <v>670.28699999085222</v>
      </c>
      <c r="E886" s="282"/>
      <c r="F886" s="282">
        <f t="shared" ref="F886:H886" si="326">SUM(F876:F884)</f>
        <v>411.59399999603886</v>
      </c>
      <c r="G886" s="282">
        <f t="shared" si="326"/>
        <v>318.74500000042872</v>
      </c>
      <c r="H886" s="282">
        <f t="shared" si="326"/>
        <v>730.33899999646758</v>
      </c>
      <c r="I886" s="282"/>
      <c r="J886" s="282">
        <f t="shared" ref="J886:L886" si="327">SUM(J876:J884)</f>
        <v>447.54400001178868</v>
      </c>
      <c r="K886" s="282">
        <f t="shared" si="327"/>
        <v>362.68100000361363</v>
      </c>
      <c r="L886" s="282">
        <f t="shared" si="327"/>
        <v>810.22500001540232</v>
      </c>
      <c r="M886" s="212"/>
      <c r="N886" s="212"/>
    </row>
    <row r="887" spans="1:14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6"/>
      <c r="M887" s="212"/>
      <c r="N887" s="212"/>
    </row>
    <row r="888" spans="1:14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32" t="s">
        <v>114</v>
      </c>
      <c r="M888" s="212"/>
      <c r="N888" s="212"/>
    </row>
    <row r="889" spans="1:14" ht="12.95">
      <c r="A889" s="218"/>
      <c r="B889" s="226"/>
      <c r="C889" s="226"/>
      <c r="D889" s="226"/>
      <c r="E889" s="226"/>
      <c r="F889" s="226"/>
      <c r="G889" s="226"/>
      <c r="H889" s="226"/>
      <c r="I889" s="226"/>
      <c r="J889" s="226"/>
      <c r="K889" s="226"/>
      <c r="L889" s="212"/>
      <c r="M889" s="212"/>
      <c r="N889" s="212"/>
    </row>
    <row r="890" spans="1:14" ht="12.95">
      <c r="A890" s="217" t="str">
        <f>name!A55</f>
        <v>Head offices, etc</v>
      </c>
      <c r="B890" s="367">
        <f>B$6</f>
        <v>2015</v>
      </c>
      <c r="C890" s="367"/>
      <c r="D890" s="367"/>
      <c r="E890" s="229"/>
      <c r="F890" s="367">
        <f>F$6</f>
        <v>2020</v>
      </c>
      <c r="G890" s="367"/>
      <c r="H890" s="367"/>
      <c r="I890" s="229"/>
      <c r="J890" s="367">
        <f>J$6</f>
        <v>2035</v>
      </c>
      <c r="K890" s="367"/>
      <c r="L890" s="367"/>
      <c r="M890" s="212"/>
      <c r="N890" s="212"/>
    </row>
    <row r="891" spans="1:14" ht="12.95">
      <c r="A891" s="230"/>
      <c r="B891" s="231" t="s">
        <v>173</v>
      </c>
      <c r="C891" s="231" t="s">
        <v>174</v>
      </c>
      <c r="D891" s="231" t="s">
        <v>119</v>
      </c>
      <c r="E891" s="231"/>
      <c r="F891" s="231" t="s">
        <v>173</v>
      </c>
      <c r="G891" s="231" t="s">
        <v>174</v>
      </c>
      <c r="H891" s="231" t="s">
        <v>119</v>
      </c>
      <c r="I891" s="231"/>
      <c r="J891" s="231" t="s">
        <v>173</v>
      </c>
      <c r="K891" s="231" t="s">
        <v>174</v>
      </c>
      <c r="L891" s="231" t="s">
        <v>119</v>
      </c>
      <c r="M891" s="212"/>
      <c r="N891" s="212"/>
    </row>
    <row r="892" spans="1:14" ht="12.95">
      <c r="A892" s="234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12"/>
      <c r="N892" s="212"/>
    </row>
    <row r="893" spans="1:14">
      <c r="A893" s="213" t="str">
        <f>name!E$4</f>
        <v>Managers, directors and senior officials</v>
      </c>
      <c r="B893" s="278">
        <v>37.072633213944812</v>
      </c>
      <c r="C893" s="278">
        <v>66.637359262807877</v>
      </c>
      <c r="D893" s="278">
        <f>SUM(B893:C893)</f>
        <v>103.70999247675269</v>
      </c>
      <c r="E893" s="279"/>
      <c r="F893" s="278">
        <v>42.723872907415391</v>
      </c>
      <c r="G893" s="278">
        <v>68.90394815027247</v>
      </c>
      <c r="H893" s="278">
        <f>SUM(F893:G893)</f>
        <v>111.62782105768787</v>
      </c>
      <c r="I893" s="279"/>
      <c r="J893" s="278">
        <v>49.051670347201252</v>
      </c>
      <c r="K893" s="278">
        <v>64.180657173474202</v>
      </c>
      <c r="L893" s="278">
        <f>SUM(J893:K893)</f>
        <v>113.23232752067545</v>
      </c>
      <c r="M893" s="212"/>
      <c r="N893" s="212"/>
    </row>
    <row r="894" spans="1:14">
      <c r="A894" s="213" t="str">
        <f>name!E$5</f>
        <v>Professional occupations</v>
      </c>
      <c r="B894" s="278">
        <v>100.76876001945311</v>
      </c>
      <c r="C894" s="278">
        <v>186.35805705675966</v>
      </c>
      <c r="D894" s="278">
        <f t="shared" ref="D894:D901" si="328">SUM(B894:C894)</f>
        <v>287.12681707621277</v>
      </c>
      <c r="E894" s="279"/>
      <c r="F894" s="278">
        <v>121.54011767235052</v>
      </c>
      <c r="G894" s="278">
        <v>207.78197788842149</v>
      </c>
      <c r="H894" s="278">
        <f t="shared" ref="H894:H901" si="329">SUM(F894:G894)</f>
        <v>329.32209556077203</v>
      </c>
      <c r="I894" s="279"/>
      <c r="J894" s="278">
        <v>153.2186549360658</v>
      </c>
      <c r="K894" s="278">
        <v>235.23365269483386</v>
      </c>
      <c r="L894" s="278">
        <f t="shared" ref="L894:L901" si="330">SUM(J894:K894)</f>
        <v>388.45230763089967</v>
      </c>
      <c r="M894" s="212"/>
      <c r="N894" s="212"/>
    </row>
    <row r="895" spans="1:14">
      <c r="A895" s="213" t="str">
        <f>name!E$6</f>
        <v>Associate professional occupations</v>
      </c>
      <c r="B895" s="278">
        <v>68.140400807730913</v>
      </c>
      <c r="C895" s="278">
        <v>83.031876902971959</v>
      </c>
      <c r="D895" s="278">
        <f t="shared" si="328"/>
        <v>151.17227771070287</v>
      </c>
      <c r="E895" s="279"/>
      <c r="F895" s="278">
        <v>68.513969670024736</v>
      </c>
      <c r="G895" s="278">
        <v>87.983942748072749</v>
      </c>
      <c r="H895" s="278">
        <f t="shared" si="329"/>
        <v>156.49791241809748</v>
      </c>
      <c r="I895" s="279"/>
      <c r="J895" s="278">
        <v>82.824296643602779</v>
      </c>
      <c r="K895" s="278">
        <v>82.994465119430259</v>
      </c>
      <c r="L895" s="278">
        <f t="shared" si="330"/>
        <v>165.81876176303302</v>
      </c>
      <c r="M895" s="212"/>
      <c r="N895" s="212"/>
    </row>
    <row r="896" spans="1:14">
      <c r="A896" s="213" t="str">
        <f>name!E$7</f>
        <v>Administrative and secretarial occupations</v>
      </c>
      <c r="B896" s="278">
        <v>120.90264560431221</v>
      </c>
      <c r="C896" s="278">
        <v>30.724174625220162</v>
      </c>
      <c r="D896" s="278">
        <f t="shared" si="328"/>
        <v>151.62682022953237</v>
      </c>
      <c r="E896" s="279"/>
      <c r="F896" s="278">
        <v>107.91071565255528</v>
      </c>
      <c r="G896" s="278">
        <v>36.802721471165945</v>
      </c>
      <c r="H896" s="278">
        <f t="shared" si="329"/>
        <v>144.71343712372123</v>
      </c>
      <c r="I896" s="279"/>
      <c r="J896" s="278">
        <v>91.596190936381745</v>
      </c>
      <c r="K896" s="278">
        <v>39.181007058155771</v>
      </c>
      <c r="L896" s="278">
        <f t="shared" si="330"/>
        <v>130.77719799453752</v>
      </c>
      <c r="M896" s="212"/>
      <c r="N896" s="212"/>
    </row>
    <row r="897" spans="1:14">
      <c r="A897" s="213" t="str">
        <f>name!E$8</f>
        <v>Skilled trades occupations</v>
      </c>
      <c r="B897" s="278">
        <v>2.6826736969237874</v>
      </c>
      <c r="C897" s="278">
        <v>18.585345614448634</v>
      </c>
      <c r="D897" s="278">
        <f t="shared" si="328"/>
        <v>21.26801931137242</v>
      </c>
      <c r="E897" s="279"/>
      <c r="F897" s="278">
        <v>2.6367282349789956</v>
      </c>
      <c r="G897" s="278">
        <v>13.020929521868846</v>
      </c>
      <c r="H897" s="278">
        <f t="shared" si="329"/>
        <v>15.657657756847842</v>
      </c>
      <c r="I897" s="279"/>
      <c r="J897" s="278">
        <v>4.6773720416760067</v>
      </c>
      <c r="K897" s="278">
        <v>10.687771804200601</v>
      </c>
      <c r="L897" s="278">
        <f t="shared" si="330"/>
        <v>15.365143845876608</v>
      </c>
      <c r="M897" s="212"/>
      <c r="N897" s="212"/>
    </row>
    <row r="898" spans="1:14">
      <c r="A898" s="213" t="str">
        <f>name!E$9</f>
        <v>Caring, leisure and other service occupations</v>
      </c>
      <c r="B898" s="278">
        <v>1.7254063621955309</v>
      </c>
      <c r="C898" s="278">
        <v>1.497738688402019</v>
      </c>
      <c r="D898" s="278">
        <f t="shared" si="328"/>
        <v>3.2231450505975499</v>
      </c>
      <c r="E898" s="279"/>
      <c r="F898" s="278">
        <v>1.4299746014291606</v>
      </c>
      <c r="G898" s="278">
        <v>1.479647006629256</v>
      </c>
      <c r="H898" s="278">
        <f t="shared" si="329"/>
        <v>2.9096216080584165</v>
      </c>
      <c r="I898" s="279"/>
      <c r="J898" s="278">
        <v>1.4028082005498286</v>
      </c>
      <c r="K898" s="278">
        <v>1.9477659515638661</v>
      </c>
      <c r="L898" s="278">
        <f t="shared" si="330"/>
        <v>3.3505741521136949</v>
      </c>
      <c r="M898" s="212"/>
      <c r="N898" s="212"/>
    </row>
    <row r="899" spans="1:14">
      <c r="A899" s="213" t="str">
        <f>name!E$10</f>
        <v>Sales and customer service occupations</v>
      </c>
      <c r="B899" s="278">
        <v>19.824353332755027</v>
      </c>
      <c r="C899" s="278">
        <v>9.7712680689076521</v>
      </c>
      <c r="D899" s="278">
        <f t="shared" si="328"/>
        <v>29.59562140166268</v>
      </c>
      <c r="E899" s="279"/>
      <c r="F899" s="278">
        <v>17.03750574296237</v>
      </c>
      <c r="G899" s="278">
        <v>9.5824105525723393</v>
      </c>
      <c r="H899" s="278">
        <f t="shared" si="329"/>
        <v>26.619916295534708</v>
      </c>
      <c r="I899" s="279"/>
      <c r="J899" s="278">
        <v>16.723210103886469</v>
      </c>
      <c r="K899" s="278">
        <v>11.563674230295216</v>
      </c>
      <c r="L899" s="278">
        <f t="shared" si="330"/>
        <v>28.286884334181686</v>
      </c>
      <c r="M899" s="212"/>
      <c r="N899" s="212"/>
    </row>
    <row r="900" spans="1:14">
      <c r="A900" s="213" t="str">
        <f>name!E$11</f>
        <v>Process, plant and machine operatives</v>
      </c>
      <c r="B900" s="278">
        <v>1.784402499507179</v>
      </c>
      <c r="C900" s="278">
        <v>6.8865686160691872</v>
      </c>
      <c r="D900" s="278">
        <f t="shared" si="328"/>
        <v>8.670971115576366</v>
      </c>
      <c r="E900" s="279"/>
      <c r="F900" s="278">
        <v>1.3075927194076282</v>
      </c>
      <c r="G900" s="278">
        <v>5.7334109752060014</v>
      </c>
      <c r="H900" s="278">
        <f t="shared" si="329"/>
        <v>7.0410036946136296</v>
      </c>
      <c r="I900" s="279"/>
      <c r="J900" s="278">
        <v>2.0498154574470981</v>
      </c>
      <c r="K900" s="278">
        <v>5.1303171235711362</v>
      </c>
      <c r="L900" s="278">
        <f t="shared" si="330"/>
        <v>7.1801325810182348</v>
      </c>
      <c r="M900" s="212"/>
      <c r="N900" s="212"/>
    </row>
    <row r="901" spans="1:14">
      <c r="A901" s="213" t="str">
        <f>name!E$12</f>
        <v>Elementary occupations</v>
      </c>
      <c r="B901" s="278">
        <v>8.1897244588222726</v>
      </c>
      <c r="C901" s="278">
        <v>5.4806111572249776</v>
      </c>
      <c r="D901" s="278">
        <f t="shared" si="328"/>
        <v>13.67033561604725</v>
      </c>
      <c r="E901" s="279"/>
      <c r="F901" s="278">
        <v>6.168522795620607</v>
      </c>
      <c r="G901" s="278">
        <v>4.5350116846212591</v>
      </c>
      <c r="H901" s="278">
        <f t="shared" si="329"/>
        <v>10.703534480241867</v>
      </c>
      <c r="I901" s="279"/>
      <c r="J901" s="278">
        <v>7.4219813436636635</v>
      </c>
      <c r="K901" s="278">
        <v>4.2116888457864912</v>
      </c>
      <c r="L901" s="278">
        <f t="shared" si="330"/>
        <v>11.633670189450154</v>
      </c>
      <c r="M901" s="212"/>
      <c r="N901" s="212"/>
    </row>
    <row r="902" spans="1:14">
      <c r="A902" s="213"/>
      <c r="B902" s="278"/>
      <c r="C902" s="278"/>
      <c r="D902" s="278"/>
      <c r="E902" s="279"/>
      <c r="F902" s="278"/>
      <c r="G902" s="278"/>
      <c r="H902" s="278"/>
      <c r="I902" s="279"/>
      <c r="J902" s="278"/>
      <c r="K902" s="278"/>
      <c r="L902" s="278"/>
      <c r="M902" s="212"/>
      <c r="N902" s="212"/>
    </row>
    <row r="903" spans="1:14">
      <c r="A903" s="220" t="s">
        <v>119</v>
      </c>
      <c r="B903" s="282">
        <f>SUM(B893:B901)</f>
        <v>361.09099999564489</v>
      </c>
      <c r="C903" s="282">
        <f t="shared" ref="C903:D903" si="331">SUM(C893:C901)</f>
        <v>408.97299999281211</v>
      </c>
      <c r="D903" s="282">
        <f t="shared" si="331"/>
        <v>770.06399998845689</v>
      </c>
      <c r="E903" s="282"/>
      <c r="F903" s="282">
        <f t="shared" ref="F903:H903" si="332">SUM(F893:F901)</f>
        <v>369.26899999674464</v>
      </c>
      <c r="G903" s="282">
        <f t="shared" si="332"/>
        <v>435.82399999883046</v>
      </c>
      <c r="H903" s="282">
        <f t="shared" si="332"/>
        <v>805.09299999557493</v>
      </c>
      <c r="I903" s="282"/>
      <c r="J903" s="282">
        <f t="shared" ref="J903:L903" si="333">SUM(J893:J901)</f>
        <v>408.9660000104746</v>
      </c>
      <c r="K903" s="282">
        <f t="shared" si="333"/>
        <v>455.13100000131141</v>
      </c>
      <c r="L903" s="282">
        <f t="shared" si="333"/>
        <v>864.09700001178612</v>
      </c>
      <c r="M903" s="212"/>
      <c r="N903" s="212"/>
    </row>
    <row r="904" spans="1:14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6"/>
      <c r="M904" s="212"/>
      <c r="N904" s="212"/>
    </row>
    <row r="905" spans="1:14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32" t="s">
        <v>114</v>
      </c>
      <c r="M905" s="212"/>
      <c r="N905" s="212"/>
    </row>
    <row r="906" spans="1:14" ht="12.95">
      <c r="A906" s="218"/>
      <c r="B906" s="226"/>
      <c r="C906" s="226"/>
      <c r="D906" s="226"/>
      <c r="E906" s="226"/>
      <c r="F906" s="226"/>
      <c r="G906" s="226"/>
      <c r="H906" s="226"/>
      <c r="I906" s="226"/>
      <c r="J906" s="226"/>
      <c r="K906" s="226"/>
      <c r="L906" s="212"/>
      <c r="M906" s="212"/>
      <c r="N906" s="212"/>
    </row>
    <row r="907" spans="1:14" ht="12.95">
      <c r="A907" s="217" t="str">
        <f>name!A56</f>
        <v>Architectural and related</v>
      </c>
      <c r="B907" s="367">
        <f>B$6</f>
        <v>2015</v>
      </c>
      <c r="C907" s="367"/>
      <c r="D907" s="367"/>
      <c r="E907" s="229"/>
      <c r="F907" s="367">
        <f>F$6</f>
        <v>2020</v>
      </c>
      <c r="G907" s="367"/>
      <c r="H907" s="367"/>
      <c r="I907" s="229"/>
      <c r="J907" s="367">
        <f>J$6</f>
        <v>2035</v>
      </c>
      <c r="K907" s="367"/>
      <c r="L907" s="367"/>
      <c r="M907" s="212"/>
      <c r="N907" s="212"/>
    </row>
    <row r="908" spans="1:14" ht="12.95">
      <c r="A908" s="230"/>
      <c r="B908" s="231" t="s">
        <v>173</v>
      </c>
      <c r="C908" s="231" t="s">
        <v>174</v>
      </c>
      <c r="D908" s="231" t="s">
        <v>119</v>
      </c>
      <c r="E908" s="231"/>
      <c r="F908" s="231" t="s">
        <v>173</v>
      </c>
      <c r="G908" s="231" t="s">
        <v>174</v>
      </c>
      <c r="H908" s="231" t="s">
        <v>119</v>
      </c>
      <c r="I908" s="231"/>
      <c r="J908" s="231" t="s">
        <v>173</v>
      </c>
      <c r="K908" s="231" t="s">
        <v>174</v>
      </c>
      <c r="L908" s="231" t="s">
        <v>119</v>
      </c>
      <c r="M908" s="212"/>
      <c r="N908" s="212"/>
    </row>
    <row r="909" spans="1:14" ht="12.95">
      <c r="A909" s="234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12"/>
      <c r="N909" s="212"/>
    </row>
    <row r="910" spans="1:14">
      <c r="A910" s="213" t="str">
        <f>name!E$4</f>
        <v>Managers, directors and senior officials</v>
      </c>
      <c r="B910" s="278">
        <v>14.423344188177667</v>
      </c>
      <c r="C910" s="278">
        <v>54.887442647453931</v>
      </c>
      <c r="D910" s="278">
        <f>SUM(B910:C910)</f>
        <v>69.310786835631603</v>
      </c>
      <c r="E910" s="279"/>
      <c r="F910" s="278">
        <v>17.415229288515086</v>
      </c>
      <c r="G910" s="278">
        <v>64.505613068968103</v>
      </c>
      <c r="H910" s="278">
        <f>SUM(F910:G910)</f>
        <v>81.920842357483195</v>
      </c>
      <c r="I910" s="279"/>
      <c r="J910" s="278">
        <v>19.078987300206119</v>
      </c>
      <c r="K910" s="278">
        <v>57.375893936860898</v>
      </c>
      <c r="L910" s="278">
        <f>SUM(J910:K910)</f>
        <v>76.454881237067013</v>
      </c>
      <c r="M910" s="212"/>
      <c r="N910" s="212"/>
    </row>
    <row r="911" spans="1:14">
      <c r="A911" s="213" t="str">
        <f>name!E$5</f>
        <v>Professional occupations</v>
      </c>
      <c r="B911" s="278">
        <v>39.476727198672755</v>
      </c>
      <c r="C911" s="278">
        <v>158.54748756378942</v>
      </c>
      <c r="D911" s="278">
        <f t="shared" ref="D911:D918" si="334">SUM(B911:C911)</f>
        <v>198.02421476246218</v>
      </c>
      <c r="E911" s="279"/>
      <c r="F911" s="278">
        <v>52.097674071069882</v>
      </c>
      <c r="G911" s="278">
        <v>201.3855296251871</v>
      </c>
      <c r="H911" s="278">
        <f t="shared" ref="H911:H918" si="335">SUM(F911:G911)</f>
        <v>253.48320369625699</v>
      </c>
      <c r="I911" s="279"/>
      <c r="J911" s="278">
        <v>66.585969498306582</v>
      </c>
      <c r="K911" s="278">
        <v>213.61555557351497</v>
      </c>
      <c r="L911" s="278">
        <f t="shared" ref="L911:L918" si="336">SUM(J911:K911)</f>
        <v>280.20152507182155</v>
      </c>
      <c r="M911" s="212"/>
      <c r="N911" s="212"/>
    </row>
    <row r="912" spans="1:14">
      <c r="A912" s="213" t="str">
        <f>name!E$6</f>
        <v>Associate professional occupations</v>
      </c>
      <c r="B912" s="278">
        <v>26.94229183540218</v>
      </c>
      <c r="C912" s="278">
        <v>68.057134444347142</v>
      </c>
      <c r="D912" s="278">
        <f t="shared" si="334"/>
        <v>94.999426279749315</v>
      </c>
      <c r="E912" s="279"/>
      <c r="F912" s="278">
        <v>29.36366564231998</v>
      </c>
      <c r="G912" s="278">
        <v>82.198921768934127</v>
      </c>
      <c r="H912" s="278">
        <f t="shared" si="335"/>
        <v>111.5625874112541</v>
      </c>
      <c r="I912" s="279"/>
      <c r="J912" s="278">
        <v>35.415659904086603</v>
      </c>
      <c r="K912" s="278">
        <v>74.694182216266285</v>
      </c>
      <c r="L912" s="278">
        <f t="shared" si="336"/>
        <v>110.10984212035288</v>
      </c>
      <c r="M912" s="212"/>
      <c r="N912" s="212"/>
    </row>
    <row r="913" spans="1:14">
      <c r="A913" s="213" t="str">
        <f>name!E$7</f>
        <v>Administrative and secretarial occupations</v>
      </c>
      <c r="B913" s="278">
        <v>49.416499807412954</v>
      </c>
      <c r="C913" s="278">
        <v>27.498201592277013</v>
      </c>
      <c r="D913" s="278">
        <f t="shared" si="334"/>
        <v>76.91470139968996</v>
      </c>
      <c r="E913" s="279"/>
      <c r="F913" s="278">
        <v>43.523725258013464</v>
      </c>
      <c r="G913" s="278">
        <v>32.970244695065176</v>
      </c>
      <c r="H913" s="278">
        <f t="shared" si="335"/>
        <v>76.493969953078647</v>
      </c>
      <c r="I913" s="279"/>
      <c r="J913" s="278">
        <v>34.387308110726075</v>
      </c>
      <c r="K913" s="278">
        <v>36.588243614512535</v>
      </c>
      <c r="L913" s="278">
        <f t="shared" si="336"/>
        <v>70.975551725238603</v>
      </c>
      <c r="M913" s="212"/>
      <c r="N913" s="212"/>
    </row>
    <row r="914" spans="1:14">
      <c r="A914" s="213" t="str">
        <f>name!E$8</f>
        <v>Skilled trades occupations</v>
      </c>
      <c r="B914" s="278">
        <v>1.0649201871807064</v>
      </c>
      <c r="C914" s="278">
        <v>16.681720511956183</v>
      </c>
      <c r="D914" s="278">
        <f t="shared" si="334"/>
        <v>17.74664069913689</v>
      </c>
      <c r="E914" s="279"/>
      <c r="F914" s="278">
        <v>1.1261558029634573</v>
      </c>
      <c r="G914" s="278">
        <v>13.188204649841145</v>
      </c>
      <c r="H914" s="278">
        <f t="shared" si="335"/>
        <v>14.314360452804603</v>
      </c>
      <c r="I914" s="279"/>
      <c r="J914" s="278">
        <v>2.0841278065476194</v>
      </c>
      <c r="K914" s="278">
        <v>10.12816382306837</v>
      </c>
      <c r="L914" s="278">
        <f t="shared" si="336"/>
        <v>12.21229162961599</v>
      </c>
      <c r="M914" s="212"/>
      <c r="N914" s="212"/>
    </row>
    <row r="915" spans="1:14">
      <c r="A915" s="213" t="str">
        <f>name!E$9</f>
        <v>Caring, leisure and other service occupations</v>
      </c>
      <c r="B915" s="278">
        <v>0.70027780233209935</v>
      </c>
      <c r="C915" s="278">
        <v>1.408667285702816</v>
      </c>
      <c r="D915" s="278">
        <f t="shared" si="334"/>
        <v>2.1089450880349152</v>
      </c>
      <c r="E915" s="279"/>
      <c r="F915" s="278">
        <v>0.60530554371140655</v>
      </c>
      <c r="G915" s="278">
        <v>1.5790310992292098</v>
      </c>
      <c r="H915" s="278">
        <f t="shared" si="335"/>
        <v>2.1843366429406164</v>
      </c>
      <c r="I915" s="279"/>
      <c r="J915" s="278">
        <v>0.61100131804019364</v>
      </c>
      <c r="K915" s="278">
        <v>2.0628167191476074</v>
      </c>
      <c r="L915" s="278">
        <f t="shared" si="336"/>
        <v>2.6738180371878011</v>
      </c>
      <c r="M915" s="212"/>
      <c r="N915" s="212"/>
    </row>
    <row r="916" spans="1:14">
      <c r="A916" s="213" t="str">
        <f>name!E$10</f>
        <v>Sales and customer service occupations</v>
      </c>
      <c r="B916" s="278">
        <v>8.5592789239354143</v>
      </c>
      <c r="C916" s="278">
        <v>7.9235824772203021</v>
      </c>
      <c r="D916" s="278">
        <f t="shared" si="334"/>
        <v>16.482861401155716</v>
      </c>
      <c r="E916" s="279"/>
      <c r="F916" s="278">
        <v>7.23768230051237</v>
      </c>
      <c r="G916" s="278">
        <v>8.231393167515451</v>
      </c>
      <c r="H916" s="278">
        <f t="shared" si="335"/>
        <v>15.469075468027821</v>
      </c>
      <c r="I916" s="279"/>
      <c r="J916" s="278">
        <v>6.9429476562551082</v>
      </c>
      <c r="K916" s="278">
        <v>9.1856381140418133</v>
      </c>
      <c r="L916" s="278">
        <f t="shared" si="336"/>
        <v>16.128585770296922</v>
      </c>
      <c r="M916" s="212"/>
      <c r="N916" s="212"/>
    </row>
    <row r="917" spans="1:14">
      <c r="A917" s="213" t="str">
        <f>name!E$11</f>
        <v>Process, plant and machine operatives</v>
      </c>
      <c r="B917" s="278">
        <v>0.62405207132832852</v>
      </c>
      <c r="C917" s="278">
        <v>6.5411551886636952</v>
      </c>
      <c r="D917" s="278">
        <f t="shared" si="334"/>
        <v>7.165207259992024</v>
      </c>
      <c r="E917" s="279"/>
      <c r="F917" s="278">
        <v>0.49433654669720856</v>
      </c>
      <c r="G917" s="278">
        <v>5.4990373151597458</v>
      </c>
      <c r="H917" s="278">
        <f t="shared" si="335"/>
        <v>5.9933738618569548</v>
      </c>
      <c r="I917" s="279"/>
      <c r="J917" s="278">
        <v>0.71118727906085588</v>
      </c>
      <c r="K917" s="278">
        <v>4.5324334873907519</v>
      </c>
      <c r="L917" s="278">
        <f t="shared" si="336"/>
        <v>5.2436207664516079</v>
      </c>
      <c r="M917" s="212"/>
      <c r="N917" s="212"/>
    </row>
    <row r="918" spans="1:14">
      <c r="A918" s="213" t="str">
        <f>name!E$12</f>
        <v>Elementary occupations</v>
      </c>
      <c r="B918" s="278">
        <v>3.1786079837702443</v>
      </c>
      <c r="C918" s="278">
        <v>4.7446082836230961</v>
      </c>
      <c r="D918" s="278">
        <f t="shared" si="334"/>
        <v>7.9232162673933404</v>
      </c>
      <c r="E918" s="279"/>
      <c r="F918" s="278">
        <v>2.5022255445763792</v>
      </c>
      <c r="G918" s="278">
        <v>4.156024607862121</v>
      </c>
      <c r="H918" s="278">
        <f t="shared" si="335"/>
        <v>6.6582501524384998</v>
      </c>
      <c r="I918" s="279"/>
      <c r="J918" s="278">
        <v>2.8938111317198008</v>
      </c>
      <c r="K918" s="278">
        <v>3.6610725163036606</v>
      </c>
      <c r="L918" s="278">
        <f t="shared" si="336"/>
        <v>6.5548836480234609</v>
      </c>
      <c r="M918" s="212"/>
      <c r="N918" s="212"/>
    </row>
    <row r="919" spans="1:14">
      <c r="A919" s="213"/>
      <c r="B919" s="278"/>
      <c r="C919" s="278"/>
      <c r="D919" s="278"/>
      <c r="E919" s="279"/>
      <c r="F919" s="278"/>
      <c r="G919" s="278"/>
      <c r="H919" s="278"/>
      <c r="I919" s="279"/>
      <c r="J919" s="278"/>
      <c r="K919" s="278"/>
      <c r="L919" s="278"/>
      <c r="M919" s="212"/>
      <c r="N919" s="212"/>
    </row>
    <row r="920" spans="1:14">
      <c r="A920" s="220" t="s">
        <v>119</v>
      </c>
      <c r="B920" s="282">
        <f>SUM(B910:B918)</f>
        <v>144.38599999821233</v>
      </c>
      <c r="C920" s="282">
        <f t="shared" ref="C920:D920" si="337">SUM(C910:C918)</f>
        <v>346.28999999503355</v>
      </c>
      <c r="D920" s="282">
        <f t="shared" si="337"/>
        <v>490.67599999324597</v>
      </c>
      <c r="E920" s="282"/>
      <c r="F920" s="282">
        <f t="shared" ref="F920:H920" si="338">SUM(F910:F918)</f>
        <v>154.36599999837927</v>
      </c>
      <c r="G920" s="282">
        <f t="shared" si="338"/>
        <v>413.71399999776219</v>
      </c>
      <c r="H920" s="282">
        <f t="shared" si="338"/>
        <v>568.0799999961414</v>
      </c>
      <c r="I920" s="282"/>
      <c r="J920" s="282">
        <f t="shared" ref="J920:L920" si="339">SUM(J910:J918)</f>
        <v>168.71100000494897</v>
      </c>
      <c r="K920" s="282">
        <f t="shared" si="339"/>
        <v>411.84400000110679</v>
      </c>
      <c r="L920" s="282">
        <f t="shared" si="339"/>
        <v>580.55500000605582</v>
      </c>
      <c r="M920" s="212"/>
      <c r="N920" s="212"/>
    </row>
    <row r="921" spans="1:14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6"/>
      <c r="M921" s="212"/>
      <c r="N921" s="212"/>
    </row>
    <row r="922" spans="1:14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32" t="s">
        <v>114</v>
      </c>
      <c r="M922" s="212"/>
      <c r="N922" s="212"/>
    </row>
    <row r="923" spans="1:14" ht="12.95">
      <c r="A923" s="218"/>
      <c r="B923" s="226"/>
      <c r="C923" s="226"/>
      <c r="D923" s="226"/>
      <c r="E923" s="226"/>
      <c r="F923" s="226"/>
      <c r="G923" s="226"/>
      <c r="H923" s="226"/>
      <c r="I923" s="226"/>
      <c r="J923" s="226"/>
      <c r="K923" s="226"/>
      <c r="L923" s="212"/>
      <c r="M923" s="212"/>
      <c r="N923" s="212"/>
    </row>
    <row r="924" spans="1:14" ht="12.95">
      <c r="A924" s="217" t="str">
        <f>name!A57</f>
        <v>Scientific research and development</v>
      </c>
      <c r="B924" s="367">
        <f>B$6</f>
        <v>2015</v>
      </c>
      <c r="C924" s="367"/>
      <c r="D924" s="367"/>
      <c r="E924" s="229"/>
      <c r="F924" s="367">
        <f>F$6</f>
        <v>2020</v>
      </c>
      <c r="G924" s="367"/>
      <c r="H924" s="367"/>
      <c r="I924" s="229"/>
      <c r="J924" s="367">
        <f>J$6</f>
        <v>2035</v>
      </c>
      <c r="K924" s="367"/>
      <c r="L924" s="367"/>
      <c r="M924" s="212"/>
      <c r="N924" s="212"/>
    </row>
    <row r="925" spans="1:14" ht="12.95">
      <c r="A925" s="230"/>
      <c r="B925" s="231" t="s">
        <v>173</v>
      </c>
      <c r="C925" s="231" t="s">
        <v>174</v>
      </c>
      <c r="D925" s="231" t="s">
        <v>119</v>
      </c>
      <c r="E925" s="231"/>
      <c r="F925" s="231" t="s">
        <v>173</v>
      </c>
      <c r="G925" s="231" t="s">
        <v>174</v>
      </c>
      <c r="H925" s="231" t="s">
        <v>119</v>
      </c>
      <c r="I925" s="231"/>
      <c r="J925" s="231" t="s">
        <v>173</v>
      </c>
      <c r="K925" s="231" t="s">
        <v>174</v>
      </c>
      <c r="L925" s="231" t="s">
        <v>119</v>
      </c>
      <c r="M925" s="212"/>
      <c r="N925" s="212"/>
    </row>
    <row r="926" spans="1:14" ht="12.95">
      <c r="A926" s="234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12"/>
      <c r="N926" s="212"/>
    </row>
    <row r="927" spans="1:14">
      <c r="A927" s="213" t="str">
        <f>name!E$4</f>
        <v>Managers, directors and senior officials</v>
      </c>
      <c r="B927" s="278">
        <v>4.2774203660160079</v>
      </c>
      <c r="C927" s="278">
        <v>12.242182023601524</v>
      </c>
      <c r="D927" s="278">
        <f>SUM(B927:C927)</f>
        <v>16.519602389617532</v>
      </c>
      <c r="E927" s="279"/>
      <c r="F927" s="278">
        <v>4.9589783082954053</v>
      </c>
      <c r="G927" s="278">
        <v>12.794116280905795</v>
      </c>
      <c r="H927" s="278">
        <f>SUM(F927:G927)</f>
        <v>17.753094589201201</v>
      </c>
      <c r="I927" s="279"/>
      <c r="J927" s="278">
        <v>5.704042978661569</v>
      </c>
      <c r="K927" s="278">
        <v>14.740408170705134</v>
      </c>
      <c r="L927" s="278">
        <f>SUM(J927:K927)</f>
        <v>20.444451149366703</v>
      </c>
      <c r="M927" s="212"/>
      <c r="N927" s="212"/>
    </row>
    <row r="928" spans="1:14">
      <c r="A928" s="213" t="str">
        <f>name!E$5</f>
        <v>Professional occupations</v>
      </c>
      <c r="B928" s="278">
        <v>20.438675235927466</v>
      </c>
      <c r="C928" s="278">
        <v>56.034322507550684</v>
      </c>
      <c r="D928" s="278">
        <f t="shared" ref="D928:D935" si="340">SUM(B928:C928)</f>
        <v>76.472997743478146</v>
      </c>
      <c r="E928" s="279"/>
      <c r="F928" s="278">
        <v>24.188679079921805</v>
      </c>
      <c r="G928" s="278">
        <v>60.415717375653536</v>
      </c>
      <c r="H928" s="278">
        <f t="shared" ref="H928:H935" si="341">SUM(F928:G928)</f>
        <v>84.60439645557534</v>
      </c>
      <c r="I928" s="279"/>
      <c r="J928" s="278">
        <v>34.475620164991987</v>
      </c>
      <c r="K928" s="278">
        <v>77.644223639340325</v>
      </c>
      <c r="L928" s="278">
        <f t="shared" ref="L928:L935" si="342">SUM(J928:K928)</f>
        <v>112.11984380433231</v>
      </c>
      <c r="M928" s="212"/>
      <c r="N928" s="212"/>
    </row>
    <row r="929" spans="1:14">
      <c r="A929" s="213" t="str">
        <f>name!E$6</f>
        <v>Associate professional occupations</v>
      </c>
      <c r="B929" s="278">
        <v>6.775794409905866</v>
      </c>
      <c r="C929" s="278">
        <v>13.202918835631381</v>
      </c>
      <c r="D929" s="278">
        <f t="shared" si="340"/>
        <v>19.978713245537246</v>
      </c>
      <c r="E929" s="279"/>
      <c r="F929" s="278">
        <v>7.3618326006114421</v>
      </c>
      <c r="G929" s="278">
        <v>14.245914842675898</v>
      </c>
      <c r="H929" s="278">
        <f t="shared" si="341"/>
        <v>21.607747443287341</v>
      </c>
      <c r="I929" s="279"/>
      <c r="J929" s="278">
        <v>9.4020956186521953</v>
      </c>
      <c r="K929" s="278">
        <v>15.600818592556475</v>
      </c>
      <c r="L929" s="278">
        <f t="shared" si="342"/>
        <v>25.002914211208669</v>
      </c>
      <c r="M929" s="212"/>
      <c r="N929" s="212"/>
    </row>
    <row r="930" spans="1:14">
      <c r="A930" s="213" t="str">
        <f>name!E$7</f>
        <v>Administrative and secretarial occupations</v>
      </c>
      <c r="B930" s="278">
        <v>7.2973360372337739</v>
      </c>
      <c r="C930" s="278">
        <v>3.489370408381903</v>
      </c>
      <c r="D930" s="278">
        <f t="shared" si="340"/>
        <v>10.786706445615676</v>
      </c>
      <c r="E930" s="279"/>
      <c r="F930" s="278">
        <v>6.5860206412370106</v>
      </c>
      <c r="G930" s="278">
        <v>3.0553195814512217</v>
      </c>
      <c r="H930" s="278">
        <f t="shared" si="341"/>
        <v>9.6413402226882319</v>
      </c>
      <c r="I930" s="279"/>
      <c r="J930" s="278">
        <v>5.7482982025524736</v>
      </c>
      <c r="K930" s="278">
        <v>4.0156702582460024</v>
      </c>
      <c r="L930" s="278">
        <f t="shared" si="342"/>
        <v>9.7639684607984769</v>
      </c>
      <c r="M930" s="212"/>
      <c r="N930" s="212"/>
    </row>
    <row r="931" spans="1:14">
      <c r="A931" s="213" t="str">
        <f>name!E$8</f>
        <v>Skilled trades occupations</v>
      </c>
      <c r="B931" s="278">
        <v>0.64486443313863773</v>
      </c>
      <c r="C931" s="278">
        <v>5.3592205744583881</v>
      </c>
      <c r="D931" s="278">
        <f t="shared" si="340"/>
        <v>6.004085007597026</v>
      </c>
      <c r="E931" s="279"/>
      <c r="F931" s="278">
        <v>0.61076250387723063</v>
      </c>
      <c r="G931" s="278">
        <v>3.6678186826567631</v>
      </c>
      <c r="H931" s="278">
        <f t="shared" si="341"/>
        <v>4.2785811865339936</v>
      </c>
      <c r="I931" s="279"/>
      <c r="J931" s="278">
        <v>0.89106848226912327</v>
      </c>
      <c r="K931" s="278">
        <v>4.0645801246473541</v>
      </c>
      <c r="L931" s="278">
        <f t="shared" si="342"/>
        <v>4.9556486069164771</v>
      </c>
      <c r="M931" s="212"/>
      <c r="N931" s="212"/>
    </row>
    <row r="932" spans="1:14">
      <c r="A932" s="213" t="str">
        <f>name!E$9</f>
        <v>Caring, leisure and other service occupations</v>
      </c>
      <c r="B932" s="278">
        <v>2.6829404960843983</v>
      </c>
      <c r="C932" s="278">
        <v>1.3948614654185902</v>
      </c>
      <c r="D932" s="278">
        <f t="shared" si="340"/>
        <v>4.0778019615029883</v>
      </c>
      <c r="E932" s="279"/>
      <c r="F932" s="278">
        <v>2.5099297757324068</v>
      </c>
      <c r="G932" s="278">
        <v>1.2656600437763876</v>
      </c>
      <c r="H932" s="278">
        <f t="shared" si="341"/>
        <v>3.7755898195087942</v>
      </c>
      <c r="I932" s="279"/>
      <c r="J932" s="278">
        <v>3.8881103773988803</v>
      </c>
      <c r="K932" s="278">
        <v>1.5880064878007774</v>
      </c>
      <c r="L932" s="278">
        <f t="shared" si="342"/>
        <v>5.4761168651996579</v>
      </c>
      <c r="M932" s="212"/>
      <c r="N932" s="212"/>
    </row>
    <row r="933" spans="1:14">
      <c r="A933" s="213" t="str">
        <f>name!E$10</f>
        <v>Sales and customer service occupations</v>
      </c>
      <c r="B933" s="278">
        <v>1.8378457306698532</v>
      </c>
      <c r="C933" s="278">
        <v>2.1882643937337427</v>
      </c>
      <c r="D933" s="278">
        <f t="shared" si="340"/>
        <v>4.0261101244035959</v>
      </c>
      <c r="E933" s="279"/>
      <c r="F933" s="278">
        <v>1.4800574332551939</v>
      </c>
      <c r="G933" s="278">
        <v>1.7500784566205534</v>
      </c>
      <c r="H933" s="278">
        <f t="shared" si="341"/>
        <v>3.2301358898757471</v>
      </c>
      <c r="I933" s="279"/>
      <c r="J933" s="278">
        <v>1.6835404637846549</v>
      </c>
      <c r="K933" s="278">
        <v>2.3599169320795386</v>
      </c>
      <c r="L933" s="278">
        <f t="shared" si="342"/>
        <v>4.0434573958641931</v>
      </c>
      <c r="M933" s="212"/>
      <c r="N933" s="212"/>
    </row>
    <row r="934" spans="1:14">
      <c r="A934" s="213" t="str">
        <f>name!E$11</f>
        <v>Process, plant and machine operatives</v>
      </c>
      <c r="B934" s="278">
        <v>0.49907089087195483</v>
      </c>
      <c r="C934" s="278">
        <v>2.2902666628379311</v>
      </c>
      <c r="D934" s="278">
        <f t="shared" si="340"/>
        <v>2.7893375537098861</v>
      </c>
      <c r="E934" s="279"/>
      <c r="F934" s="278">
        <v>0.3970933511712042</v>
      </c>
      <c r="G934" s="278">
        <v>1.7799867085272703</v>
      </c>
      <c r="H934" s="278">
        <f t="shared" si="341"/>
        <v>2.1770800596984743</v>
      </c>
      <c r="I934" s="279"/>
      <c r="J934" s="278">
        <v>0.51370246753472848</v>
      </c>
      <c r="K934" s="278">
        <v>2.1463969496337034</v>
      </c>
      <c r="L934" s="278">
        <f t="shared" si="342"/>
        <v>2.660099417168432</v>
      </c>
      <c r="M934" s="212"/>
      <c r="N934" s="212"/>
    </row>
    <row r="935" spans="1:14">
      <c r="A935" s="213" t="str">
        <f>name!E$12</f>
        <v>Elementary occupations</v>
      </c>
      <c r="B935" s="278">
        <v>2.2750523998004009</v>
      </c>
      <c r="C935" s="278">
        <v>1.7255931279052119</v>
      </c>
      <c r="D935" s="278">
        <f t="shared" si="340"/>
        <v>4.000645527705613</v>
      </c>
      <c r="E935" s="279"/>
      <c r="F935" s="278">
        <v>1.7036463059424951</v>
      </c>
      <c r="G935" s="278">
        <v>1.1733880279179243</v>
      </c>
      <c r="H935" s="278">
        <f t="shared" si="341"/>
        <v>2.8770343338604194</v>
      </c>
      <c r="I935" s="279"/>
      <c r="J935" s="278">
        <v>2.6445212441252552</v>
      </c>
      <c r="K935" s="278">
        <v>1.4329788448003797</v>
      </c>
      <c r="L935" s="278">
        <f t="shared" si="342"/>
        <v>4.0775000889256354</v>
      </c>
      <c r="M935" s="212"/>
      <c r="N935" s="212"/>
    </row>
    <row r="936" spans="1:14">
      <c r="A936" s="213"/>
      <c r="B936" s="278"/>
      <c r="C936" s="278"/>
      <c r="D936" s="278"/>
      <c r="E936" s="279"/>
      <c r="F936" s="278"/>
      <c r="G936" s="278"/>
      <c r="H936" s="278"/>
      <c r="I936" s="279"/>
      <c r="J936" s="278"/>
      <c r="K936" s="278"/>
      <c r="L936" s="278"/>
      <c r="M936" s="212"/>
      <c r="N936" s="212"/>
    </row>
    <row r="937" spans="1:14">
      <c r="A937" s="220" t="s">
        <v>119</v>
      </c>
      <c r="B937" s="282">
        <f>SUM(B927:B935)</f>
        <v>46.728999999648359</v>
      </c>
      <c r="C937" s="282">
        <f t="shared" ref="C937:D937" si="343">SUM(C927:C935)</f>
        <v>97.926999999519367</v>
      </c>
      <c r="D937" s="282">
        <f t="shared" si="343"/>
        <v>144.6559999991677</v>
      </c>
      <c r="E937" s="282"/>
      <c r="F937" s="282">
        <f t="shared" ref="F937:H937" si="344">SUM(F927:F935)</f>
        <v>49.7970000000442</v>
      </c>
      <c r="G937" s="282">
        <f t="shared" si="344"/>
        <v>100.14800000018535</v>
      </c>
      <c r="H937" s="282">
        <f t="shared" si="344"/>
        <v>149.94500000022953</v>
      </c>
      <c r="I937" s="282"/>
      <c r="J937" s="282">
        <f t="shared" ref="J937:L937" si="345">SUM(J927:J935)</f>
        <v>64.950999999970875</v>
      </c>
      <c r="K937" s="282">
        <f t="shared" si="345"/>
        <v>123.59299999980969</v>
      </c>
      <c r="L937" s="282">
        <f t="shared" si="345"/>
        <v>188.54399999978051</v>
      </c>
      <c r="M937" s="212"/>
      <c r="N937" s="212"/>
    </row>
    <row r="938" spans="1:14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6"/>
      <c r="M938" s="212"/>
      <c r="N938" s="212"/>
    </row>
    <row r="939" spans="1:14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32" t="s">
        <v>114</v>
      </c>
      <c r="M939" s="212"/>
      <c r="N939" s="212"/>
    </row>
    <row r="940" spans="1:14" ht="12.95">
      <c r="A940" s="218"/>
      <c r="B940" s="226"/>
      <c r="C940" s="226"/>
      <c r="D940" s="226"/>
      <c r="E940" s="226"/>
      <c r="F940" s="226"/>
      <c r="G940" s="226"/>
      <c r="H940" s="226"/>
      <c r="I940" s="226"/>
      <c r="J940" s="226"/>
      <c r="K940" s="226"/>
      <c r="L940" s="212"/>
      <c r="M940" s="212"/>
      <c r="N940" s="212"/>
    </row>
    <row r="941" spans="1:14" ht="12.95">
      <c r="A941" s="217" t="str">
        <f>name!A58</f>
        <v>Advertising, etc</v>
      </c>
      <c r="B941" s="367">
        <f>B$6</f>
        <v>2015</v>
      </c>
      <c r="C941" s="367"/>
      <c r="D941" s="367"/>
      <c r="E941" s="229"/>
      <c r="F941" s="367">
        <f>F$6</f>
        <v>2020</v>
      </c>
      <c r="G941" s="367"/>
      <c r="H941" s="367"/>
      <c r="I941" s="229"/>
      <c r="J941" s="367">
        <f>J$6</f>
        <v>2035</v>
      </c>
      <c r="K941" s="367"/>
      <c r="L941" s="367"/>
      <c r="M941" s="212"/>
      <c r="N941" s="212"/>
    </row>
    <row r="942" spans="1:14" ht="12.95">
      <c r="A942" s="230"/>
      <c r="B942" s="231" t="s">
        <v>173</v>
      </c>
      <c r="C942" s="231" t="s">
        <v>174</v>
      </c>
      <c r="D942" s="231" t="s">
        <v>119</v>
      </c>
      <c r="E942" s="231"/>
      <c r="F942" s="231" t="s">
        <v>173</v>
      </c>
      <c r="G942" s="231" t="s">
        <v>174</v>
      </c>
      <c r="H942" s="231" t="s">
        <v>119</v>
      </c>
      <c r="I942" s="231"/>
      <c r="J942" s="231" t="s">
        <v>173</v>
      </c>
      <c r="K942" s="231" t="s">
        <v>174</v>
      </c>
      <c r="L942" s="231" t="s">
        <v>119</v>
      </c>
      <c r="M942" s="212"/>
      <c r="N942" s="212"/>
    </row>
    <row r="943" spans="1:14" ht="12.95">
      <c r="A943" s="234"/>
      <c r="B943" s="235"/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12"/>
      <c r="N943" s="212"/>
    </row>
    <row r="944" spans="1:14">
      <c r="A944" s="213" t="str">
        <f>name!E$4</f>
        <v>Managers, directors and senior officials</v>
      </c>
      <c r="B944" s="278">
        <v>16.110504815055133</v>
      </c>
      <c r="C944" s="278">
        <v>16.581988614799908</v>
      </c>
      <c r="D944" s="278">
        <f>SUM(B944:C944)</f>
        <v>32.692493429855041</v>
      </c>
      <c r="E944" s="279"/>
      <c r="F944" s="278">
        <v>16.349351818501383</v>
      </c>
      <c r="G944" s="278">
        <v>13.696262158077101</v>
      </c>
      <c r="H944" s="278">
        <f>SUM(F944:G944)</f>
        <v>30.045613976578483</v>
      </c>
      <c r="I944" s="279"/>
      <c r="J944" s="278">
        <v>20.216623646529452</v>
      </c>
      <c r="K944" s="278">
        <v>16.087474210696744</v>
      </c>
      <c r="L944" s="278">
        <f>SUM(J944:K944)</f>
        <v>36.304097857226196</v>
      </c>
      <c r="M944" s="212"/>
      <c r="N944" s="212"/>
    </row>
    <row r="945" spans="1:14">
      <c r="A945" s="213" t="str">
        <f>name!E$5</f>
        <v>Professional occupations</v>
      </c>
      <c r="B945" s="278">
        <v>45.139207043823603</v>
      </c>
      <c r="C945" s="278">
        <v>51.912301358200288</v>
      </c>
      <c r="D945" s="278">
        <f t="shared" ref="D945:D952" si="346">SUM(B945:C945)</f>
        <v>97.051508402023899</v>
      </c>
      <c r="E945" s="279"/>
      <c r="F945" s="278">
        <v>49.85710387823498</v>
      </c>
      <c r="G945" s="278">
        <v>44.770973246207241</v>
      </c>
      <c r="H945" s="278">
        <f t="shared" ref="H945:H952" si="347">SUM(F945:G945)</f>
        <v>94.628077124442228</v>
      </c>
      <c r="I945" s="279"/>
      <c r="J945" s="278">
        <v>70.850091939548577</v>
      </c>
      <c r="K945" s="278">
        <v>56.413299134964355</v>
      </c>
      <c r="L945" s="278">
        <f t="shared" ref="L945:L952" si="348">SUM(J945:K945)</f>
        <v>127.26339107451292</v>
      </c>
      <c r="M945" s="212"/>
      <c r="N945" s="212"/>
    </row>
    <row r="946" spans="1:14">
      <c r="A946" s="213" t="str">
        <f>name!E$6</f>
        <v>Associate professional occupations</v>
      </c>
      <c r="B946" s="278">
        <v>30.56458001304069</v>
      </c>
      <c r="C946" s="278">
        <v>21.058036361767773</v>
      </c>
      <c r="D946" s="278">
        <f t="shared" si="346"/>
        <v>51.622616374808459</v>
      </c>
      <c r="E946" s="279"/>
      <c r="F946" s="278">
        <v>27.886026626357705</v>
      </c>
      <c r="G946" s="278">
        <v>17.418407760098876</v>
      </c>
      <c r="H946" s="278">
        <f t="shared" si="347"/>
        <v>45.304434386456577</v>
      </c>
      <c r="I946" s="279"/>
      <c r="J946" s="278">
        <v>37.919461262515313</v>
      </c>
      <c r="K946" s="278">
        <v>20.039381384937204</v>
      </c>
      <c r="L946" s="278">
        <f t="shared" si="348"/>
        <v>57.958842647452514</v>
      </c>
      <c r="M946" s="212"/>
      <c r="N946" s="212"/>
    </row>
    <row r="947" spans="1:14">
      <c r="A947" s="213" t="str">
        <f>name!E$7</f>
        <v>Administrative and secretarial occupations</v>
      </c>
      <c r="B947" s="278">
        <v>43.636675968517693</v>
      </c>
      <c r="C947" s="278">
        <v>7.3981574461384527</v>
      </c>
      <c r="D947" s="278">
        <f t="shared" si="346"/>
        <v>51.034833414656148</v>
      </c>
      <c r="E947" s="279"/>
      <c r="F947" s="278">
        <v>31.463618008686311</v>
      </c>
      <c r="G947" s="278">
        <v>4.7891554489713988</v>
      </c>
      <c r="H947" s="278">
        <f t="shared" si="347"/>
        <v>36.25277345765771</v>
      </c>
      <c r="I947" s="279"/>
      <c r="J947" s="278">
        <v>29.13308390623661</v>
      </c>
      <c r="K947" s="278">
        <v>6.0891673602161642</v>
      </c>
      <c r="L947" s="278">
        <f t="shared" si="348"/>
        <v>35.222251266452773</v>
      </c>
      <c r="M947" s="212"/>
      <c r="N947" s="212"/>
    </row>
    <row r="948" spans="1:14">
      <c r="A948" s="213" t="str">
        <f>name!E$8</f>
        <v>Skilled trades occupations</v>
      </c>
      <c r="B948" s="278">
        <v>1.2458108262894543</v>
      </c>
      <c r="C948" s="278">
        <v>4.3841651355556772</v>
      </c>
      <c r="D948" s="278">
        <f t="shared" si="346"/>
        <v>5.6299759618451315</v>
      </c>
      <c r="E948" s="279"/>
      <c r="F948" s="278">
        <v>1.0520822180700224</v>
      </c>
      <c r="G948" s="278">
        <v>2.2647649516909323</v>
      </c>
      <c r="H948" s="278">
        <f t="shared" si="347"/>
        <v>3.3168471697609547</v>
      </c>
      <c r="I948" s="279"/>
      <c r="J948" s="278">
        <v>2.1403500615455018</v>
      </c>
      <c r="K948" s="278">
        <v>2.4161345802155649</v>
      </c>
      <c r="L948" s="278">
        <f t="shared" si="348"/>
        <v>4.5564846417610667</v>
      </c>
      <c r="M948" s="212"/>
      <c r="N948" s="212"/>
    </row>
    <row r="949" spans="1:14">
      <c r="A949" s="213" t="str">
        <f>name!E$9</f>
        <v>Caring, leisure and other service occupations</v>
      </c>
      <c r="B949" s="278">
        <v>0.78194578692726613</v>
      </c>
      <c r="C949" s="278">
        <v>0.51475601873098709</v>
      </c>
      <c r="D949" s="278">
        <f t="shared" si="346"/>
        <v>1.2967018056582531</v>
      </c>
      <c r="E949" s="279"/>
      <c r="F949" s="278">
        <v>0.57521428706083622</v>
      </c>
      <c r="G949" s="278">
        <v>0.36905656498083678</v>
      </c>
      <c r="H949" s="278">
        <f t="shared" si="347"/>
        <v>0.94427085204167294</v>
      </c>
      <c r="I949" s="279"/>
      <c r="J949" s="278">
        <v>0.75846021632411031</v>
      </c>
      <c r="K949" s="278">
        <v>0.693934427432921</v>
      </c>
      <c r="L949" s="278">
        <f t="shared" si="348"/>
        <v>1.4523946437570312</v>
      </c>
      <c r="M949" s="212"/>
      <c r="N949" s="212"/>
    </row>
    <row r="950" spans="1:14">
      <c r="A950" s="213" t="str">
        <f>name!E$10</f>
        <v>Sales and customer service occupations</v>
      </c>
      <c r="B950" s="278">
        <v>7.6684209685474416</v>
      </c>
      <c r="C950" s="278">
        <v>2.4126493436133978</v>
      </c>
      <c r="D950" s="278">
        <f t="shared" si="346"/>
        <v>10.08107031216084</v>
      </c>
      <c r="E950" s="279"/>
      <c r="F950" s="278">
        <v>5.1889321170155904</v>
      </c>
      <c r="G950" s="278">
        <v>1.4814512007352865</v>
      </c>
      <c r="H950" s="278">
        <f t="shared" si="347"/>
        <v>6.6703833177508773</v>
      </c>
      <c r="I950" s="279"/>
      <c r="J950" s="278">
        <v>5.4136866768497054</v>
      </c>
      <c r="K950" s="278">
        <v>2.0346213994020714</v>
      </c>
      <c r="L950" s="278">
        <f t="shared" si="348"/>
        <v>7.4483080762517773</v>
      </c>
      <c r="M950" s="212"/>
      <c r="N950" s="212"/>
    </row>
    <row r="951" spans="1:14">
      <c r="A951" s="213" t="str">
        <f>name!E$11</f>
        <v>Process, plant and machine operatives</v>
      </c>
      <c r="B951" s="278">
        <v>0.75846778025351724</v>
      </c>
      <c r="C951" s="278">
        <v>1.5284895087405193</v>
      </c>
      <c r="D951" s="278">
        <f t="shared" si="346"/>
        <v>2.2869572889940364</v>
      </c>
      <c r="E951" s="279"/>
      <c r="F951" s="278">
        <v>0.50742072576375008</v>
      </c>
      <c r="G951" s="278">
        <v>0.8189127997097323</v>
      </c>
      <c r="H951" s="278">
        <f t="shared" si="347"/>
        <v>1.3263335254734825</v>
      </c>
      <c r="I951" s="279"/>
      <c r="J951" s="278">
        <v>1.1038987938372815</v>
      </c>
      <c r="K951" s="278">
        <v>0.94064977847903608</v>
      </c>
      <c r="L951" s="278">
        <f t="shared" si="348"/>
        <v>2.0445485723163177</v>
      </c>
      <c r="M951" s="212"/>
      <c r="N951" s="212"/>
    </row>
    <row r="952" spans="1:14">
      <c r="A952" s="213" t="str">
        <f>name!E$12</f>
        <v>Elementary occupations</v>
      </c>
      <c r="B952" s="278">
        <v>3.2193867957566504</v>
      </c>
      <c r="C952" s="278">
        <v>1.1664562109710361</v>
      </c>
      <c r="D952" s="278">
        <f t="shared" si="346"/>
        <v>4.3858430067276863</v>
      </c>
      <c r="E952" s="279"/>
      <c r="F952" s="278">
        <v>1.9292503193394774</v>
      </c>
      <c r="G952" s="278">
        <v>0.61701587030210658</v>
      </c>
      <c r="H952" s="278">
        <f t="shared" si="347"/>
        <v>2.5462661896415839</v>
      </c>
      <c r="I952" s="279"/>
      <c r="J952" s="278">
        <v>3.4463435006492604</v>
      </c>
      <c r="K952" s="278">
        <v>0.70133772568122865</v>
      </c>
      <c r="L952" s="278">
        <f t="shared" si="348"/>
        <v>4.147681226330489</v>
      </c>
      <c r="M952" s="212"/>
      <c r="N952" s="212"/>
    </row>
    <row r="953" spans="1:14">
      <c r="A953" s="213"/>
      <c r="B953" s="278"/>
      <c r="C953" s="278"/>
      <c r="D953" s="278"/>
      <c r="E953" s="279"/>
      <c r="F953" s="278"/>
      <c r="G953" s="278"/>
      <c r="H953" s="278"/>
      <c r="I953" s="279"/>
      <c r="J953" s="278"/>
      <c r="K953" s="278"/>
      <c r="L953" s="278"/>
      <c r="M953" s="212"/>
      <c r="N953" s="212"/>
    </row>
    <row r="954" spans="1:14">
      <c r="A954" s="220" t="s">
        <v>119</v>
      </c>
      <c r="B954" s="282">
        <f>SUM(B944:B952)</f>
        <v>149.12499999821145</v>
      </c>
      <c r="C954" s="282">
        <f t="shared" ref="C954:D954" si="349">SUM(C944:C952)</f>
        <v>106.95699999851804</v>
      </c>
      <c r="D954" s="282">
        <f t="shared" si="349"/>
        <v>256.08199999672951</v>
      </c>
      <c r="E954" s="282"/>
      <c r="F954" s="282">
        <f t="shared" ref="F954:H954" si="350">SUM(F944:F952)</f>
        <v>134.80899999903005</v>
      </c>
      <c r="G954" s="282">
        <f t="shared" si="350"/>
        <v>86.226000000773524</v>
      </c>
      <c r="H954" s="282">
        <f t="shared" si="350"/>
        <v>221.03499999980357</v>
      </c>
      <c r="I954" s="282"/>
      <c r="J954" s="282">
        <f t="shared" ref="J954:L954" si="351">SUM(J944:J952)</f>
        <v>170.9820000040358</v>
      </c>
      <c r="K954" s="282">
        <f t="shared" si="351"/>
        <v>105.4160000020253</v>
      </c>
      <c r="L954" s="282">
        <f t="shared" si="351"/>
        <v>276.39800000606107</v>
      </c>
      <c r="M954" s="212"/>
      <c r="N954" s="212"/>
    </row>
    <row r="955" spans="1:14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6"/>
      <c r="M955" s="212"/>
      <c r="N955" s="212"/>
    </row>
    <row r="956" spans="1:14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32" t="s">
        <v>114</v>
      </c>
      <c r="M956" s="212"/>
      <c r="N956" s="212"/>
    </row>
    <row r="957" spans="1:14" ht="12.95">
      <c r="A957" s="218"/>
      <c r="B957" s="226"/>
      <c r="C957" s="226"/>
      <c r="D957" s="226"/>
      <c r="E957" s="226"/>
      <c r="F957" s="226"/>
      <c r="G957" s="226"/>
      <c r="H957" s="226"/>
      <c r="I957" s="226"/>
      <c r="J957" s="226"/>
      <c r="K957" s="226"/>
      <c r="L957" s="212"/>
      <c r="M957" s="212"/>
      <c r="N957" s="212"/>
    </row>
    <row r="958" spans="1:14" ht="12.95">
      <c r="A958" s="217" t="str">
        <f>name!A59</f>
        <v>Other professional</v>
      </c>
      <c r="B958" s="367">
        <f>B$6</f>
        <v>2015</v>
      </c>
      <c r="C958" s="367"/>
      <c r="D958" s="367"/>
      <c r="E958" s="229"/>
      <c r="F958" s="367">
        <f>F$6</f>
        <v>2020</v>
      </c>
      <c r="G958" s="367"/>
      <c r="H958" s="367"/>
      <c r="I958" s="229"/>
      <c r="J958" s="367">
        <f>J$6</f>
        <v>2035</v>
      </c>
      <c r="K958" s="367"/>
      <c r="L958" s="367"/>
      <c r="M958" s="212"/>
      <c r="N958" s="212"/>
    </row>
    <row r="959" spans="1:14" ht="12.95">
      <c r="A959" s="230"/>
      <c r="B959" s="231" t="s">
        <v>173</v>
      </c>
      <c r="C959" s="231" t="s">
        <v>174</v>
      </c>
      <c r="D959" s="231" t="s">
        <v>119</v>
      </c>
      <c r="E959" s="231"/>
      <c r="F959" s="231" t="s">
        <v>173</v>
      </c>
      <c r="G959" s="231" t="s">
        <v>174</v>
      </c>
      <c r="H959" s="231" t="s">
        <v>119</v>
      </c>
      <c r="I959" s="231"/>
      <c r="J959" s="231" t="s">
        <v>173</v>
      </c>
      <c r="K959" s="231" t="s">
        <v>174</v>
      </c>
      <c r="L959" s="231" t="s">
        <v>119</v>
      </c>
      <c r="M959" s="212"/>
      <c r="N959" s="212"/>
    </row>
    <row r="960" spans="1:14" ht="12.95">
      <c r="A960" s="234"/>
      <c r="B960" s="235"/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12"/>
      <c r="N960" s="212"/>
    </row>
    <row r="961" spans="1:14">
      <c r="A961" s="213" t="str">
        <f>name!E$4</f>
        <v>Managers, directors and senior officials</v>
      </c>
      <c r="B961" s="278">
        <v>8.0088492417224799</v>
      </c>
      <c r="C961" s="278">
        <v>16.960145900343925</v>
      </c>
      <c r="D961" s="278">
        <f>SUM(B961:C961)</f>
        <v>24.968995142066404</v>
      </c>
      <c r="E961" s="279"/>
      <c r="F961" s="278">
        <v>11.703545666348603</v>
      </c>
      <c r="G961" s="278">
        <v>17.94322967796079</v>
      </c>
      <c r="H961" s="278">
        <f>SUM(F961:G961)</f>
        <v>29.646775344309393</v>
      </c>
      <c r="I961" s="279"/>
      <c r="J961" s="278">
        <v>15.186546737365497</v>
      </c>
      <c r="K961" s="278">
        <v>21.5920897411218</v>
      </c>
      <c r="L961" s="278">
        <f>SUM(J961:K961)</f>
        <v>36.7786364784873</v>
      </c>
      <c r="M961" s="212"/>
      <c r="N961" s="212"/>
    </row>
    <row r="962" spans="1:14">
      <c r="A962" s="213" t="str">
        <f>name!E$5</f>
        <v>Professional occupations</v>
      </c>
      <c r="B962" s="278">
        <v>17.228404573629739</v>
      </c>
      <c r="C962" s="278">
        <v>42.84669487053192</v>
      </c>
      <c r="D962" s="278">
        <f t="shared" ref="D962:D969" si="352">SUM(B962:C962)</f>
        <v>60.075099444161658</v>
      </c>
      <c r="E962" s="279"/>
      <c r="F962" s="278">
        <v>26.625320182821671</v>
      </c>
      <c r="G962" s="278">
        <v>48.568902761868657</v>
      </c>
      <c r="H962" s="278">
        <f t="shared" ref="H962:H969" si="353">SUM(F962:G962)</f>
        <v>75.194222944690324</v>
      </c>
      <c r="I962" s="279"/>
      <c r="J962" s="278">
        <v>40.47109338584859</v>
      </c>
      <c r="K962" s="278">
        <v>63.733279234220532</v>
      </c>
      <c r="L962" s="278">
        <f t="shared" ref="L962:L969" si="354">SUM(J962:K962)</f>
        <v>104.20437262006912</v>
      </c>
      <c r="M962" s="212"/>
      <c r="N962" s="212"/>
    </row>
    <row r="963" spans="1:14">
      <c r="A963" s="213" t="str">
        <f>name!E$6</f>
        <v>Associate professional occupations</v>
      </c>
      <c r="B963" s="278">
        <v>14.838408553094666</v>
      </c>
      <c r="C963" s="278">
        <v>22.790480175160141</v>
      </c>
      <c r="D963" s="278">
        <f t="shared" si="352"/>
        <v>37.628888728254807</v>
      </c>
      <c r="E963" s="279"/>
      <c r="F963" s="278">
        <v>19.199597506516533</v>
      </c>
      <c r="G963" s="278">
        <v>24.573799198847556</v>
      </c>
      <c r="H963" s="278">
        <f t="shared" si="353"/>
        <v>43.773396705364092</v>
      </c>
      <c r="I963" s="279"/>
      <c r="J963" s="278">
        <v>27.216541112839217</v>
      </c>
      <c r="K963" s="278">
        <v>27.740927392910677</v>
      </c>
      <c r="L963" s="278">
        <f t="shared" si="354"/>
        <v>54.957468505749894</v>
      </c>
      <c r="M963" s="212"/>
      <c r="N963" s="212"/>
    </row>
    <row r="964" spans="1:14">
      <c r="A964" s="213" t="str">
        <f>name!E$7</f>
        <v>Administrative and secretarial occupations</v>
      </c>
      <c r="B964" s="278">
        <v>21.178624380235416</v>
      </c>
      <c r="C964" s="278">
        <v>7.0673935173517206</v>
      </c>
      <c r="D964" s="278">
        <f t="shared" si="352"/>
        <v>28.246017897587137</v>
      </c>
      <c r="E964" s="279"/>
      <c r="F964" s="278">
        <v>25.259041171783821</v>
      </c>
      <c r="G964" s="278">
        <v>7.2963976759466194</v>
      </c>
      <c r="H964" s="278">
        <f t="shared" si="353"/>
        <v>32.555438847730443</v>
      </c>
      <c r="I964" s="279"/>
      <c r="J964" s="278">
        <v>26.364189541617836</v>
      </c>
      <c r="K964" s="278">
        <v>10.06194038930337</v>
      </c>
      <c r="L964" s="278">
        <f t="shared" si="354"/>
        <v>36.426129930921206</v>
      </c>
      <c r="M964" s="212"/>
      <c r="N964" s="212"/>
    </row>
    <row r="965" spans="1:14">
      <c r="A965" s="213" t="str">
        <f>name!E$8</f>
        <v>Skilled trades occupations</v>
      </c>
      <c r="B965" s="278">
        <v>0.89595448773562425</v>
      </c>
      <c r="C965" s="278">
        <v>6.0418111727673276</v>
      </c>
      <c r="D965" s="278">
        <f t="shared" si="352"/>
        <v>6.9377656605029516</v>
      </c>
      <c r="E965" s="279"/>
      <c r="F965" s="278">
        <v>1.1632263588963927</v>
      </c>
      <c r="G965" s="278">
        <v>4.4113498614285973</v>
      </c>
      <c r="H965" s="278">
        <f t="shared" si="353"/>
        <v>5.5745762203249898</v>
      </c>
      <c r="I965" s="279"/>
      <c r="J965" s="278">
        <v>2.1220466540497727</v>
      </c>
      <c r="K965" s="278">
        <v>4.8012886744334384</v>
      </c>
      <c r="L965" s="278">
        <f t="shared" si="354"/>
        <v>6.9233353284832111</v>
      </c>
      <c r="M965" s="212"/>
      <c r="N965" s="212"/>
    </row>
    <row r="966" spans="1:14">
      <c r="A966" s="213" t="str">
        <f>name!E$9</f>
        <v>Caring, leisure and other service occupations</v>
      </c>
      <c r="B966" s="278">
        <v>4.6112743584024081</v>
      </c>
      <c r="C966" s="278">
        <v>1.8737548662004311</v>
      </c>
      <c r="D966" s="278">
        <f t="shared" si="352"/>
        <v>6.4850292246028394</v>
      </c>
      <c r="E966" s="279"/>
      <c r="F966" s="278">
        <v>5.4947644265106952</v>
      </c>
      <c r="G966" s="278">
        <v>1.8687307839641973</v>
      </c>
      <c r="H966" s="278">
        <f t="shared" si="353"/>
        <v>7.363495210474893</v>
      </c>
      <c r="I966" s="279"/>
      <c r="J966" s="278">
        <v>6.30242796912224</v>
      </c>
      <c r="K966" s="278">
        <v>2.7174861362364915</v>
      </c>
      <c r="L966" s="278">
        <f t="shared" si="354"/>
        <v>9.0199141053587315</v>
      </c>
      <c r="M966" s="212"/>
      <c r="N966" s="212"/>
    </row>
    <row r="967" spans="1:14">
      <c r="A967" s="213" t="str">
        <f>name!E$10</f>
        <v>Sales and customer service occupations</v>
      </c>
      <c r="B967" s="278">
        <v>4.8981330410261847</v>
      </c>
      <c r="C967" s="278">
        <v>4.2602518814604338</v>
      </c>
      <c r="D967" s="278">
        <f t="shared" si="352"/>
        <v>9.1583849224866185</v>
      </c>
      <c r="E967" s="279"/>
      <c r="F967" s="278">
        <v>5.5724954844368115</v>
      </c>
      <c r="G967" s="278">
        <v>3.7585947659919157</v>
      </c>
      <c r="H967" s="278">
        <f t="shared" si="353"/>
        <v>9.3310902504287263</v>
      </c>
      <c r="I967" s="279"/>
      <c r="J967" s="278">
        <v>6.3423644694857133</v>
      </c>
      <c r="K967" s="278">
        <v>4.7889981772818864</v>
      </c>
      <c r="L967" s="278">
        <f t="shared" si="354"/>
        <v>11.131362646767599</v>
      </c>
      <c r="M967" s="212"/>
      <c r="N967" s="212"/>
    </row>
    <row r="968" spans="1:14">
      <c r="A968" s="213" t="str">
        <f>name!E$11</f>
        <v>Process, plant and machine operatives</v>
      </c>
      <c r="B968" s="278">
        <v>0.66173820416517737</v>
      </c>
      <c r="C968" s="278">
        <v>3.0569386038424691</v>
      </c>
      <c r="D968" s="278">
        <f t="shared" si="352"/>
        <v>3.7186768080076464</v>
      </c>
      <c r="E968" s="279"/>
      <c r="F968" s="278">
        <v>0.65329832404058508</v>
      </c>
      <c r="G968" s="278">
        <v>2.5180146756021582</v>
      </c>
      <c r="H968" s="278">
        <f t="shared" si="353"/>
        <v>3.1713129996427432</v>
      </c>
      <c r="I968" s="279"/>
      <c r="J968" s="278">
        <v>1.1892727912712215</v>
      </c>
      <c r="K968" s="278">
        <v>2.6784624586068673</v>
      </c>
      <c r="L968" s="278">
        <f t="shared" si="354"/>
        <v>3.8677352498780886</v>
      </c>
      <c r="M968" s="212"/>
      <c r="N968" s="212"/>
    </row>
    <row r="969" spans="1:14">
      <c r="A969" s="213" t="str">
        <f>name!E$12</f>
        <v>Elementary occupations</v>
      </c>
      <c r="B969" s="278">
        <v>15.033613159673074</v>
      </c>
      <c r="C969" s="278">
        <v>15.295529011820888</v>
      </c>
      <c r="D969" s="278">
        <f t="shared" si="352"/>
        <v>30.329142171493963</v>
      </c>
      <c r="E969" s="279"/>
      <c r="F969" s="278">
        <v>13.78171087769203</v>
      </c>
      <c r="G969" s="278">
        <v>13.145980598849039</v>
      </c>
      <c r="H969" s="278">
        <f t="shared" si="353"/>
        <v>26.927691476541071</v>
      </c>
      <c r="I969" s="279"/>
      <c r="J969" s="278">
        <v>14.52951734108173</v>
      </c>
      <c r="K969" s="278">
        <v>14.166527797823612</v>
      </c>
      <c r="L969" s="278">
        <f t="shared" si="354"/>
        <v>28.69604513890534</v>
      </c>
      <c r="M969" s="212"/>
      <c r="N969" s="212"/>
    </row>
    <row r="970" spans="1:14">
      <c r="A970" s="213"/>
      <c r="B970" s="278"/>
      <c r="C970" s="278"/>
      <c r="D970" s="278"/>
      <c r="E970" s="279"/>
      <c r="F970" s="278"/>
      <c r="G970" s="278"/>
      <c r="H970" s="278"/>
      <c r="I970" s="279"/>
      <c r="J970" s="278"/>
      <c r="K970" s="278"/>
      <c r="L970" s="278"/>
      <c r="M970" s="212"/>
      <c r="N970" s="212"/>
    </row>
    <row r="971" spans="1:14">
      <c r="A971" s="220" t="s">
        <v>119</v>
      </c>
      <c r="B971" s="282">
        <f>SUM(B961:B969)</f>
        <v>87.354999999684765</v>
      </c>
      <c r="C971" s="282">
        <f t="shared" ref="C971:D971" si="355">SUM(C961:C969)</f>
        <v>120.19299999947924</v>
      </c>
      <c r="D971" s="282">
        <f t="shared" si="355"/>
        <v>207.54799999916401</v>
      </c>
      <c r="E971" s="282"/>
      <c r="F971" s="282">
        <f t="shared" ref="F971:H971" si="356">SUM(F961:F969)</f>
        <v>109.45299999904715</v>
      </c>
      <c r="G971" s="282">
        <f t="shared" si="356"/>
        <v>124.08500000045953</v>
      </c>
      <c r="H971" s="282">
        <f t="shared" si="356"/>
        <v>233.53799999950667</v>
      </c>
      <c r="I971" s="282"/>
      <c r="J971" s="282">
        <f t="shared" ref="J971:L971" si="357">SUM(J961:J969)</f>
        <v>139.72400000268181</v>
      </c>
      <c r="K971" s="282">
        <f t="shared" si="357"/>
        <v>152.28100000193868</v>
      </c>
      <c r="L971" s="282">
        <f t="shared" si="357"/>
        <v>292.00500000462046</v>
      </c>
      <c r="M971" s="212"/>
      <c r="N971" s="212"/>
    </row>
    <row r="972" spans="1:14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6"/>
      <c r="M972" s="212"/>
      <c r="N972" s="212"/>
    </row>
    <row r="973" spans="1:14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32" t="s">
        <v>114</v>
      </c>
      <c r="M973" s="212"/>
      <c r="N973" s="212"/>
    </row>
    <row r="974" spans="1:14" ht="12.95">
      <c r="A974" s="218"/>
      <c r="B974" s="226"/>
      <c r="C974" s="226"/>
      <c r="D974" s="226"/>
      <c r="E974" s="226"/>
      <c r="F974" s="226"/>
      <c r="G974" s="226"/>
      <c r="H974" s="226"/>
      <c r="I974" s="226"/>
      <c r="J974" s="226"/>
      <c r="K974" s="226"/>
      <c r="L974" s="212"/>
      <c r="M974" s="212"/>
      <c r="N974" s="212"/>
    </row>
    <row r="975" spans="1:14" ht="12.95">
      <c r="A975" s="217" t="str">
        <f>name!A60</f>
        <v>Veterinary</v>
      </c>
      <c r="B975" s="367">
        <f>B$6</f>
        <v>2015</v>
      </c>
      <c r="C975" s="367"/>
      <c r="D975" s="367"/>
      <c r="E975" s="229"/>
      <c r="F975" s="367">
        <f>F$6</f>
        <v>2020</v>
      </c>
      <c r="G975" s="367"/>
      <c r="H975" s="367"/>
      <c r="I975" s="229"/>
      <c r="J975" s="367">
        <f>J$6</f>
        <v>2035</v>
      </c>
      <c r="K975" s="367"/>
      <c r="L975" s="367"/>
      <c r="M975" s="212"/>
      <c r="N975" s="212"/>
    </row>
    <row r="976" spans="1:14" ht="12.95">
      <c r="A976" s="230"/>
      <c r="B976" s="231" t="s">
        <v>173</v>
      </c>
      <c r="C976" s="231" t="s">
        <v>174</v>
      </c>
      <c r="D976" s="231" t="s">
        <v>119</v>
      </c>
      <c r="E976" s="231"/>
      <c r="F976" s="231" t="s">
        <v>173</v>
      </c>
      <c r="G976" s="231" t="s">
        <v>174</v>
      </c>
      <c r="H976" s="231" t="s">
        <v>119</v>
      </c>
      <c r="I976" s="231"/>
      <c r="J976" s="231" t="s">
        <v>173</v>
      </c>
      <c r="K976" s="231" t="s">
        <v>174</v>
      </c>
      <c r="L976" s="231" t="s">
        <v>119</v>
      </c>
      <c r="M976" s="212"/>
      <c r="N976" s="212"/>
    </row>
    <row r="977" spans="1:14" ht="12.95">
      <c r="A977" s="234"/>
      <c r="B977" s="235"/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12"/>
      <c r="N977" s="212"/>
    </row>
    <row r="978" spans="1:14">
      <c r="A978" s="213" t="str">
        <f>name!E$4</f>
        <v>Managers, directors and senior officials</v>
      </c>
      <c r="B978" s="278">
        <v>1.6918630685924032</v>
      </c>
      <c r="C978" s="278">
        <v>1.9199622707810553</v>
      </c>
      <c r="D978" s="278">
        <f>SUM(B978:C978)</f>
        <v>3.6118253393734587</v>
      </c>
      <c r="E978" s="279"/>
      <c r="F978" s="278">
        <v>2.8640480339488832</v>
      </c>
      <c r="G978" s="278">
        <v>2.6118699636373885</v>
      </c>
      <c r="H978" s="278">
        <f>SUM(F978:G978)</f>
        <v>5.4759179975862722</v>
      </c>
      <c r="I978" s="279"/>
      <c r="J978" s="278">
        <v>3.8594315822739289</v>
      </c>
      <c r="K978" s="278">
        <v>2.7718930791290948</v>
      </c>
      <c r="L978" s="278">
        <f>SUM(J978:K978)</f>
        <v>6.6313246614030241</v>
      </c>
      <c r="M978" s="212"/>
      <c r="N978" s="212"/>
    </row>
    <row r="979" spans="1:14">
      <c r="A979" s="213" t="str">
        <f>name!E$5</f>
        <v>Professional occupations</v>
      </c>
      <c r="B979" s="278">
        <v>12.122141478204146</v>
      </c>
      <c r="C979" s="278">
        <v>9.3688852752645495</v>
      </c>
      <c r="D979" s="278">
        <f t="shared" ref="D979:D986" si="358">SUM(B979:C979)</f>
        <v>21.491026753468695</v>
      </c>
      <c r="E979" s="279"/>
      <c r="F979" s="278">
        <v>20.551856431387243</v>
      </c>
      <c r="G979" s="278">
        <v>13.638786446868908</v>
      </c>
      <c r="H979" s="278">
        <f t="shared" ref="H979:H986" si="359">SUM(F979:G979)</f>
        <v>34.190642878256149</v>
      </c>
      <c r="I979" s="279"/>
      <c r="J979" s="278">
        <v>27.063430120522781</v>
      </c>
      <c r="K979" s="278">
        <v>15.457228715878838</v>
      </c>
      <c r="L979" s="278">
        <f t="shared" ref="L979:L986" si="360">SUM(J979:K979)</f>
        <v>42.520658836401623</v>
      </c>
      <c r="M979" s="212"/>
      <c r="N979" s="212"/>
    </row>
    <row r="980" spans="1:14">
      <c r="A980" s="213" t="str">
        <f>name!E$6</f>
        <v>Associate professional occupations</v>
      </c>
      <c r="B980" s="278">
        <v>5.8539354923001072</v>
      </c>
      <c r="C980" s="278">
        <v>3.8766964338992413</v>
      </c>
      <c r="D980" s="278">
        <f t="shared" si="358"/>
        <v>9.730631926199349</v>
      </c>
      <c r="E980" s="279"/>
      <c r="F980" s="278">
        <v>9.0427947681486884</v>
      </c>
      <c r="G980" s="278">
        <v>4.9244484962351249</v>
      </c>
      <c r="H980" s="278">
        <f t="shared" si="359"/>
        <v>13.967243264383814</v>
      </c>
      <c r="I980" s="279"/>
      <c r="J980" s="278">
        <v>17.360898379368546</v>
      </c>
      <c r="K980" s="278">
        <v>7.0049907148728598</v>
      </c>
      <c r="L980" s="278">
        <f t="shared" si="360"/>
        <v>24.365889094241407</v>
      </c>
      <c r="M980" s="212"/>
      <c r="N980" s="212"/>
    </row>
    <row r="981" spans="1:14">
      <c r="A981" s="213" t="str">
        <f>name!E$7</f>
        <v>Administrative and secretarial occupations</v>
      </c>
      <c r="B981" s="278">
        <v>3.9541511593922305</v>
      </c>
      <c r="C981" s="278">
        <v>1.5087019973805105</v>
      </c>
      <c r="D981" s="278">
        <f t="shared" si="358"/>
        <v>5.4628531567727414</v>
      </c>
      <c r="E981" s="279"/>
      <c r="F981" s="278">
        <v>5.4683853474248298</v>
      </c>
      <c r="G981" s="278">
        <v>1.8050219188325778</v>
      </c>
      <c r="H981" s="278">
        <f t="shared" si="359"/>
        <v>7.2734072662574079</v>
      </c>
      <c r="I981" s="279"/>
      <c r="J981" s="278">
        <v>4.2037304258950439</v>
      </c>
      <c r="K981" s="278">
        <v>2.0696355122131638</v>
      </c>
      <c r="L981" s="278">
        <f t="shared" si="360"/>
        <v>6.2733659381082081</v>
      </c>
      <c r="M981" s="212"/>
      <c r="N981" s="212"/>
    </row>
    <row r="982" spans="1:14">
      <c r="A982" s="213" t="str">
        <f>name!E$8</f>
        <v>Skilled trades occupations</v>
      </c>
      <c r="B982" s="278">
        <v>0.2936776074985849</v>
      </c>
      <c r="C982" s="278">
        <v>0.84038780718950601</v>
      </c>
      <c r="D982" s="278">
        <f t="shared" si="358"/>
        <v>1.1340654146880909</v>
      </c>
      <c r="E982" s="279"/>
      <c r="F982" s="278">
        <v>0.37185238246809965</v>
      </c>
      <c r="G982" s="278">
        <v>0.81114639664827781</v>
      </c>
      <c r="H982" s="278">
        <f t="shared" si="359"/>
        <v>1.1829987791163774</v>
      </c>
      <c r="I982" s="279"/>
      <c r="J982" s="278">
        <v>0.28337806315496428</v>
      </c>
      <c r="K982" s="278">
        <v>0.72453977452904605</v>
      </c>
      <c r="L982" s="278">
        <f t="shared" si="360"/>
        <v>1.0079178376840103</v>
      </c>
      <c r="M982" s="212"/>
      <c r="N982" s="212"/>
    </row>
    <row r="983" spans="1:14">
      <c r="A983" s="213" t="str">
        <f>name!E$9</f>
        <v>Caring, leisure and other service occupations</v>
      </c>
      <c r="B983" s="278">
        <v>17.746240638258122</v>
      </c>
      <c r="C983" s="278">
        <v>6.0348660008128148</v>
      </c>
      <c r="D983" s="278">
        <f t="shared" si="358"/>
        <v>23.781106639070938</v>
      </c>
      <c r="E983" s="279"/>
      <c r="F983" s="278">
        <v>25.331070280611161</v>
      </c>
      <c r="G983" s="278">
        <v>8.0489177994021972</v>
      </c>
      <c r="H983" s="278">
        <f t="shared" si="359"/>
        <v>33.379988080013362</v>
      </c>
      <c r="I983" s="279"/>
      <c r="J983" s="278">
        <v>31.38621162972499</v>
      </c>
      <c r="K983" s="278">
        <v>13.007742325149888</v>
      </c>
      <c r="L983" s="278">
        <f t="shared" si="360"/>
        <v>44.393953954874874</v>
      </c>
      <c r="M983" s="212"/>
      <c r="N983" s="212"/>
    </row>
    <row r="984" spans="1:14">
      <c r="A984" s="213" t="str">
        <f>name!E$10</f>
        <v>Sales and customer service occupations</v>
      </c>
      <c r="B984" s="278">
        <v>0.57765039799718576</v>
      </c>
      <c r="C984" s="278">
        <v>0.33735224198985725</v>
      </c>
      <c r="D984" s="278">
        <f t="shared" si="358"/>
        <v>0.91500263998704301</v>
      </c>
      <c r="E984" s="279"/>
      <c r="F984" s="278">
        <v>0.74786332102161723</v>
      </c>
      <c r="G984" s="278">
        <v>0.37336253880999326</v>
      </c>
      <c r="H984" s="278">
        <f t="shared" si="359"/>
        <v>1.1212258598316105</v>
      </c>
      <c r="I984" s="279"/>
      <c r="J984" s="278">
        <v>0.90801682908109727</v>
      </c>
      <c r="K984" s="278">
        <v>0.40642576271411468</v>
      </c>
      <c r="L984" s="278">
        <f t="shared" si="360"/>
        <v>1.3144425917952121</v>
      </c>
      <c r="M984" s="212"/>
      <c r="N984" s="212"/>
    </row>
    <row r="985" spans="1:14">
      <c r="A985" s="213" t="str">
        <f>name!E$11</f>
        <v>Process, plant and machine operatives</v>
      </c>
      <c r="B985" s="278">
        <v>8.0837318423340798E-2</v>
      </c>
      <c r="C985" s="278">
        <v>0.4060909406389987</v>
      </c>
      <c r="D985" s="278">
        <f t="shared" si="358"/>
        <v>0.4869282590623395</v>
      </c>
      <c r="E985" s="279"/>
      <c r="F985" s="278">
        <v>9.2313137028767839E-2</v>
      </c>
      <c r="G985" s="278">
        <v>0.43704086075847021</v>
      </c>
      <c r="H985" s="278">
        <f t="shared" si="359"/>
        <v>0.52935399778723802</v>
      </c>
      <c r="I985" s="279"/>
      <c r="J985" s="278">
        <v>9.1697947442474434E-2</v>
      </c>
      <c r="K985" s="278">
        <v>0.3783648114645366</v>
      </c>
      <c r="L985" s="278">
        <f t="shared" si="360"/>
        <v>0.47006275890701105</v>
      </c>
      <c r="M985" s="212"/>
      <c r="N985" s="212"/>
    </row>
    <row r="986" spans="1:14">
      <c r="A986" s="213" t="str">
        <f>name!E$12</f>
        <v>Elementary occupations</v>
      </c>
      <c r="B986" s="278">
        <v>0.83550283784233315</v>
      </c>
      <c r="C986" s="278">
        <v>1.1690570320794584</v>
      </c>
      <c r="D986" s="278">
        <f t="shared" si="358"/>
        <v>2.0045598699217915</v>
      </c>
      <c r="E986" s="279"/>
      <c r="F986" s="278">
        <v>0.87181629880029032</v>
      </c>
      <c r="G986" s="278">
        <v>1.1424055787939937</v>
      </c>
      <c r="H986" s="278">
        <f t="shared" si="359"/>
        <v>2.0142218775942839</v>
      </c>
      <c r="I986" s="279"/>
      <c r="J986" s="278">
        <v>0.97120502136599951</v>
      </c>
      <c r="K986" s="278">
        <v>1.0511793042690387</v>
      </c>
      <c r="L986" s="278">
        <f t="shared" si="360"/>
        <v>2.0223843256350382</v>
      </c>
      <c r="M986" s="212"/>
      <c r="N986" s="212"/>
    </row>
    <row r="987" spans="1:14">
      <c r="A987" s="213"/>
      <c r="B987" s="278"/>
      <c r="C987" s="278"/>
      <c r="D987" s="278"/>
      <c r="E987" s="279"/>
      <c r="F987" s="278"/>
      <c r="G987" s="278"/>
      <c r="H987" s="278"/>
      <c r="I987" s="279"/>
      <c r="J987" s="278"/>
      <c r="K987" s="278"/>
      <c r="L987" s="278"/>
      <c r="M987" s="212"/>
      <c r="N987" s="212"/>
    </row>
    <row r="988" spans="1:14">
      <c r="A988" s="220" t="s">
        <v>119</v>
      </c>
      <c r="B988" s="282">
        <f>SUM(B978:B986)</f>
        <v>43.155999998508463</v>
      </c>
      <c r="C988" s="282">
        <f t="shared" ref="C988:D988" si="361">SUM(C978:C986)</f>
        <v>25.462000000035992</v>
      </c>
      <c r="D988" s="282">
        <f t="shared" si="361"/>
        <v>68.617999998544434</v>
      </c>
      <c r="E988" s="282"/>
      <c r="F988" s="282">
        <f t="shared" ref="F988:H988" si="362">SUM(F978:F986)</f>
        <v>65.342000000839576</v>
      </c>
      <c r="G988" s="282">
        <f t="shared" si="362"/>
        <v>33.792999999986932</v>
      </c>
      <c r="H988" s="282">
        <f t="shared" si="362"/>
        <v>99.135000000826508</v>
      </c>
      <c r="I988" s="282"/>
      <c r="J988" s="282">
        <f t="shared" ref="J988:L988" si="363">SUM(J978:J986)</f>
        <v>86.127999998829821</v>
      </c>
      <c r="K988" s="282">
        <f t="shared" si="363"/>
        <v>42.872000000220588</v>
      </c>
      <c r="L988" s="282">
        <f t="shared" si="363"/>
        <v>128.9999999990504</v>
      </c>
      <c r="M988" s="212"/>
      <c r="N988" s="212"/>
    </row>
    <row r="989" spans="1:14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6"/>
      <c r="M989" s="212"/>
      <c r="N989" s="212"/>
    </row>
    <row r="990" spans="1:14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32" t="s">
        <v>114</v>
      </c>
      <c r="M990" s="212"/>
      <c r="N990" s="212"/>
    </row>
    <row r="991" spans="1:14" ht="12.95">
      <c r="A991" s="218"/>
      <c r="B991" s="226"/>
      <c r="C991" s="226"/>
      <c r="D991" s="226"/>
      <c r="E991" s="226"/>
      <c r="F991" s="226"/>
      <c r="G991" s="226"/>
      <c r="H991" s="226"/>
      <c r="I991" s="226"/>
      <c r="J991" s="226"/>
      <c r="K991" s="226"/>
      <c r="L991" s="212"/>
      <c r="M991" s="212"/>
      <c r="N991" s="212"/>
    </row>
    <row r="992" spans="1:14" ht="12.95">
      <c r="A992" s="217" t="str">
        <f>name!A61</f>
        <v>Rental and leasing</v>
      </c>
      <c r="B992" s="367">
        <f>B$6</f>
        <v>2015</v>
      </c>
      <c r="C992" s="367"/>
      <c r="D992" s="367"/>
      <c r="E992" s="229"/>
      <c r="F992" s="367">
        <f>F$6</f>
        <v>2020</v>
      </c>
      <c r="G992" s="367"/>
      <c r="H992" s="367"/>
      <c r="I992" s="229"/>
      <c r="J992" s="367">
        <f>J$6</f>
        <v>2035</v>
      </c>
      <c r="K992" s="367"/>
      <c r="L992" s="367"/>
      <c r="M992" s="212"/>
      <c r="N992" s="212"/>
    </row>
    <row r="993" spans="1:14" ht="12.95">
      <c r="A993" s="230"/>
      <c r="B993" s="231" t="s">
        <v>173</v>
      </c>
      <c r="C993" s="231" t="s">
        <v>174</v>
      </c>
      <c r="D993" s="231" t="s">
        <v>119</v>
      </c>
      <c r="E993" s="231"/>
      <c r="F993" s="231" t="s">
        <v>173</v>
      </c>
      <c r="G993" s="231" t="s">
        <v>174</v>
      </c>
      <c r="H993" s="231" t="s">
        <v>119</v>
      </c>
      <c r="I993" s="231"/>
      <c r="J993" s="231" t="s">
        <v>173</v>
      </c>
      <c r="K993" s="231" t="s">
        <v>174</v>
      </c>
      <c r="L993" s="231" t="s">
        <v>119</v>
      </c>
      <c r="M993" s="212"/>
      <c r="N993" s="212"/>
    </row>
    <row r="994" spans="1:14" ht="12.95">
      <c r="A994" s="234"/>
      <c r="B994" s="235"/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12"/>
      <c r="N994" s="212"/>
    </row>
    <row r="995" spans="1:14">
      <c r="A995" s="213" t="str">
        <f>name!E$4</f>
        <v>Managers, directors and senior officials</v>
      </c>
      <c r="B995" s="278">
        <v>3.0805789758712572</v>
      </c>
      <c r="C995" s="278">
        <v>24.000179377766045</v>
      </c>
      <c r="D995" s="278">
        <f>SUM(B995:C995)</f>
        <v>27.080758353637304</v>
      </c>
      <c r="E995" s="279"/>
      <c r="F995" s="278">
        <v>3.6196815541494538</v>
      </c>
      <c r="G995" s="278">
        <v>23.677951609558921</v>
      </c>
      <c r="H995" s="278">
        <f>SUM(F995:G995)</f>
        <v>27.297633163708376</v>
      </c>
      <c r="I995" s="279"/>
      <c r="J995" s="278">
        <v>3.8905492028740145</v>
      </c>
      <c r="K995" s="278">
        <v>25.396817394531318</v>
      </c>
      <c r="L995" s="278">
        <f>SUM(J995:K995)</f>
        <v>29.287366597405331</v>
      </c>
      <c r="M995" s="212"/>
      <c r="N995" s="212"/>
    </row>
    <row r="996" spans="1:14">
      <c r="A996" s="213" t="str">
        <f>name!E$5</f>
        <v>Professional occupations</v>
      </c>
      <c r="B996" s="278">
        <v>3.3979276002737717</v>
      </c>
      <c r="C996" s="278">
        <v>19.511405385704645</v>
      </c>
      <c r="D996" s="278">
        <f t="shared" ref="D996:D1003" si="364">SUM(B996:C996)</f>
        <v>22.909332985978416</v>
      </c>
      <c r="E996" s="279"/>
      <c r="F996" s="278">
        <v>4.2477324729388029</v>
      </c>
      <c r="G996" s="278">
        <v>21.196919599973874</v>
      </c>
      <c r="H996" s="278">
        <f t="shared" ref="H996:H1003" si="365">SUM(F996:G996)</f>
        <v>25.444652072912678</v>
      </c>
      <c r="I996" s="279"/>
      <c r="J996" s="278">
        <v>5.3777275124434007</v>
      </c>
      <c r="K996" s="278">
        <v>30.849307119502473</v>
      </c>
      <c r="L996" s="278">
        <f t="shared" ref="L996:L1003" si="366">SUM(J996:K996)</f>
        <v>36.227034631945877</v>
      </c>
      <c r="M996" s="212"/>
      <c r="N996" s="212"/>
    </row>
    <row r="997" spans="1:14">
      <c r="A997" s="213" t="str">
        <f>name!E$6</f>
        <v>Associate professional occupations</v>
      </c>
      <c r="B997" s="278">
        <v>3.6147780622806818</v>
      </c>
      <c r="C997" s="278">
        <v>14.729158432091943</v>
      </c>
      <c r="D997" s="278">
        <f t="shared" si="364"/>
        <v>18.343936494372624</v>
      </c>
      <c r="E997" s="279"/>
      <c r="F997" s="278">
        <v>3.9863512074286449</v>
      </c>
      <c r="G997" s="278">
        <v>14.828335598127575</v>
      </c>
      <c r="H997" s="278">
        <f t="shared" si="365"/>
        <v>18.814686805556221</v>
      </c>
      <c r="I997" s="279"/>
      <c r="J997" s="278">
        <v>5.0069691101967253</v>
      </c>
      <c r="K997" s="278">
        <v>14.896852733349933</v>
      </c>
      <c r="L997" s="278">
        <f t="shared" si="366"/>
        <v>19.903821843546659</v>
      </c>
      <c r="M997" s="212"/>
      <c r="N997" s="212"/>
    </row>
    <row r="998" spans="1:14">
      <c r="A998" s="213" t="str">
        <f>name!E$7</f>
        <v>Administrative and secretarial occupations</v>
      </c>
      <c r="B998" s="278">
        <v>8.3854314406657</v>
      </c>
      <c r="C998" s="278">
        <v>9.3149001009754766</v>
      </c>
      <c r="D998" s="278">
        <f t="shared" si="364"/>
        <v>17.700331541641177</v>
      </c>
      <c r="E998" s="279"/>
      <c r="F998" s="278">
        <v>7.767310541993159</v>
      </c>
      <c r="G998" s="278">
        <v>8.6946125079203647</v>
      </c>
      <c r="H998" s="278">
        <f t="shared" si="365"/>
        <v>16.461923049913523</v>
      </c>
      <c r="I998" s="279"/>
      <c r="J998" s="278">
        <v>7.4216274463854237</v>
      </c>
      <c r="K998" s="278">
        <v>12.042991093246611</v>
      </c>
      <c r="L998" s="278">
        <f t="shared" si="366"/>
        <v>19.464618539632035</v>
      </c>
      <c r="M998" s="212"/>
      <c r="N998" s="212"/>
    </row>
    <row r="999" spans="1:14">
      <c r="A999" s="213" t="str">
        <f>name!E$8</f>
        <v>Skilled trades occupations</v>
      </c>
      <c r="B999" s="278">
        <v>0.66694467041199523</v>
      </c>
      <c r="C999" s="278">
        <v>15.91599602497368</v>
      </c>
      <c r="D999" s="278">
        <f t="shared" si="364"/>
        <v>16.582940695385673</v>
      </c>
      <c r="E999" s="279"/>
      <c r="F999" s="278">
        <v>0.7395473686944779</v>
      </c>
      <c r="G999" s="278">
        <v>11.068821440777935</v>
      </c>
      <c r="H999" s="278">
        <f t="shared" si="365"/>
        <v>11.808368809472412</v>
      </c>
      <c r="I999" s="279"/>
      <c r="J999" s="278">
        <v>1.3361553041524601</v>
      </c>
      <c r="K999" s="278">
        <v>10.051682300920364</v>
      </c>
      <c r="L999" s="278">
        <f t="shared" si="366"/>
        <v>11.387837605072823</v>
      </c>
      <c r="M999" s="212"/>
      <c r="N999" s="212"/>
    </row>
    <row r="1000" spans="1:14">
      <c r="A1000" s="213" t="str">
        <f>name!E$9</f>
        <v>Caring, leisure and other service occupations</v>
      </c>
      <c r="B1000" s="278">
        <v>0.832381181159911</v>
      </c>
      <c r="C1000" s="278">
        <v>3.616699982228599</v>
      </c>
      <c r="D1000" s="278">
        <f t="shared" si="364"/>
        <v>4.4490811633885103</v>
      </c>
      <c r="E1000" s="279"/>
      <c r="F1000" s="278">
        <v>0.81498526257504322</v>
      </c>
      <c r="G1000" s="278">
        <v>3.3983152765027484</v>
      </c>
      <c r="H1000" s="278">
        <f t="shared" si="365"/>
        <v>4.2133005390777916</v>
      </c>
      <c r="I1000" s="279"/>
      <c r="J1000" s="278">
        <v>0.81227848570308825</v>
      </c>
      <c r="K1000" s="278">
        <v>5.0690406809088344</v>
      </c>
      <c r="L1000" s="278">
        <f t="shared" si="366"/>
        <v>5.8813191666119229</v>
      </c>
      <c r="M1000" s="212"/>
      <c r="N1000" s="212"/>
    </row>
    <row r="1001" spans="1:14">
      <c r="A1001" s="213" t="str">
        <f>name!E$10</f>
        <v>Sales and customer service occupations</v>
      </c>
      <c r="B1001" s="278">
        <v>6.3409372319598445</v>
      </c>
      <c r="C1001" s="278">
        <v>8.0472968354992336</v>
      </c>
      <c r="D1001" s="278">
        <f t="shared" si="364"/>
        <v>14.388234067459077</v>
      </c>
      <c r="E1001" s="279"/>
      <c r="F1001" s="278">
        <v>5.7049147152744322</v>
      </c>
      <c r="G1001" s="278">
        <v>6.3333051049333386</v>
      </c>
      <c r="H1001" s="278">
        <f t="shared" si="365"/>
        <v>12.038219820207772</v>
      </c>
      <c r="I1001" s="279"/>
      <c r="J1001" s="278">
        <v>6.3850241921218425</v>
      </c>
      <c r="K1001" s="278">
        <v>6.5852041981678866</v>
      </c>
      <c r="L1001" s="278">
        <f t="shared" si="366"/>
        <v>12.97022839028973</v>
      </c>
      <c r="M1001" s="212"/>
      <c r="N1001" s="212"/>
    </row>
    <row r="1002" spans="1:14">
      <c r="A1002" s="213" t="str">
        <f>name!E$11</f>
        <v>Process, plant and machine operatives</v>
      </c>
      <c r="B1002" s="278">
        <v>0.80657996618146621</v>
      </c>
      <c r="C1002" s="278">
        <v>19.462796425384372</v>
      </c>
      <c r="D1002" s="278">
        <f t="shared" si="364"/>
        <v>20.269376391565839</v>
      </c>
      <c r="E1002" s="279"/>
      <c r="F1002" s="278">
        <v>0.55705170255444258</v>
      </c>
      <c r="G1002" s="278">
        <v>15.795093769611974</v>
      </c>
      <c r="H1002" s="278">
        <f t="shared" si="365"/>
        <v>16.352145472166416</v>
      </c>
      <c r="I1002" s="279"/>
      <c r="J1002" s="278">
        <v>0.89428322689349427</v>
      </c>
      <c r="K1002" s="278">
        <v>14.414113561879354</v>
      </c>
      <c r="L1002" s="278">
        <f t="shared" si="366"/>
        <v>15.308396788772848</v>
      </c>
      <c r="M1002" s="212"/>
      <c r="N1002" s="212"/>
    </row>
    <row r="1003" spans="1:14">
      <c r="A1003" s="213" t="str">
        <f>name!E$12</f>
        <v>Elementary occupations</v>
      </c>
      <c r="B1003" s="278">
        <v>1.6464408712802177</v>
      </c>
      <c r="C1003" s="278">
        <v>3.5665674355785946</v>
      </c>
      <c r="D1003" s="278">
        <f t="shared" si="364"/>
        <v>5.2130083068588124</v>
      </c>
      <c r="E1003" s="279"/>
      <c r="F1003" s="278">
        <v>1.3874251743685102</v>
      </c>
      <c r="G1003" s="278">
        <v>2.4046450926572764</v>
      </c>
      <c r="H1003" s="278">
        <f t="shared" si="365"/>
        <v>3.7920702670257866</v>
      </c>
      <c r="I1003" s="279"/>
      <c r="J1003" s="278">
        <v>1.9663855199234184</v>
      </c>
      <c r="K1003" s="278">
        <v>2.6649909179345688</v>
      </c>
      <c r="L1003" s="278">
        <f t="shared" si="366"/>
        <v>4.6313764378579876</v>
      </c>
      <c r="M1003" s="212"/>
      <c r="N1003" s="212"/>
    </row>
    <row r="1004" spans="1:14">
      <c r="A1004" s="213"/>
      <c r="B1004" s="278"/>
      <c r="C1004" s="278"/>
      <c r="D1004" s="278"/>
      <c r="E1004" s="279"/>
      <c r="F1004" s="278"/>
      <c r="G1004" s="278"/>
      <c r="H1004" s="278"/>
      <c r="I1004" s="279"/>
      <c r="J1004" s="278"/>
      <c r="K1004" s="278"/>
      <c r="L1004" s="278"/>
      <c r="M1004" s="212"/>
      <c r="N1004" s="212"/>
    </row>
    <row r="1005" spans="1:14">
      <c r="A1005" s="220" t="s">
        <v>119</v>
      </c>
      <c r="B1005" s="282">
        <f>SUM(B995:B1003)</f>
        <v>28.772000000084844</v>
      </c>
      <c r="C1005" s="282">
        <f t="shared" ref="C1005:D1005" si="367">SUM(C995:C1003)</f>
        <v>118.16500000020258</v>
      </c>
      <c r="D1005" s="282">
        <f t="shared" si="367"/>
        <v>146.93700000028744</v>
      </c>
      <c r="E1005" s="282"/>
      <c r="F1005" s="282">
        <f t="shared" ref="F1005:H1005" si="368">SUM(F995:F1003)</f>
        <v>28.824999999976963</v>
      </c>
      <c r="G1005" s="282">
        <f t="shared" si="368"/>
        <v>107.39800000006402</v>
      </c>
      <c r="H1005" s="282">
        <f t="shared" si="368"/>
        <v>136.223000000041</v>
      </c>
      <c r="I1005" s="282"/>
      <c r="J1005" s="282">
        <f t="shared" ref="J1005:L1005" si="369">SUM(J995:J1003)</f>
        <v>33.091000000693867</v>
      </c>
      <c r="K1005" s="282">
        <f t="shared" si="369"/>
        <v>121.97100000044134</v>
      </c>
      <c r="L1005" s="282">
        <f t="shared" si="369"/>
        <v>155.0620000011352</v>
      </c>
      <c r="M1005" s="212"/>
      <c r="N1005" s="212"/>
    </row>
    <row r="1006" spans="1:14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6"/>
      <c r="M1006" s="212"/>
      <c r="N1006" s="212"/>
    </row>
    <row r="1007" spans="1:14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32" t="s">
        <v>114</v>
      </c>
      <c r="M1007" s="212"/>
      <c r="N1007" s="212"/>
    </row>
    <row r="1008" spans="1:14" ht="12.95">
      <c r="A1008" s="218"/>
      <c r="B1008" s="226"/>
      <c r="C1008" s="226"/>
      <c r="D1008" s="226"/>
      <c r="E1008" s="226"/>
      <c r="F1008" s="226"/>
      <c r="G1008" s="226"/>
      <c r="H1008" s="226"/>
      <c r="I1008" s="226"/>
      <c r="J1008" s="226"/>
      <c r="K1008" s="226"/>
      <c r="L1008" s="212"/>
      <c r="M1008" s="212"/>
      <c r="N1008" s="212"/>
    </row>
    <row r="1009" spans="1:14" ht="12.95">
      <c r="A1009" s="217" t="str">
        <f>name!A62</f>
        <v>Employment activities</v>
      </c>
      <c r="B1009" s="367">
        <f>B$6</f>
        <v>2015</v>
      </c>
      <c r="C1009" s="367"/>
      <c r="D1009" s="367"/>
      <c r="E1009" s="229"/>
      <c r="F1009" s="367">
        <f>F$6</f>
        <v>2020</v>
      </c>
      <c r="G1009" s="367"/>
      <c r="H1009" s="367"/>
      <c r="I1009" s="229"/>
      <c r="J1009" s="367">
        <f>J$6</f>
        <v>2035</v>
      </c>
      <c r="K1009" s="367"/>
      <c r="L1009" s="367"/>
      <c r="M1009" s="212"/>
      <c r="N1009" s="212"/>
    </row>
    <row r="1010" spans="1:14" ht="12.95">
      <c r="A1010" s="230"/>
      <c r="B1010" s="231" t="s">
        <v>173</v>
      </c>
      <c r="C1010" s="231" t="s">
        <v>174</v>
      </c>
      <c r="D1010" s="231" t="s">
        <v>119</v>
      </c>
      <c r="E1010" s="231"/>
      <c r="F1010" s="231" t="s">
        <v>173</v>
      </c>
      <c r="G1010" s="231" t="s">
        <v>174</v>
      </c>
      <c r="H1010" s="231" t="s">
        <v>119</v>
      </c>
      <c r="I1010" s="231"/>
      <c r="J1010" s="231" t="s">
        <v>173</v>
      </c>
      <c r="K1010" s="231" t="s">
        <v>174</v>
      </c>
      <c r="L1010" s="231" t="s">
        <v>119</v>
      </c>
      <c r="M1010" s="212"/>
      <c r="N1010" s="212"/>
    </row>
    <row r="1011" spans="1:14" ht="12.95">
      <c r="A1011" s="234"/>
      <c r="B1011" s="235"/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12"/>
      <c r="N1011" s="212"/>
    </row>
    <row r="1012" spans="1:14">
      <c r="A1012" s="213" t="str">
        <f>name!E$4</f>
        <v>Managers, directors and senior officials</v>
      </c>
      <c r="B1012" s="278">
        <v>27.091697010945584</v>
      </c>
      <c r="C1012" s="278">
        <v>56.762187515955212</v>
      </c>
      <c r="D1012" s="278">
        <f>SUM(B1012:C1012)</f>
        <v>83.853884526900799</v>
      </c>
      <c r="E1012" s="279"/>
      <c r="F1012" s="278">
        <v>30.665517223771836</v>
      </c>
      <c r="G1012" s="278">
        <v>57.441299178274541</v>
      </c>
      <c r="H1012" s="278">
        <f>SUM(F1012:G1012)</f>
        <v>88.106816402046377</v>
      </c>
      <c r="I1012" s="279"/>
      <c r="J1012" s="278">
        <v>34.260370546067556</v>
      </c>
      <c r="K1012" s="278">
        <v>60.615728669941952</v>
      </c>
      <c r="L1012" s="278">
        <f>SUM(J1012:K1012)</f>
        <v>94.876099216009507</v>
      </c>
      <c r="M1012" s="212"/>
      <c r="N1012" s="212"/>
    </row>
    <row r="1013" spans="1:14">
      <c r="A1013" s="213" t="str">
        <f>name!E$5</f>
        <v>Professional occupations</v>
      </c>
      <c r="B1013" s="278">
        <v>37.681521213662059</v>
      </c>
      <c r="C1013" s="278">
        <v>60.904078841920288</v>
      </c>
      <c r="D1013" s="278">
        <f t="shared" ref="D1013:D1020" si="370">SUM(B1013:C1013)</f>
        <v>98.585600055582347</v>
      </c>
      <c r="E1013" s="279"/>
      <c r="F1013" s="278">
        <v>46.192009420614347</v>
      </c>
      <c r="G1013" s="278">
        <v>69.779427834851489</v>
      </c>
      <c r="H1013" s="278">
        <f t="shared" ref="H1013:H1020" si="371">SUM(F1013:G1013)</f>
        <v>115.97143725546584</v>
      </c>
      <c r="I1013" s="279"/>
      <c r="J1013" s="278">
        <v>60.292915446347017</v>
      </c>
      <c r="K1013" s="278">
        <v>99.147229976828939</v>
      </c>
      <c r="L1013" s="278">
        <f t="shared" ref="L1013:L1020" si="372">SUM(J1013:K1013)</f>
        <v>159.44014542317595</v>
      </c>
      <c r="M1013" s="212"/>
      <c r="N1013" s="212"/>
    </row>
    <row r="1014" spans="1:14">
      <c r="A1014" s="213" t="str">
        <f>name!E$6</f>
        <v>Associate professional occupations</v>
      </c>
      <c r="B1014" s="278">
        <v>52.60046781878291</v>
      </c>
      <c r="C1014" s="278">
        <v>96.147555562284069</v>
      </c>
      <c r="D1014" s="278">
        <f t="shared" si="370"/>
        <v>148.74802338106699</v>
      </c>
      <c r="E1014" s="279"/>
      <c r="F1014" s="278">
        <v>57.774720080196069</v>
      </c>
      <c r="G1014" s="278">
        <v>95.179248325730882</v>
      </c>
      <c r="H1014" s="278">
        <f t="shared" si="371"/>
        <v>152.95396840592696</v>
      </c>
      <c r="I1014" s="279"/>
      <c r="J1014" s="278">
        <v>70.040895870107249</v>
      </c>
      <c r="K1014" s="278">
        <v>97.950182726467872</v>
      </c>
      <c r="L1014" s="278">
        <f t="shared" si="372"/>
        <v>167.99107859657511</v>
      </c>
      <c r="M1014" s="212"/>
      <c r="N1014" s="212"/>
    </row>
    <row r="1015" spans="1:14">
      <c r="A1015" s="213" t="str">
        <f>name!E$7</f>
        <v>Administrative and secretarial occupations</v>
      </c>
      <c r="B1015" s="278">
        <v>65.272456032330211</v>
      </c>
      <c r="C1015" s="278">
        <v>35.122075057749385</v>
      </c>
      <c r="D1015" s="278">
        <f t="shared" si="370"/>
        <v>100.3945310900796</v>
      </c>
      <c r="E1015" s="279"/>
      <c r="F1015" s="278">
        <v>60.013633587003852</v>
      </c>
      <c r="G1015" s="278">
        <v>37.070508880055591</v>
      </c>
      <c r="H1015" s="278">
        <f t="shared" si="371"/>
        <v>97.084142467059451</v>
      </c>
      <c r="I1015" s="279"/>
      <c r="J1015" s="278">
        <v>62.216675942961011</v>
      </c>
      <c r="K1015" s="278">
        <v>47.729342314618705</v>
      </c>
      <c r="L1015" s="278">
        <f t="shared" si="372"/>
        <v>109.94601825757971</v>
      </c>
      <c r="M1015" s="212"/>
      <c r="N1015" s="212"/>
    </row>
    <row r="1016" spans="1:14">
      <c r="A1016" s="213" t="str">
        <f>name!E$8</f>
        <v>Skilled trades occupations</v>
      </c>
      <c r="B1016" s="278">
        <v>5.1322941873920396</v>
      </c>
      <c r="C1016" s="278">
        <v>29.874186285143598</v>
      </c>
      <c r="D1016" s="278">
        <f t="shared" si="370"/>
        <v>35.006480472535635</v>
      </c>
      <c r="E1016" s="279"/>
      <c r="F1016" s="278">
        <v>5.7176223477223767</v>
      </c>
      <c r="G1016" s="278">
        <v>20.002567856173368</v>
      </c>
      <c r="H1016" s="278">
        <f t="shared" si="371"/>
        <v>25.720190203895744</v>
      </c>
      <c r="I1016" s="279"/>
      <c r="J1016" s="278">
        <v>10.014272433582384</v>
      </c>
      <c r="K1016" s="278">
        <v>19.823749947169485</v>
      </c>
      <c r="L1016" s="278">
        <f t="shared" si="372"/>
        <v>29.83802238075187</v>
      </c>
      <c r="M1016" s="212"/>
      <c r="N1016" s="212"/>
    </row>
    <row r="1017" spans="1:14">
      <c r="A1017" s="213" t="str">
        <f>name!E$9</f>
        <v>Caring, leisure and other service occupations</v>
      </c>
      <c r="B1017" s="278">
        <v>37.265733333562899</v>
      </c>
      <c r="C1017" s="278">
        <v>20.746757384647061</v>
      </c>
      <c r="D1017" s="278">
        <f t="shared" si="370"/>
        <v>58.012490718209961</v>
      </c>
      <c r="E1017" s="279"/>
      <c r="F1017" s="278">
        <v>35.755998464982532</v>
      </c>
      <c r="G1017" s="278">
        <v>22.61918840690408</v>
      </c>
      <c r="H1017" s="278">
        <f t="shared" si="371"/>
        <v>58.375186871886612</v>
      </c>
      <c r="I1017" s="279"/>
      <c r="J1017" s="278">
        <v>42.592012798251424</v>
      </c>
      <c r="K1017" s="278">
        <v>29.078350787251217</v>
      </c>
      <c r="L1017" s="278">
        <f t="shared" si="372"/>
        <v>71.670363585502642</v>
      </c>
      <c r="M1017" s="212"/>
      <c r="N1017" s="212"/>
    </row>
    <row r="1018" spans="1:14">
      <c r="A1018" s="213" t="str">
        <f>name!E$10</f>
        <v>Sales and customer service occupations</v>
      </c>
      <c r="B1018" s="278">
        <v>22.82763100066407</v>
      </c>
      <c r="C1018" s="278">
        <v>38.915436508068595</v>
      </c>
      <c r="D1018" s="278">
        <f t="shared" si="370"/>
        <v>61.743067508732665</v>
      </c>
      <c r="E1018" s="279"/>
      <c r="F1018" s="278">
        <v>21.926533650201801</v>
      </c>
      <c r="G1018" s="278">
        <v>35.58433800887407</v>
      </c>
      <c r="H1018" s="278">
        <f t="shared" si="371"/>
        <v>57.510871659075875</v>
      </c>
      <c r="I1018" s="279"/>
      <c r="J1018" s="278">
        <v>28.216083574357334</v>
      </c>
      <c r="K1018" s="278">
        <v>44.436777760107887</v>
      </c>
      <c r="L1018" s="278">
        <f t="shared" si="372"/>
        <v>72.652861334465229</v>
      </c>
      <c r="M1018" s="212"/>
      <c r="N1018" s="212"/>
    </row>
    <row r="1019" spans="1:14">
      <c r="A1019" s="213" t="str">
        <f>name!E$11</f>
        <v>Process, plant and machine operatives</v>
      </c>
      <c r="B1019" s="278">
        <v>4.1089847212948012</v>
      </c>
      <c r="C1019" s="278">
        <v>30.876523925915635</v>
      </c>
      <c r="D1019" s="278">
        <f t="shared" si="370"/>
        <v>34.985508647210438</v>
      </c>
      <c r="E1019" s="279"/>
      <c r="F1019" s="278">
        <v>3.2014208129262651</v>
      </c>
      <c r="G1019" s="278">
        <v>28.05742533611155</v>
      </c>
      <c r="H1019" s="278">
        <f t="shared" si="371"/>
        <v>31.258846149037815</v>
      </c>
      <c r="I1019" s="279"/>
      <c r="J1019" s="278">
        <v>4.6652824096594596</v>
      </c>
      <c r="K1019" s="278">
        <v>27.627889091899092</v>
      </c>
      <c r="L1019" s="278">
        <f t="shared" si="372"/>
        <v>32.293171501558554</v>
      </c>
      <c r="M1019" s="212"/>
      <c r="N1019" s="212"/>
    </row>
    <row r="1020" spans="1:14" ht="13.5" customHeight="1">
      <c r="A1020" s="213" t="str">
        <f>name!E$12</f>
        <v>Elementary occupations</v>
      </c>
      <c r="B1020" s="278">
        <v>88.17421468362835</v>
      </c>
      <c r="C1020" s="278">
        <v>207.36519892223106</v>
      </c>
      <c r="D1020" s="278">
        <f t="shared" si="370"/>
        <v>295.53941360585941</v>
      </c>
      <c r="E1020" s="279"/>
      <c r="F1020" s="278">
        <v>73.997544411469164</v>
      </c>
      <c r="G1020" s="278">
        <v>173.56799617428635</v>
      </c>
      <c r="H1020" s="278">
        <f t="shared" si="371"/>
        <v>247.56554058575551</v>
      </c>
      <c r="I1020" s="279"/>
      <c r="J1020" s="278">
        <v>70.568490981501895</v>
      </c>
      <c r="K1020" s="278">
        <v>184.33574872888909</v>
      </c>
      <c r="L1020" s="278">
        <f t="shared" si="372"/>
        <v>254.90423971039098</v>
      </c>
      <c r="M1020" s="212"/>
      <c r="N1020" s="212"/>
    </row>
    <row r="1021" spans="1:14" ht="13.5" customHeight="1">
      <c r="A1021" s="213"/>
      <c r="B1021" s="278"/>
      <c r="C1021" s="278"/>
      <c r="D1021" s="278"/>
      <c r="E1021" s="279"/>
      <c r="F1021" s="278"/>
      <c r="G1021" s="278"/>
      <c r="H1021" s="278"/>
      <c r="I1021" s="279"/>
      <c r="J1021" s="278"/>
      <c r="K1021" s="278"/>
      <c r="L1021" s="278"/>
      <c r="M1021" s="212"/>
      <c r="N1021" s="212"/>
    </row>
    <row r="1022" spans="1:14">
      <c r="A1022" s="220" t="s">
        <v>119</v>
      </c>
      <c r="B1022" s="282">
        <f>SUM(B1012:B1020)</f>
        <v>340.15500000226291</v>
      </c>
      <c r="C1022" s="282">
        <f t="shared" ref="C1022:D1022" si="373">SUM(C1012:C1020)</f>
        <v>576.71400000391486</v>
      </c>
      <c r="D1022" s="282">
        <f t="shared" si="373"/>
        <v>916.86900000617788</v>
      </c>
      <c r="E1022" s="282"/>
      <c r="F1022" s="282">
        <f t="shared" ref="F1022:H1022" si="374">SUM(F1012:F1020)</f>
        <v>335.2449999988882</v>
      </c>
      <c r="G1022" s="282">
        <f t="shared" si="374"/>
        <v>539.30200000126183</v>
      </c>
      <c r="H1022" s="282">
        <f t="shared" si="374"/>
        <v>874.54700000015009</v>
      </c>
      <c r="I1022" s="282"/>
      <c r="J1022" s="282">
        <f t="shared" ref="J1022:L1022" si="375">SUM(J1012:J1020)</f>
        <v>382.86700000283537</v>
      </c>
      <c r="K1022" s="282">
        <f t="shared" si="375"/>
        <v>610.74500000317425</v>
      </c>
      <c r="L1022" s="282">
        <f t="shared" si="375"/>
        <v>993.61200000600957</v>
      </c>
      <c r="M1022" s="212"/>
      <c r="N1022" s="212"/>
    </row>
    <row r="1023" spans="1:14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6"/>
      <c r="M1023" s="212"/>
      <c r="N1023" s="212"/>
    </row>
    <row r="1024" spans="1:14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32" t="s">
        <v>114</v>
      </c>
      <c r="M1024" s="212"/>
      <c r="N1024" s="212"/>
    </row>
    <row r="1025" spans="1:14" ht="12.95">
      <c r="A1025" s="218"/>
      <c r="B1025" s="226"/>
      <c r="C1025" s="226"/>
      <c r="D1025" s="226"/>
      <c r="E1025" s="226"/>
      <c r="F1025" s="226"/>
      <c r="G1025" s="226"/>
      <c r="H1025" s="226"/>
      <c r="I1025" s="226"/>
      <c r="J1025" s="226"/>
      <c r="K1025" s="226"/>
      <c r="L1025" s="212"/>
      <c r="M1025" s="212"/>
      <c r="N1025" s="212"/>
    </row>
    <row r="1026" spans="1:14" ht="12.95">
      <c r="A1026" s="217" t="str">
        <f>name!A63</f>
        <v>Travel, etc</v>
      </c>
      <c r="B1026" s="367">
        <f>B$6</f>
        <v>2015</v>
      </c>
      <c r="C1026" s="367"/>
      <c r="D1026" s="367"/>
      <c r="E1026" s="229"/>
      <c r="F1026" s="367">
        <f>F$6</f>
        <v>2020</v>
      </c>
      <c r="G1026" s="367"/>
      <c r="H1026" s="367"/>
      <c r="I1026" s="229"/>
      <c r="J1026" s="367">
        <f>J$6</f>
        <v>2035</v>
      </c>
      <c r="K1026" s="367"/>
      <c r="L1026" s="367"/>
      <c r="M1026" s="212"/>
      <c r="N1026" s="212"/>
    </row>
    <row r="1027" spans="1:14" ht="12.95">
      <c r="A1027" s="230"/>
      <c r="B1027" s="231" t="s">
        <v>173</v>
      </c>
      <c r="C1027" s="231" t="s">
        <v>174</v>
      </c>
      <c r="D1027" s="231" t="s">
        <v>119</v>
      </c>
      <c r="E1027" s="231"/>
      <c r="F1027" s="231" t="s">
        <v>173</v>
      </c>
      <c r="G1027" s="231" t="s">
        <v>174</v>
      </c>
      <c r="H1027" s="231" t="s">
        <v>119</v>
      </c>
      <c r="I1027" s="231"/>
      <c r="J1027" s="231" t="s">
        <v>173</v>
      </c>
      <c r="K1027" s="231" t="s">
        <v>174</v>
      </c>
      <c r="L1027" s="231" t="s">
        <v>119</v>
      </c>
      <c r="M1027" s="212"/>
      <c r="N1027" s="212"/>
    </row>
    <row r="1028" spans="1:14" ht="12.95">
      <c r="A1028" s="234"/>
      <c r="B1028" s="235"/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12"/>
      <c r="N1028" s="212"/>
    </row>
    <row r="1029" spans="1:14">
      <c r="A1029" s="213" t="str">
        <f>name!E$4</f>
        <v>Managers, directors and senior officials</v>
      </c>
      <c r="B1029" s="278">
        <v>1.8944547916624801</v>
      </c>
      <c r="C1029" s="278">
        <v>6.9620084769187951</v>
      </c>
      <c r="D1029" s="278">
        <f>SUM(B1029:C1029)</f>
        <v>8.8564632685812761</v>
      </c>
      <c r="E1029" s="279"/>
      <c r="F1029" s="278">
        <v>2.5565060799481225</v>
      </c>
      <c r="G1029" s="278">
        <v>8.0629859492676381</v>
      </c>
      <c r="H1029" s="278">
        <f>SUM(F1029:G1029)</f>
        <v>10.61949202921576</v>
      </c>
      <c r="I1029" s="279"/>
      <c r="J1029" s="278">
        <v>2.8410741297959161</v>
      </c>
      <c r="K1029" s="278">
        <v>8.5301109675682874</v>
      </c>
      <c r="L1029" s="278">
        <f>SUM(J1029:K1029)</f>
        <v>11.371185097364204</v>
      </c>
      <c r="M1029" s="212"/>
      <c r="N1029" s="212"/>
    </row>
    <row r="1030" spans="1:14">
      <c r="A1030" s="213" t="str">
        <f>name!E$5</f>
        <v>Professional occupations</v>
      </c>
      <c r="B1030" s="278">
        <v>1.1218720576082541</v>
      </c>
      <c r="C1030" s="278">
        <v>4.3696321123787794</v>
      </c>
      <c r="D1030" s="278">
        <f t="shared" ref="D1030:D1037" si="376">SUM(B1030:C1030)</f>
        <v>5.4915041699870333</v>
      </c>
      <c r="E1030" s="279"/>
      <c r="F1030" s="278">
        <v>1.6090124111030446</v>
      </c>
      <c r="G1030" s="278">
        <v>5.6215416726044038</v>
      </c>
      <c r="H1030" s="278">
        <f t="shared" ref="H1030:H1037" si="377">SUM(F1030:G1030)</f>
        <v>7.2305540837074487</v>
      </c>
      <c r="I1030" s="279"/>
      <c r="J1030" s="278">
        <v>2.2032292253806007</v>
      </c>
      <c r="K1030" s="278">
        <v>8.2300548842426497</v>
      </c>
      <c r="L1030" s="278">
        <f t="shared" ref="L1030:L1037" si="378">SUM(J1030:K1030)</f>
        <v>10.433284109623251</v>
      </c>
      <c r="M1030" s="212"/>
      <c r="N1030" s="212"/>
    </row>
    <row r="1031" spans="1:14">
      <c r="A1031" s="213" t="str">
        <f>name!E$6</f>
        <v>Associate professional occupations</v>
      </c>
      <c r="B1031" s="278">
        <v>1.3673921489141849</v>
      </c>
      <c r="C1031" s="278">
        <v>3.8761119154510659</v>
      </c>
      <c r="D1031" s="278">
        <f t="shared" si="376"/>
        <v>5.2435040643652506</v>
      </c>
      <c r="E1031" s="279"/>
      <c r="F1031" s="278">
        <v>1.6403600942127436</v>
      </c>
      <c r="G1031" s="278">
        <v>4.4815843581689432</v>
      </c>
      <c r="H1031" s="278">
        <f t="shared" si="377"/>
        <v>6.1219444523816868</v>
      </c>
      <c r="I1031" s="279"/>
      <c r="J1031" s="278">
        <v>2.0405321869240218</v>
      </c>
      <c r="K1031" s="278">
        <v>4.9918944845329811</v>
      </c>
      <c r="L1031" s="278">
        <f t="shared" si="378"/>
        <v>7.032426671457003</v>
      </c>
      <c r="M1031" s="212"/>
      <c r="N1031" s="212"/>
    </row>
    <row r="1032" spans="1:14">
      <c r="A1032" s="213" t="str">
        <f>name!E$7</f>
        <v>Administrative and secretarial occupations</v>
      </c>
      <c r="B1032" s="278">
        <v>5.2237117652239329</v>
      </c>
      <c r="C1032" s="278">
        <v>4.8212915243249439</v>
      </c>
      <c r="D1032" s="278">
        <f t="shared" si="376"/>
        <v>10.045003289548877</v>
      </c>
      <c r="E1032" s="279"/>
      <c r="F1032" s="278">
        <v>5.2283855421772421</v>
      </c>
      <c r="G1032" s="278">
        <v>5.6591282281494584</v>
      </c>
      <c r="H1032" s="278">
        <f t="shared" si="377"/>
        <v>10.8875137703267</v>
      </c>
      <c r="I1032" s="279"/>
      <c r="J1032" s="278">
        <v>5.3627801901491265</v>
      </c>
      <c r="K1032" s="278">
        <v>6.8323774581251255</v>
      </c>
      <c r="L1032" s="278">
        <f t="shared" si="378"/>
        <v>12.195157648274252</v>
      </c>
      <c r="M1032" s="212"/>
      <c r="N1032" s="212"/>
    </row>
    <row r="1033" spans="1:14">
      <c r="A1033" s="213" t="str">
        <f>name!E$8</f>
        <v>Skilled trades occupations</v>
      </c>
      <c r="B1033" s="278">
        <v>0.20696821367134854</v>
      </c>
      <c r="C1033" s="278">
        <v>2.1268196782494377</v>
      </c>
      <c r="D1033" s="278">
        <f t="shared" si="376"/>
        <v>2.3337878919207862</v>
      </c>
      <c r="E1033" s="279"/>
      <c r="F1033" s="278">
        <v>0.23879776002020667</v>
      </c>
      <c r="G1033" s="278">
        <v>1.6509399937425806</v>
      </c>
      <c r="H1033" s="278">
        <f t="shared" si="377"/>
        <v>1.8897377537627873</v>
      </c>
      <c r="I1033" s="279"/>
      <c r="J1033" s="278">
        <v>0.46347054279179095</v>
      </c>
      <c r="K1033" s="278">
        <v>2.0717273483934013</v>
      </c>
      <c r="L1033" s="278">
        <f t="shared" si="378"/>
        <v>2.5351978911851925</v>
      </c>
      <c r="M1033" s="212"/>
      <c r="N1033" s="212"/>
    </row>
    <row r="1034" spans="1:14">
      <c r="A1034" s="213" t="str">
        <f>name!E$9</f>
        <v>Caring, leisure and other service occupations</v>
      </c>
      <c r="B1034" s="278">
        <v>11.33241281768972</v>
      </c>
      <c r="C1034" s="278">
        <v>3.4325904959656919</v>
      </c>
      <c r="D1034" s="278">
        <f t="shared" si="376"/>
        <v>14.765003313655413</v>
      </c>
      <c r="E1034" s="279"/>
      <c r="F1034" s="278">
        <v>10.666205755080139</v>
      </c>
      <c r="G1034" s="278">
        <v>3.7957642432575827</v>
      </c>
      <c r="H1034" s="278">
        <f t="shared" si="377"/>
        <v>14.461969998337722</v>
      </c>
      <c r="I1034" s="279"/>
      <c r="J1034" s="278">
        <v>9.2683751678788404</v>
      </c>
      <c r="K1034" s="278">
        <v>3.8691859438929601</v>
      </c>
      <c r="L1034" s="278">
        <f t="shared" si="378"/>
        <v>13.137561111771801</v>
      </c>
      <c r="M1034" s="212"/>
      <c r="N1034" s="212"/>
    </row>
    <row r="1035" spans="1:14">
      <c r="A1035" s="213" t="str">
        <f>name!E$10</f>
        <v>Sales and customer service occupations</v>
      </c>
      <c r="B1035" s="278">
        <v>1.9648562644585168</v>
      </c>
      <c r="C1035" s="278">
        <v>3.061306904472278</v>
      </c>
      <c r="D1035" s="278">
        <f t="shared" si="376"/>
        <v>5.0261631689307951</v>
      </c>
      <c r="E1035" s="279"/>
      <c r="F1035" s="278">
        <v>1.8690112653286706</v>
      </c>
      <c r="G1035" s="278">
        <v>3.0137132514627547</v>
      </c>
      <c r="H1035" s="278">
        <f t="shared" si="377"/>
        <v>4.8827245167914253</v>
      </c>
      <c r="I1035" s="279"/>
      <c r="J1035" s="278">
        <v>2.0832871947964544</v>
      </c>
      <c r="K1035" s="278">
        <v>3.7311162199806818</v>
      </c>
      <c r="L1035" s="278">
        <f t="shared" si="378"/>
        <v>5.8144034147771357</v>
      </c>
      <c r="M1035" s="212"/>
      <c r="N1035" s="212"/>
    </row>
    <row r="1036" spans="1:14">
      <c r="A1036" s="213" t="str">
        <f>name!E$11</f>
        <v>Process, plant and machine operatives</v>
      </c>
      <c r="B1036" s="278">
        <v>0.8367553509144523</v>
      </c>
      <c r="C1036" s="278">
        <v>15.545019418275992</v>
      </c>
      <c r="D1036" s="278">
        <f t="shared" si="376"/>
        <v>16.381774769190443</v>
      </c>
      <c r="E1036" s="279"/>
      <c r="F1036" s="278">
        <v>0.78346528938018012</v>
      </c>
      <c r="G1036" s="278">
        <v>14.579023163763468</v>
      </c>
      <c r="H1036" s="278">
        <f t="shared" si="377"/>
        <v>15.362488453143648</v>
      </c>
      <c r="I1036" s="279"/>
      <c r="J1036" s="278">
        <v>1.4957976834758326</v>
      </c>
      <c r="K1036" s="278">
        <v>14.329568503974423</v>
      </c>
      <c r="L1036" s="278">
        <f t="shared" si="378"/>
        <v>15.825366187450255</v>
      </c>
      <c r="M1036" s="212"/>
      <c r="N1036" s="212"/>
    </row>
    <row r="1037" spans="1:14">
      <c r="A1037" s="213" t="str">
        <f>name!E$12</f>
        <v>Elementary occupations</v>
      </c>
      <c r="B1037" s="278">
        <v>2.6875765900774451</v>
      </c>
      <c r="C1037" s="278">
        <v>14.314219474583155</v>
      </c>
      <c r="D1037" s="278">
        <f t="shared" si="376"/>
        <v>17.001796064660599</v>
      </c>
      <c r="E1037" s="279"/>
      <c r="F1037" s="278">
        <v>2.1212558025475907</v>
      </c>
      <c r="G1037" s="278">
        <v>11.743319139368257</v>
      </c>
      <c r="H1037" s="278">
        <f t="shared" si="377"/>
        <v>13.864574941915848</v>
      </c>
      <c r="I1037" s="279"/>
      <c r="J1037" s="278">
        <v>4.740453679438942</v>
      </c>
      <c r="K1037" s="278">
        <v>13.546964189417604</v>
      </c>
      <c r="L1037" s="278">
        <f t="shared" si="378"/>
        <v>18.287417868856547</v>
      </c>
      <c r="M1037" s="212"/>
      <c r="N1037" s="212"/>
    </row>
    <row r="1038" spans="1:14">
      <c r="A1038" s="213"/>
      <c r="B1038" s="278"/>
      <c r="C1038" s="278"/>
      <c r="D1038" s="278"/>
      <c r="E1038" s="279"/>
      <c r="F1038" s="278"/>
      <c r="G1038" s="278"/>
      <c r="H1038" s="278"/>
      <c r="I1038" s="279"/>
      <c r="J1038" s="278"/>
      <c r="K1038" s="278"/>
      <c r="L1038" s="278"/>
      <c r="M1038" s="212"/>
      <c r="N1038" s="212"/>
    </row>
    <row r="1039" spans="1:14">
      <c r="A1039" s="220" t="s">
        <v>119</v>
      </c>
      <c r="B1039" s="282">
        <f>SUM(B1029:B1037)</f>
        <v>26.636000000220335</v>
      </c>
      <c r="C1039" s="282">
        <f t="shared" ref="C1039:D1039" si="379">SUM(C1029:C1037)</f>
        <v>58.509000000620134</v>
      </c>
      <c r="D1039" s="282">
        <f t="shared" si="379"/>
        <v>85.145000000840469</v>
      </c>
      <c r="E1039" s="282"/>
      <c r="F1039" s="282">
        <f t="shared" ref="F1039:H1039" si="380">SUM(F1029:F1037)</f>
        <v>26.71299999979794</v>
      </c>
      <c r="G1039" s="282">
        <f t="shared" si="380"/>
        <v>58.607999999785093</v>
      </c>
      <c r="H1039" s="282">
        <f t="shared" si="380"/>
        <v>85.320999999583037</v>
      </c>
      <c r="I1039" s="282"/>
      <c r="J1039" s="282">
        <f t="shared" ref="J1039:L1039" si="381">SUM(J1029:J1037)</f>
        <v>30.499000000631529</v>
      </c>
      <c r="K1039" s="282">
        <f t="shared" si="381"/>
        <v>66.133000000128121</v>
      </c>
      <c r="L1039" s="282">
        <f t="shared" si="381"/>
        <v>96.632000000759646</v>
      </c>
      <c r="M1039" s="212"/>
      <c r="N1039" s="212"/>
    </row>
    <row r="1040" spans="1:14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6"/>
      <c r="M1040" s="212"/>
      <c r="N1040" s="212"/>
    </row>
    <row r="1041" spans="1:14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32" t="s">
        <v>114</v>
      </c>
      <c r="M1041" s="212"/>
      <c r="N1041" s="212"/>
    </row>
    <row r="1042" spans="1:14" ht="12.95">
      <c r="A1042" s="218"/>
      <c r="B1042" s="226"/>
      <c r="C1042" s="226"/>
      <c r="D1042" s="226"/>
      <c r="E1042" s="226"/>
      <c r="F1042" s="226"/>
      <c r="G1042" s="226"/>
      <c r="H1042" s="226"/>
      <c r="I1042" s="226"/>
      <c r="J1042" s="226"/>
      <c r="K1042" s="226"/>
      <c r="L1042" s="212"/>
      <c r="M1042" s="212"/>
      <c r="N1042" s="212"/>
    </row>
    <row r="1043" spans="1:14" ht="12.95">
      <c r="A1043" s="217" t="str">
        <f>name!A64</f>
        <v>Security, etc</v>
      </c>
      <c r="B1043" s="367">
        <f>B$6</f>
        <v>2015</v>
      </c>
      <c r="C1043" s="367"/>
      <c r="D1043" s="367"/>
      <c r="E1043" s="229"/>
      <c r="F1043" s="367">
        <f>F$6</f>
        <v>2020</v>
      </c>
      <c r="G1043" s="367"/>
      <c r="H1043" s="367"/>
      <c r="I1043" s="229"/>
      <c r="J1043" s="367">
        <f>J$6</f>
        <v>2035</v>
      </c>
      <c r="K1043" s="367"/>
      <c r="L1043" s="367"/>
      <c r="M1043" s="212"/>
      <c r="N1043" s="212"/>
    </row>
    <row r="1044" spans="1:14" ht="12.95">
      <c r="A1044" s="230"/>
      <c r="B1044" s="231" t="s">
        <v>173</v>
      </c>
      <c r="C1044" s="231" t="s">
        <v>174</v>
      </c>
      <c r="D1044" s="231" t="s">
        <v>119</v>
      </c>
      <c r="E1044" s="231"/>
      <c r="F1044" s="231" t="s">
        <v>173</v>
      </c>
      <c r="G1044" s="231" t="s">
        <v>174</v>
      </c>
      <c r="H1044" s="231" t="s">
        <v>119</v>
      </c>
      <c r="I1044" s="231"/>
      <c r="J1044" s="231" t="s">
        <v>173</v>
      </c>
      <c r="K1044" s="231" t="s">
        <v>174</v>
      </c>
      <c r="L1044" s="231" t="s">
        <v>119</v>
      </c>
      <c r="M1044" s="212"/>
      <c r="N1044" s="212"/>
    </row>
    <row r="1045" spans="1:14" ht="12.95">
      <c r="A1045" s="234"/>
      <c r="B1045" s="235"/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12"/>
      <c r="N1045" s="212"/>
    </row>
    <row r="1046" spans="1:14">
      <c r="A1046" s="213" t="str">
        <f>name!E$4</f>
        <v>Managers, directors and senior officials</v>
      </c>
      <c r="B1046" s="278">
        <v>3.6374178595226359</v>
      </c>
      <c r="C1046" s="278">
        <v>14.441279756924125</v>
      </c>
      <c r="D1046" s="278">
        <f>SUM(B1046:C1046)</f>
        <v>18.07869761644676</v>
      </c>
      <c r="E1046" s="279"/>
      <c r="F1046" s="278">
        <v>4.5687884485984362</v>
      </c>
      <c r="G1046" s="278">
        <v>15.911569611373888</v>
      </c>
      <c r="H1046" s="278">
        <f>SUM(F1046:G1046)</f>
        <v>20.480358059972325</v>
      </c>
      <c r="I1046" s="279"/>
      <c r="J1046" s="278">
        <v>4.9343940258129786</v>
      </c>
      <c r="K1046" s="278">
        <v>16.967390345214657</v>
      </c>
      <c r="L1046" s="278">
        <f>SUM(J1046:K1046)</f>
        <v>21.901784371027635</v>
      </c>
      <c r="M1046" s="212"/>
      <c r="N1046" s="212"/>
    </row>
    <row r="1047" spans="1:14">
      <c r="A1047" s="213" t="str">
        <f>name!E$5</f>
        <v>Professional occupations</v>
      </c>
      <c r="B1047" s="278">
        <v>5.1592564607651852</v>
      </c>
      <c r="C1047" s="278">
        <v>15.759147767995433</v>
      </c>
      <c r="D1047" s="278">
        <f t="shared" ref="D1047:D1054" si="382">SUM(B1047:C1047)</f>
        <v>20.918404228760618</v>
      </c>
      <c r="E1047" s="279"/>
      <c r="F1047" s="278">
        <v>6.9430379513350866</v>
      </c>
      <c r="G1047" s="278">
        <v>19.23658645839939</v>
      </c>
      <c r="H1047" s="278">
        <f t="shared" ref="H1047:H1054" si="383">SUM(F1047:G1047)</f>
        <v>26.179624409734476</v>
      </c>
      <c r="I1047" s="279"/>
      <c r="J1047" s="278">
        <v>8.8655555223870728</v>
      </c>
      <c r="K1047" s="278">
        <v>26.408278152201493</v>
      </c>
      <c r="L1047" s="278">
        <f t="shared" ref="L1047:L1054" si="384">SUM(J1047:K1047)</f>
        <v>35.273833674588566</v>
      </c>
      <c r="M1047" s="212"/>
      <c r="N1047" s="212"/>
    </row>
    <row r="1048" spans="1:14">
      <c r="A1048" s="213" t="str">
        <f>name!E$6</f>
        <v>Associate professional occupations</v>
      </c>
      <c r="B1048" s="278">
        <v>6.2850290755649727</v>
      </c>
      <c r="C1048" s="278">
        <v>24.072458593873925</v>
      </c>
      <c r="D1048" s="278">
        <f t="shared" si="382"/>
        <v>30.357487669438896</v>
      </c>
      <c r="E1048" s="279"/>
      <c r="F1048" s="278">
        <v>7.8077471341121925</v>
      </c>
      <c r="G1048" s="278">
        <v>26.078750519681126</v>
      </c>
      <c r="H1048" s="278">
        <f t="shared" si="383"/>
        <v>33.88649765379332</v>
      </c>
      <c r="I1048" s="279"/>
      <c r="J1048" s="278">
        <v>9.5883586893995751</v>
      </c>
      <c r="K1048" s="278">
        <v>26.30092594307521</v>
      </c>
      <c r="L1048" s="278">
        <f t="shared" si="384"/>
        <v>35.889284632474784</v>
      </c>
      <c r="M1048" s="212"/>
      <c r="N1048" s="212"/>
    </row>
    <row r="1049" spans="1:14">
      <c r="A1049" s="213" t="str">
        <f>name!E$7</f>
        <v>Administrative and secretarial occupations</v>
      </c>
      <c r="B1049" s="278">
        <v>8.8412826589363203</v>
      </c>
      <c r="C1049" s="278">
        <v>7.813198211073221</v>
      </c>
      <c r="D1049" s="278">
        <f t="shared" si="382"/>
        <v>16.654480870009543</v>
      </c>
      <c r="E1049" s="279"/>
      <c r="F1049" s="278">
        <v>9.6520762597529455</v>
      </c>
      <c r="G1049" s="278">
        <v>9.3035683124245008</v>
      </c>
      <c r="H1049" s="278">
        <f t="shared" si="383"/>
        <v>18.955644572177448</v>
      </c>
      <c r="I1049" s="279"/>
      <c r="J1049" s="278">
        <v>9.8885909078179939</v>
      </c>
      <c r="K1049" s="278">
        <v>12.750579107373387</v>
      </c>
      <c r="L1049" s="278">
        <f t="shared" si="384"/>
        <v>22.639170015191382</v>
      </c>
      <c r="M1049" s="212"/>
      <c r="N1049" s="212"/>
    </row>
    <row r="1050" spans="1:14">
      <c r="A1050" s="213" t="str">
        <f>name!E$8</f>
        <v>Skilled trades occupations</v>
      </c>
      <c r="B1050" s="278">
        <v>0.46959920237283193</v>
      </c>
      <c r="C1050" s="278">
        <v>6.3359926633582777</v>
      </c>
      <c r="D1050" s="278">
        <f t="shared" si="382"/>
        <v>6.8055918657311096</v>
      </c>
      <c r="E1050" s="279"/>
      <c r="F1050" s="278">
        <v>0.55300487438209323</v>
      </c>
      <c r="G1050" s="278">
        <v>4.8972503804573622</v>
      </c>
      <c r="H1050" s="278">
        <f t="shared" si="383"/>
        <v>5.4502552548394556</v>
      </c>
      <c r="I1050" s="279"/>
      <c r="J1050" s="278">
        <v>0.91254194401634658</v>
      </c>
      <c r="K1050" s="278">
        <v>4.6286715574186239</v>
      </c>
      <c r="L1050" s="278">
        <f t="shared" si="384"/>
        <v>5.5412135014349708</v>
      </c>
      <c r="M1050" s="212"/>
      <c r="N1050" s="212"/>
    </row>
    <row r="1051" spans="1:14">
      <c r="A1051" s="213" t="str">
        <f>name!E$9</f>
        <v>Caring, leisure and other service occupations</v>
      </c>
      <c r="B1051" s="278">
        <v>4.7492181181240296</v>
      </c>
      <c r="C1051" s="278">
        <v>3.9533811209966281</v>
      </c>
      <c r="D1051" s="278">
        <f t="shared" si="382"/>
        <v>8.7025992391206586</v>
      </c>
      <c r="E1051" s="279"/>
      <c r="F1051" s="278">
        <v>5.1992599831037394</v>
      </c>
      <c r="G1051" s="278">
        <v>4.5782994675908508</v>
      </c>
      <c r="H1051" s="278">
        <f t="shared" si="383"/>
        <v>9.7775594506945893</v>
      </c>
      <c r="I1051" s="279"/>
      <c r="J1051" s="278">
        <v>6.2894916347169714</v>
      </c>
      <c r="K1051" s="278">
        <v>5.6260032259964321</v>
      </c>
      <c r="L1051" s="278">
        <f t="shared" si="384"/>
        <v>11.915494860713403</v>
      </c>
      <c r="M1051" s="212"/>
      <c r="N1051" s="212"/>
    </row>
    <row r="1052" spans="1:14">
      <c r="A1052" s="213" t="str">
        <f>name!E$10</f>
        <v>Sales and customer service occupations</v>
      </c>
      <c r="B1052" s="278">
        <v>3.1208391662194566</v>
      </c>
      <c r="C1052" s="278">
        <v>8.6330793244360535</v>
      </c>
      <c r="D1052" s="278">
        <f t="shared" si="382"/>
        <v>11.75391849065551</v>
      </c>
      <c r="E1052" s="279"/>
      <c r="F1052" s="278">
        <v>3.6186833011380273</v>
      </c>
      <c r="G1052" s="278">
        <v>8.8285841445036564</v>
      </c>
      <c r="H1052" s="278">
        <f t="shared" si="383"/>
        <v>12.447267445641684</v>
      </c>
      <c r="I1052" s="279"/>
      <c r="J1052" s="278">
        <v>4.5884136655572432</v>
      </c>
      <c r="K1052" s="278">
        <v>10.817045844964207</v>
      </c>
      <c r="L1052" s="278">
        <f t="shared" si="384"/>
        <v>15.40545951052145</v>
      </c>
      <c r="M1052" s="212"/>
      <c r="N1052" s="212"/>
    </row>
    <row r="1053" spans="1:14">
      <c r="A1053" s="213" t="str">
        <f>name!E$11</f>
        <v>Process, plant and machine operatives</v>
      </c>
      <c r="B1053" s="278">
        <v>0.5957976952852434</v>
      </c>
      <c r="C1053" s="278">
        <v>6.1314655417327888</v>
      </c>
      <c r="D1053" s="278">
        <f t="shared" si="382"/>
        <v>6.7272632370180325</v>
      </c>
      <c r="E1053" s="279"/>
      <c r="F1053" s="278">
        <v>0.53786466848107206</v>
      </c>
      <c r="G1053" s="278">
        <v>5.9001827932407833</v>
      </c>
      <c r="H1053" s="278">
        <f t="shared" si="383"/>
        <v>6.4380474617218555</v>
      </c>
      <c r="I1053" s="279"/>
      <c r="J1053" s="278">
        <v>0.80638725061503569</v>
      </c>
      <c r="K1053" s="278">
        <v>5.584658794904521</v>
      </c>
      <c r="L1053" s="278">
        <f t="shared" si="384"/>
        <v>6.3910460455195564</v>
      </c>
      <c r="M1053" s="212"/>
      <c r="N1053" s="212"/>
    </row>
    <row r="1054" spans="1:14">
      <c r="A1054" s="213" t="str">
        <f>name!E$12</f>
        <v>Elementary occupations</v>
      </c>
      <c r="B1054" s="278">
        <v>11.876559763499701</v>
      </c>
      <c r="C1054" s="278">
        <v>44.541997020698041</v>
      </c>
      <c r="D1054" s="278">
        <f t="shared" si="382"/>
        <v>56.41855678419774</v>
      </c>
      <c r="E1054" s="279"/>
      <c r="F1054" s="278">
        <v>11.149537379026537</v>
      </c>
      <c r="G1054" s="278">
        <v>41.013208312674777</v>
      </c>
      <c r="H1054" s="278">
        <f t="shared" si="383"/>
        <v>52.162745691701318</v>
      </c>
      <c r="I1054" s="279"/>
      <c r="J1054" s="278">
        <v>11.340266360180783</v>
      </c>
      <c r="K1054" s="278">
        <v>44.251447029521366</v>
      </c>
      <c r="L1054" s="278">
        <f t="shared" si="384"/>
        <v>55.59171338970215</v>
      </c>
      <c r="M1054" s="212"/>
      <c r="N1054" s="212"/>
    </row>
    <row r="1055" spans="1:14">
      <c r="A1055" s="213"/>
      <c r="B1055" s="278"/>
      <c r="C1055" s="278"/>
      <c r="D1055" s="278"/>
      <c r="E1055" s="279"/>
      <c r="F1055" s="278"/>
      <c r="G1055" s="278"/>
      <c r="H1055" s="278"/>
      <c r="I1055" s="279"/>
      <c r="J1055" s="278"/>
      <c r="K1055" s="278"/>
      <c r="L1055" s="278"/>
      <c r="M1055" s="212"/>
      <c r="N1055" s="212"/>
    </row>
    <row r="1056" spans="1:14">
      <c r="A1056" s="220" t="s">
        <v>119</v>
      </c>
      <c r="B1056" s="282">
        <f>SUM(B1046:B1054)</f>
        <v>44.735000000290377</v>
      </c>
      <c r="C1056" s="282">
        <f t="shared" ref="C1056:D1056" si="385">SUM(C1046:C1054)</f>
        <v>131.68200000108848</v>
      </c>
      <c r="D1056" s="282">
        <f t="shared" si="385"/>
        <v>176.41700000137888</v>
      </c>
      <c r="E1056" s="282"/>
      <c r="F1056" s="282">
        <f t="shared" ref="F1056:H1056" si="386">SUM(F1046:F1054)</f>
        <v>50.029999999930126</v>
      </c>
      <c r="G1056" s="282">
        <f t="shared" si="386"/>
        <v>135.74800000034634</v>
      </c>
      <c r="H1056" s="282">
        <f t="shared" si="386"/>
        <v>185.77800000027651</v>
      </c>
      <c r="I1056" s="282"/>
      <c r="J1056" s="282">
        <f t="shared" ref="J1056:L1056" si="387">SUM(J1046:J1054)</f>
        <v>57.214000000504001</v>
      </c>
      <c r="K1056" s="282">
        <f t="shared" si="387"/>
        <v>153.33500000066991</v>
      </c>
      <c r="L1056" s="282">
        <f t="shared" si="387"/>
        <v>210.54900000117385</v>
      </c>
      <c r="M1056" s="212"/>
      <c r="N1056" s="212"/>
    </row>
    <row r="1057" spans="1:14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6"/>
      <c r="M1057" s="212"/>
      <c r="N1057" s="212"/>
    </row>
    <row r="1058" spans="1:14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32" t="s">
        <v>114</v>
      </c>
      <c r="M1058" s="212"/>
      <c r="N1058" s="212"/>
    </row>
    <row r="1059" spans="1:14" ht="12.95">
      <c r="A1059" s="218"/>
      <c r="B1059" s="226"/>
      <c r="C1059" s="226"/>
      <c r="D1059" s="226"/>
      <c r="E1059" s="226"/>
      <c r="F1059" s="226"/>
      <c r="G1059" s="226"/>
      <c r="H1059" s="226"/>
      <c r="I1059" s="226"/>
      <c r="J1059" s="226"/>
      <c r="K1059" s="226"/>
      <c r="L1059" s="212"/>
      <c r="M1059" s="212"/>
      <c r="N1059" s="212"/>
    </row>
    <row r="1060" spans="1:14" ht="12.95">
      <c r="A1060" s="217" t="str">
        <f>name!A65</f>
        <v>Services to buildings</v>
      </c>
      <c r="B1060" s="367">
        <f>B$6</f>
        <v>2015</v>
      </c>
      <c r="C1060" s="367"/>
      <c r="D1060" s="367"/>
      <c r="E1060" s="229"/>
      <c r="F1060" s="367">
        <f>F$6</f>
        <v>2020</v>
      </c>
      <c r="G1060" s="367"/>
      <c r="H1060" s="367"/>
      <c r="I1060" s="229"/>
      <c r="J1060" s="367">
        <f>J$6</f>
        <v>2035</v>
      </c>
      <c r="K1060" s="367"/>
      <c r="L1060" s="367"/>
      <c r="M1060" s="212"/>
      <c r="N1060" s="212"/>
    </row>
    <row r="1061" spans="1:14" ht="12.95">
      <c r="A1061" s="230"/>
      <c r="B1061" s="231" t="s">
        <v>173</v>
      </c>
      <c r="C1061" s="231" t="s">
        <v>174</v>
      </c>
      <c r="D1061" s="231" t="s">
        <v>119</v>
      </c>
      <c r="E1061" s="231"/>
      <c r="F1061" s="231" t="s">
        <v>173</v>
      </c>
      <c r="G1061" s="231" t="s">
        <v>174</v>
      </c>
      <c r="H1061" s="231" t="s">
        <v>119</v>
      </c>
      <c r="I1061" s="231"/>
      <c r="J1061" s="231" t="s">
        <v>173</v>
      </c>
      <c r="K1061" s="231" t="s">
        <v>174</v>
      </c>
      <c r="L1061" s="231" t="s">
        <v>119</v>
      </c>
      <c r="M1061" s="212"/>
      <c r="N1061" s="212"/>
    </row>
    <row r="1062" spans="1:14" ht="12.95">
      <c r="A1062" s="234"/>
      <c r="B1062" s="235"/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12"/>
      <c r="N1062" s="212"/>
    </row>
    <row r="1063" spans="1:14">
      <c r="A1063" s="213" t="str">
        <f>name!E$4</f>
        <v>Managers, directors and senior officials</v>
      </c>
      <c r="B1063" s="278">
        <v>34.972080863095343</v>
      </c>
      <c r="C1063" s="278">
        <v>29.910722560636831</v>
      </c>
      <c r="D1063" s="278">
        <f>SUM(B1063:C1063)</f>
        <v>64.88280342373217</v>
      </c>
      <c r="E1063" s="279"/>
      <c r="F1063" s="278">
        <v>42.317094858627655</v>
      </c>
      <c r="G1063" s="278">
        <v>31.722474819585965</v>
      </c>
      <c r="H1063" s="278">
        <f>SUM(F1063:G1063)</f>
        <v>74.039569678213624</v>
      </c>
      <c r="I1063" s="279"/>
      <c r="J1063" s="278">
        <v>46.549527869193405</v>
      </c>
      <c r="K1063" s="278">
        <v>33.690555051911154</v>
      </c>
      <c r="L1063" s="278">
        <f>SUM(J1063:K1063)</f>
        <v>80.240082921104559</v>
      </c>
      <c r="M1063" s="212"/>
      <c r="N1063" s="212"/>
    </row>
    <row r="1064" spans="1:14">
      <c r="A1064" s="213" t="str">
        <f>name!E$5</f>
        <v>Professional occupations</v>
      </c>
      <c r="B1064" s="278">
        <v>53.914242768183655</v>
      </c>
      <c r="C1064" s="278">
        <v>28.414963680709821</v>
      </c>
      <c r="D1064" s="278">
        <f t="shared" ref="D1064:D1071" si="388">SUM(B1064:C1064)</f>
        <v>82.329206448893473</v>
      </c>
      <c r="E1064" s="279"/>
      <c r="F1064" s="278">
        <v>64.851862222358832</v>
      </c>
      <c r="G1064" s="278">
        <v>34.567566461861745</v>
      </c>
      <c r="H1064" s="278">
        <f t="shared" ref="H1064:H1071" si="389">SUM(F1064:G1064)</f>
        <v>99.419428684220577</v>
      </c>
      <c r="I1064" s="279"/>
      <c r="J1064" s="278">
        <v>80.340139477589517</v>
      </c>
      <c r="K1064" s="278">
        <v>46.613629450248602</v>
      </c>
      <c r="L1064" s="278">
        <f t="shared" ref="L1064:L1071" si="390">SUM(J1064:K1064)</f>
        <v>126.95376892783813</v>
      </c>
      <c r="M1064" s="212"/>
      <c r="N1064" s="212"/>
    </row>
    <row r="1065" spans="1:14">
      <c r="A1065" s="213" t="str">
        <f>name!E$6</f>
        <v>Associate professional occupations</v>
      </c>
      <c r="B1065" s="278">
        <v>60.22128009701359</v>
      </c>
      <c r="C1065" s="278">
        <v>38.647338497711509</v>
      </c>
      <c r="D1065" s="278">
        <f t="shared" si="388"/>
        <v>98.868618594725092</v>
      </c>
      <c r="E1065" s="279"/>
      <c r="F1065" s="278">
        <v>67.087581735164463</v>
      </c>
      <c r="G1065" s="278">
        <v>41.071241920356435</v>
      </c>
      <c r="H1065" s="278">
        <f t="shared" si="389"/>
        <v>108.15882365552091</v>
      </c>
      <c r="I1065" s="279"/>
      <c r="J1065" s="278">
        <v>86.898547452430563</v>
      </c>
      <c r="K1065" s="278">
        <v>43.000886731842037</v>
      </c>
      <c r="L1065" s="278">
        <f t="shared" si="390"/>
        <v>129.89943418427259</v>
      </c>
      <c r="M1065" s="212"/>
      <c r="N1065" s="212"/>
    </row>
    <row r="1066" spans="1:14">
      <c r="A1066" s="213" t="str">
        <f>name!E$7</f>
        <v>Administrative and secretarial occupations</v>
      </c>
      <c r="B1066" s="278">
        <v>97.603856117545618</v>
      </c>
      <c r="C1066" s="278">
        <v>14.613832355869812</v>
      </c>
      <c r="D1066" s="278">
        <f t="shared" si="388"/>
        <v>112.21768847341544</v>
      </c>
      <c r="E1066" s="279"/>
      <c r="F1066" s="278">
        <v>92.797206938040233</v>
      </c>
      <c r="G1066" s="278">
        <v>15.647640873875929</v>
      </c>
      <c r="H1066" s="278">
        <f t="shared" si="389"/>
        <v>108.44484781191616</v>
      </c>
      <c r="I1066" s="279"/>
      <c r="J1066" s="278">
        <v>100.05398082346099</v>
      </c>
      <c r="K1066" s="278">
        <v>20.642351941794352</v>
      </c>
      <c r="L1066" s="278">
        <f t="shared" si="390"/>
        <v>120.69633276525533</v>
      </c>
      <c r="M1066" s="212"/>
      <c r="N1066" s="212"/>
    </row>
    <row r="1067" spans="1:14">
      <c r="A1067" s="213" t="str">
        <f>name!E$8</f>
        <v>Skilled trades occupations</v>
      </c>
      <c r="B1067" s="278">
        <v>6.5749270437420622</v>
      </c>
      <c r="C1067" s="278">
        <v>14.765535528518088</v>
      </c>
      <c r="D1067" s="278">
        <f t="shared" si="388"/>
        <v>21.340462572260151</v>
      </c>
      <c r="E1067" s="279"/>
      <c r="F1067" s="278">
        <v>7.188373313079528</v>
      </c>
      <c r="G1067" s="278">
        <v>10.231238289566322</v>
      </c>
      <c r="H1067" s="278">
        <f t="shared" si="389"/>
        <v>17.419611602645851</v>
      </c>
      <c r="I1067" s="279"/>
      <c r="J1067" s="278">
        <v>13.259961413246275</v>
      </c>
      <c r="K1067" s="278">
        <v>9.9727516359373212</v>
      </c>
      <c r="L1067" s="278">
        <f t="shared" si="390"/>
        <v>23.232713049183594</v>
      </c>
      <c r="M1067" s="212"/>
      <c r="N1067" s="212"/>
    </row>
    <row r="1068" spans="1:14">
      <c r="A1068" s="213" t="str">
        <f>name!E$9</f>
        <v>Caring, leisure and other service occupations</v>
      </c>
      <c r="B1068" s="278">
        <v>57.979863649947561</v>
      </c>
      <c r="C1068" s="278">
        <v>9.486497232233793</v>
      </c>
      <c r="D1068" s="278">
        <f t="shared" si="388"/>
        <v>67.466360882181348</v>
      </c>
      <c r="E1068" s="279"/>
      <c r="F1068" s="278">
        <v>56.335024397245149</v>
      </c>
      <c r="G1068" s="278">
        <v>10.116718115160586</v>
      </c>
      <c r="H1068" s="278">
        <f t="shared" si="389"/>
        <v>66.45174251240573</v>
      </c>
      <c r="I1068" s="279"/>
      <c r="J1068" s="278">
        <v>62.916338866747395</v>
      </c>
      <c r="K1068" s="278">
        <v>13.532479528655715</v>
      </c>
      <c r="L1068" s="278">
        <f t="shared" si="390"/>
        <v>76.448818395403109</v>
      </c>
      <c r="M1068" s="212"/>
      <c r="N1068" s="212"/>
    </row>
    <row r="1069" spans="1:14">
      <c r="A1069" s="213" t="str">
        <f>name!E$10</f>
        <v>Sales and customer service occupations</v>
      </c>
      <c r="B1069" s="278">
        <v>35.445041780564303</v>
      </c>
      <c r="C1069" s="278">
        <v>17.102055754970543</v>
      </c>
      <c r="D1069" s="278">
        <f t="shared" si="388"/>
        <v>52.547097535534846</v>
      </c>
      <c r="E1069" s="279"/>
      <c r="F1069" s="278">
        <v>35.162768399095867</v>
      </c>
      <c r="G1069" s="278">
        <v>15.682599057890544</v>
      </c>
      <c r="H1069" s="278">
        <f t="shared" si="389"/>
        <v>50.845367456986409</v>
      </c>
      <c r="I1069" s="279"/>
      <c r="J1069" s="278">
        <v>46.896201594292449</v>
      </c>
      <c r="K1069" s="278">
        <v>19.404699203223185</v>
      </c>
      <c r="L1069" s="278">
        <f t="shared" si="390"/>
        <v>66.300900797515638</v>
      </c>
      <c r="M1069" s="212"/>
      <c r="N1069" s="212"/>
    </row>
    <row r="1070" spans="1:14">
      <c r="A1070" s="213" t="str">
        <f>name!E$11</f>
        <v>Process, plant and machine operatives</v>
      </c>
      <c r="B1070" s="278">
        <v>4.4741769819711807</v>
      </c>
      <c r="C1070" s="278">
        <v>12.133777191645223</v>
      </c>
      <c r="D1070" s="278">
        <f t="shared" si="388"/>
        <v>16.607954173616402</v>
      </c>
      <c r="E1070" s="279"/>
      <c r="F1070" s="278">
        <v>3.6811625815905735</v>
      </c>
      <c r="G1070" s="278">
        <v>10.927821931229959</v>
      </c>
      <c r="H1070" s="278">
        <f t="shared" si="389"/>
        <v>14.608984512820532</v>
      </c>
      <c r="I1070" s="279"/>
      <c r="J1070" s="278">
        <v>6.3662599016339474</v>
      </c>
      <c r="K1070" s="278">
        <v>10.501337825241015</v>
      </c>
      <c r="L1070" s="278">
        <f t="shared" si="390"/>
        <v>16.867597726874962</v>
      </c>
      <c r="M1070" s="212"/>
      <c r="N1070" s="212"/>
    </row>
    <row r="1071" spans="1:14">
      <c r="A1071" s="213" t="str">
        <f>name!E$12</f>
        <v>Elementary occupations</v>
      </c>
      <c r="B1071" s="278">
        <v>146.57053070220263</v>
      </c>
      <c r="C1071" s="278">
        <v>80.193277199522953</v>
      </c>
      <c r="D1071" s="278">
        <f t="shared" si="388"/>
        <v>226.76380790172558</v>
      </c>
      <c r="E1071" s="279"/>
      <c r="F1071" s="278">
        <v>121.31892555470581</v>
      </c>
      <c r="G1071" s="278">
        <v>66.365698530887698</v>
      </c>
      <c r="H1071" s="278">
        <f t="shared" si="389"/>
        <v>187.6846240855935</v>
      </c>
      <c r="I1071" s="279"/>
      <c r="J1071" s="278">
        <v>107.18304260555281</v>
      </c>
      <c r="K1071" s="278">
        <v>70.355308632363233</v>
      </c>
      <c r="L1071" s="278">
        <f t="shared" si="390"/>
        <v>177.53835123791606</v>
      </c>
      <c r="M1071" s="212"/>
      <c r="N1071" s="212"/>
    </row>
    <row r="1072" spans="1:14">
      <c r="A1072" s="213"/>
      <c r="B1072" s="278"/>
      <c r="C1072" s="278"/>
      <c r="D1072" s="278"/>
      <c r="E1072" s="279"/>
      <c r="F1072" s="278"/>
      <c r="G1072" s="278"/>
      <c r="H1072" s="278"/>
      <c r="I1072" s="279"/>
      <c r="J1072" s="278"/>
      <c r="K1072" s="278"/>
      <c r="L1072" s="278"/>
      <c r="M1072" s="212"/>
      <c r="N1072" s="212"/>
    </row>
    <row r="1073" spans="1:14">
      <c r="A1073" s="220" t="s">
        <v>119</v>
      </c>
      <c r="B1073" s="282">
        <f>SUM(B1063:B1071)</f>
        <v>497.75600000426596</v>
      </c>
      <c r="C1073" s="282">
        <f t="shared" ref="C1073:D1073" si="391">SUM(C1063:C1071)</f>
        <v>245.26800000181859</v>
      </c>
      <c r="D1073" s="282">
        <f t="shared" si="391"/>
        <v>743.02400000608441</v>
      </c>
      <c r="E1073" s="282"/>
      <c r="F1073" s="282">
        <f t="shared" ref="F1073:H1073" si="392">SUM(F1063:F1071)</f>
        <v>490.73999999990809</v>
      </c>
      <c r="G1073" s="282">
        <f t="shared" si="392"/>
        <v>236.33300000041521</v>
      </c>
      <c r="H1073" s="282">
        <f t="shared" si="392"/>
        <v>727.07300000032319</v>
      </c>
      <c r="I1073" s="282"/>
      <c r="J1073" s="282">
        <f t="shared" ref="J1073:L1073" si="393">SUM(J1063:J1071)</f>
        <v>550.46400000414735</v>
      </c>
      <c r="K1073" s="282">
        <f t="shared" si="393"/>
        <v>267.71400000121662</v>
      </c>
      <c r="L1073" s="282">
        <f t="shared" si="393"/>
        <v>818.17800000536386</v>
      </c>
      <c r="M1073" s="212"/>
      <c r="N1073" s="212"/>
    </row>
    <row r="1074" spans="1:14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6"/>
      <c r="M1074" s="212"/>
      <c r="N1074" s="212"/>
    </row>
    <row r="1075" spans="1:14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32" t="s">
        <v>114</v>
      </c>
      <c r="M1075" s="212"/>
      <c r="N1075" s="212"/>
    </row>
    <row r="1076" spans="1:14" ht="12.95">
      <c r="A1076" s="218"/>
      <c r="B1076" s="226"/>
      <c r="C1076" s="226"/>
      <c r="D1076" s="226"/>
      <c r="E1076" s="226"/>
      <c r="F1076" s="226"/>
      <c r="G1076" s="226"/>
      <c r="H1076" s="226"/>
      <c r="I1076" s="226"/>
      <c r="J1076" s="226"/>
      <c r="K1076" s="226"/>
      <c r="L1076" s="212"/>
      <c r="M1076" s="212"/>
      <c r="N1076" s="212"/>
    </row>
    <row r="1077" spans="1:14" ht="12.95">
      <c r="A1077" s="217" t="str">
        <f>name!A66</f>
        <v>Office administrative</v>
      </c>
      <c r="B1077" s="367">
        <f>B$6</f>
        <v>2015</v>
      </c>
      <c r="C1077" s="367"/>
      <c r="D1077" s="367"/>
      <c r="E1077" s="229"/>
      <c r="F1077" s="367">
        <f>F$6</f>
        <v>2020</v>
      </c>
      <c r="G1077" s="367"/>
      <c r="H1077" s="367"/>
      <c r="I1077" s="229"/>
      <c r="J1077" s="367">
        <f>J$6</f>
        <v>2035</v>
      </c>
      <c r="K1077" s="367"/>
      <c r="L1077" s="367"/>
      <c r="M1077" s="212"/>
      <c r="N1077" s="212"/>
    </row>
    <row r="1078" spans="1:14" ht="12.95">
      <c r="A1078" s="230"/>
      <c r="B1078" s="231" t="s">
        <v>173</v>
      </c>
      <c r="C1078" s="231" t="s">
        <v>174</v>
      </c>
      <c r="D1078" s="231" t="s">
        <v>119</v>
      </c>
      <c r="E1078" s="231"/>
      <c r="F1078" s="231" t="s">
        <v>173</v>
      </c>
      <c r="G1078" s="231" t="s">
        <v>174</v>
      </c>
      <c r="H1078" s="231" t="s">
        <v>119</v>
      </c>
      <c r="I1078" s="231"/>
      <c r="J1078" s="231" t="s">
        <v>173</v>
      </c>
      <c r="K1078" s="231" t="s">
        <v>174</v>
      </c>
      <c r="L1078" s="231" t="s">
        <v>119</v>
      </c>
      <c r="M1078" s="212"/>
      <c r="N1078" s="212"/>
    </row>
    <row r="1079" spans="1:14" ht="12.95">
      <c r="A1079" s="234"/>
      <c r="B1079" s="235"/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12"/>
      <c r="N1079" s="212"/>
    </row>
    <row r="1080" spans="1:14">
      <c r="A1080" s="213" t="str">
        <f>name!E$4</f>
        <v>Managers, directors and senior officials</v>
      </c>
      <c r="B1080" s="278">
        <v>10.293686097469607</v>
      </c>
      <c r="C1080" s="278">
        <v>30.481506776231704</v>
      </c>
      <c r="D1080" s="278">
        <f>SUM(B1080:C1080)</f>
        <v>40.775192873701315</v>
      </c>
      <c r="E1080" s="279"/>
      <c r="F1080" s="278">
        <v>14.225577497730624</v>
      </c>
      <c r="G1080" s="278">
        <v>36.857126809945235</v>
      </c>
      <c r="H1080" s="278">
        <f>SUM(F1080:G1080)</f>
        <v>51.082704307675861</v>
      </c>
      <c r="I1080" s="279"/>
      <c r="J1080" s="278">
        <v>15.392933906493097</v>
      </c>
      <c r="K1080" s="278">
        <v>38.711298140993634</v>
      </c>
      <c r="L1080" s="278">
        <f>SUM(J1080:K1080)</f>
        <v>54.104232047486732</v>
      </c>
      <c r="M1080" s="212"/>
      <c r="N1080" s="212"/>
    </row>
    <row r="1081" spans="1:14">
      <c r="A1081" s="213" t="str">
        <f>name!E$5</f>
        <v>Professional occupations</v>
      </c>
      <c r="B1081" s="278">
        <v>14.061070510570069</v>
      </c>
      <c r="C1081" s="278">
        <v>33.053565633260106</v>
      </c>
      <c r="D1081" s="278">
        <f t="shared" ref="D1081:D1088" si="394">SUM(B1081:C1081)</f>
        <v>47.114636143830175</v>
      </c>
      <c r="E1081" s="279"/>
      <c r="F1081" s="278">
        <v>21.212992686200749</v>
      </c>
      <c r="G1081" s="278">
        <v>45.848141157754718</v>
      </c>
      <c r="H1081" s="278">
        <f t="shared" ref="H1081:H1088" si="395">SUM(F1081:G1081)</f>
        <v>67.061133843955474</v>
      </c>
      <c r="I1081" s="279"/>
      <c r="J1081" s="278">
        <v>26.973664302987515</v>
      </c>
      <c r="K1081" s="278">
        <v>63.612109676209975</v>
      </c>
      <c r="L1081" s="278">
        <f t="shared" ref="L1081:L1088" si="396">SUM(J1081:K1081)</f>
        <v>90.585773979197484</v>
      </c>
      <c r="M1081" s="212"/>
      <c r="N1081" s="212"/>
    </row>
    <row r="1082" spans="1:14">
      <c r="A1082" s="213" t="str">
        <f>name!E$6</f>
        <v>Associate professional occupations</v>
      </c>
      <c r="B1082" s="278">
        <v>19.716525025596997</v>
      </c>
      <c r="C1082" s="278">
        <v>49.920822248216851</v>
      </c>
      <c r="D1082" s="278">
        <f t="shared" si="394"/>
        <v>69.637347273813845</v>
      </c>
      <c r="E1082" s="279"/>
      <c r="F1082" s="278">
        <v>26.24862864687972</v>
      </c>
      <c r="G1082" s="278">
        <v>60.961300258714516</v>
      </c>
      <c r="H1082" s="278">
        <f t="shared" si="395"/>
        <v>87.209928905594239</v>
      </c>
      <c r="I1082" s="279"/>
      <c r="J1082" s="278">
        <v>31.616095951139389</v>
      </c>
      <c r="K1082" s="278">
        <v>61.141450387360848</v>
      </c>
      <c r="L1082" s="278">
        <f t="shared" si="396"/>
        <v>92.757546338500234</v>
      </c>
      <c r="M1082" s="212"/>
      <c r="N1082" s="212"/>
    </row>
    <row r="1083" spans="1:14">
      <c r="A1083" s="213" t="str">
        <f>name!E$7</f>
        <v>Administrative and secretarial occupations</v>
      </c>
      <c r="B1083" s="278">
        <v>24.871744300569073</v>
      </c>
      <c r="C1083" s="278">
        <v>19.493913160843174</v>
      </c>
      <c r="D1083" s="278">
        <f t="shared" si="394"/>
        <v>44.365657461412248</v>
      </c>
      <c r="E1083" s="279"/>
      <c r="F1083" s="278">
        <v>26.253572297909891</v>
      </c>
      <c r="G1083" s="278">
        <v>23.488864472017614</v>
      </c>
      <c r="H1083" s="278">
        <f t="shared" si="395"/>
        <v>49.742436769927508</v>
      </c>
      <c r="I1083" s="279"/>
      <c r="J1083" s="278">
        <v>26.955522841041237</v>
      </c>
      <c r="K1083" s="278">
        <v>32.426244197861507</v>
      </c>
      <c r="L1083" s="278">
        <f t="shared" si="396"/>
        <v>59.381767038902744</v>
      </c>
      <c r="M1083" s="212"/>
      <c r="N1083" s="212"/>
    </row>
    <row r="1084" spans="1:14">
      <c r="A1084" s="213" t="str">
        <f>name!E$8</f>
        <v>Skilled trades occupations</v>
      </c>
      <c r="B1084" s="278">
        <v>1.5692092602087375</v>
      </c>
      <c r="C1084" s="278">
        <v>14.090837773930776</v>
      </c>
      <c r="D1084" s="278">
        <f t="shared" si="394"/>
        <v>15.660047034139513</v>
      </c>
      <c r="E1084" s="279"/>
      <c r="F1084" s="278">
        <v>1.9236931010401312</v>
      </c>
      <c r="G1084" s="278">
        <v>10.789313130468249</v>
      </c>
      <c r="H1084" s="278">
        <f t="shared" si="395"/>
        <v>12.71300623150838</v>
      </c>
      <c r="I1084" s="279"/>
      <c r="J1084" s="278">
        <v>3.1196569581952915</v>
      </c>
      <c r="K1084" s="278">
        <v>10.068024153347981</v>
      </c>
      <c r="L1084" s="278">
        <f t="shared" si="396"/>
        <v>13.187681111543272</v>
      </c>
      <c r="M1084" s="212"/>
      <c r="N1084" s="212"/>
    </row>
    <row r="1085" spans="1:14">
      <c r="A1085" s="213" t="str">
        <f>name!E$9</f>
        <v>Caring, leisure and other service occupations</v>
      </c>
      <c r="B1085" s="278">
        <v>14.932153851315892</v>
      </c>
      <c r="C1085" s="278">
        <v>8.5205353281586138</v>
      </c>
      <c r="D1085" s="278">
        <f t="shared" si="394"/>
        <v>23.452689179474504</v>
      </c>
      <c r="E1085" s="279"/>
      <c r="F1085" s="278">
        <v>16.584203177598123</v>
      </c>
      <c r="G1085" s="278">
        <v>10.211558619497843</v>
      </c>
      <c r="H1085" s="278">
        <f t="shared" si="395"/>
        <v>26.795761797095967</v>
      </c>
      <c r="I1085" s="279"/>
      <c r="J1085" s="278">
        <v>20.16500678280957</v>
      </c>
      <c r="K1085" s="278">
        <v>12.079974916511684</v>
      </c>
      <c r="L1085" s="278">
        <f t="shared" si="396"/>
        <v>32.244981699321258</v>
      </c>
      <c r="M1085" s="212"/>
      <c r="N1085" s="212"/>
    </row>
    <row r="1086" spans="1:14">
      <c r="A1086" s="213" t="str">
        <f>name!E$10</f>
        <v>Sales and customer service occupations</v>
      </c>
      <c r="B1086" s="278">
        <v>8.8301917789945268</v>
      </c>
      <c r="C1086" s="278">
        <v>20.699487378681443</v>
      </c>
      <c r="D1086" s="278">
        <f t="shared" si="394"/>
        <v>29.529679157675972</v>
      </c>
      <c r="E1086" s="279"/>
      <c r="F1086" s="278">
        <v>9.6906468493771722</v>
      </c>
      <c r="G1086" s="278">
        <v>21.914890552907959</v>
      </c>
      <c r="H1086" s="278">
        <f t="shared" si="395"/>
        <v>31.60553740228513</v>
      </c>
      <c r="I1086" s="279"/>
      <c r="J1086" s="278">
        <v>12.142866615283038</v>
      </c>
      <c r="K1086" s="278">
        <v>26.858386581327455</v>
      </c>
      <c r="L1086" s="278">
        <f t="shared" si="396"/>
        <v>39.001253196610492</v>
      </c>
      <c r="M1086" s="212"/>
      <c r="N1086" s="212"/>
    </row>
    <row r="1087" spans="1:14">
      <c r="A1087" s="213" t="str">
        <f>name!E$11</f>
        <v>Process, plant and machine operatives</v>
      </c>
      <c r="B1087" s="278">
        <v>1.8369953710492972</v>
      </c>
      <c r="C1087" s="278">
        <v>15.787312720337075</v>
      </c>
      <c r="D1087" s="278">
        <f t="shared" si="394"/>
        <v>17.624308091386371</v>
      </c>
      <c r="E1087" s="279"/>
      <c r="F1087" s="278">
        <v>1.5542272199975644</v>
      </c>
      <c r="G1087" s="278">
        <v>14.337044750583567</v>
      </c>
      <c r="H1087" s="278">
        <f t="shared" si="395"/>
        <v>15.891271970581132</v>
      </c>
      <c r="I1087" s="279"/>
      <c r="J1087" s="278">
        <v>2.3418084037007647</v>
      </c>
      <c r="K1087" s="278">
        <v>13.196472156339567</v>
      </c>
      <c r="L1087" s="278">
        <f t="shared" si="396"/>
        <v>15.538280560040331</v>
      </c>
      <c r="M1087" s="212"/>
      <c r="N1087" s="212"/>
    </row>
    <row r="1088" spans="1:14">
      <c r="A1088" s="213" t="str">
        <f>name!E$12</f>
        <v>Elementary occupations</v>
      </c>
      <c r="B1088" s="278">
        <v>37.964423805185376</v>
      </c>
      <c r="C1088" s="278">
        <v>105.77001898212718</v>
      </c>
      <c r="D1088" s="278">
        <f t="shared" si="394"/>
        <v>143.73444278731256</v>
      </c>
      <c r="E1088" s="279"/>
      <c r="F1088" s="278">
        <v>36.111458522576648</v>
      </c>
      <c r="G1088" s="278">
        <v>96.084760248553465</v>
      </c>
      <c r="H1088" s="278">
        <f t="shared" si="395"/>
        <v>132.19621877113011</v>
      </c>
      <c r="I1088" s="279"/>
      <c r="J1088" s="278">
        <v>37.294444239448545</v>
      </c>
      <c r="K1088" s="278">
        <v>104.3330397909421</v>
      </c>
      <c r="L1088" s="278">
        <f t="shared" si="396"/>
        <v>141.62748403039063</v>
      </c>
      <c r="M1088" s="212"/>
      <c r="N1088" s="212"/>
    </row>
    <row r="1089" spans="1:14">
      <c r="A1089" s="213"/>
      <c r="B1089" s="278"/>
      <c r="C1089" s="278"/>
      <c r="D1089" s="278"/>
      <c r="E1089" s="279"/>
      <c r="F1089" s="278"/>
      <c r="G1089" s="278"/>
      <c r="H1089" s="278"/>
      <c r="I1089" s="279"/>
      <c r="J1089" s="278"/>
      <c r="K1089" s="278"/>
      <c r="L1089" s="278"/>
      <c r="M1089" s="212"/>
      <c r="N1089" s="212"/>
    </row>
    <row r="1090" spans="1:14">
      <c r="A1090" s="220" t="s">
        <v>119</v>
      </c>
      <c r="B1090" s="282">
        <f>SUM(B1080:B1088)</f>
        <v>134.0760000009596</v>
      </c>
      <c r="C1090" s="282">
        <f t="shared" ref="C1090:D1090" si="397">SUM(C1080:C1088)</f>
        <v>297.81800000178691</v>
      </c>
      <c r="D1090" s="282">
        <f t="shared" si="397"/>
        <v>431.89400000274651</v>
      </c>
      <c r="E1090" s="282"/>
      <c r="F1090" s="282">
        <f t="shared" ref="F1090:H1090" si="398">SUM(F1080:F1088)</f>
        <v>153.80499999931064</v>
      </c>
      <c r="G1090" s="282">
        <f t="shared" si="398"/>
        <v>320.4930000004432</v>
      </c>
      <c r="H1090" s="282">
        <f t="shared" si="398"/>
        <v>474.29799999975376</v>
      </c>
      <c r="I1090" s="282"/>
      <c r="J1090" s="282">
        <f t="shared" ref="J1090:L1090" si="399">SUM(J1080:J1088)</f>
        <v>176.00200000109842</v>
      </c>
      <c r="K1090" s="282">
        <f t="shared" si="399"/>
        <v>362.42700000089474</v>
      </c>
      <c r="L1090" s="282">
        <f t="shared" si="399"/>
        <v>538.42900000199324</v>
      </c>
      <c r="M1090" s="212"/>
      <c r="N1090" s="212"/>
    </row>
    <row r="1091" spans="1:14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6"/>
      <c r="M1091" s="212"/>
      <c r="N1091" s="212"/>
    </row>
    <row r="1092" spans="1:14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32" t="s">
        <v>114</v>
      </c>
      <c r="M1092" s="212"/>
      <c r="N1092" s="212"/>
    </row>
    <row r="1093" spans="1:14" ht="12.95">
      <c r="A1093" s="218"/>
      <c r="B1093" s="226"/>
      <c r="C1093" s="226"/>
      <c r="D1093" s="226"/>
      <c r="E1093" s="226"/>
      <c r="F1093" s="226"/>
      <c r="G1093" s="226"/>
      <c r="H1093" s="226"/>
      <c r="I1093" s="226"/>
      <c r="J1093" s="226"/>
      <c r="K1093" s="226"/>
      <c r="L1093" s="212"/>
      <c r="M1093" s="212"/>
      <c r="N1093" s="212"/>
    </row>
    <row r="1094" spans="1:14" ht="12.95">
      <c r="A1094" s="217" t="str">
        <f>name!A67</f>
        <v>Public administration and defence</v>
      </c>
      <c r="B1094" s="367">
        <f>B$6</f>
        <v>2015</v>
      </c>
      <c r="C1094" s="367"/>
      <c r="D1094" s="367"/>
      <c r="E1094" s="229"/>
      <c r="F1094" s="367">
        <f>F$6</f>
        <v>2020</v>
      </c>
      <c r="G1094" s="367"/>
      <c r="H1094" s="367"/>
      <c r="I1094" s="229"/>
      <c r="J1094" s="367">
        <f>J$6</f>
        <v>2035</v>
      </c>
      <c r="K1094" s="367"/>
      <c r="L1094" s="367"/>
      <c r="M1094" s="212"/>
      <c r="N1094" s="212"/>
    </row>
    <row r="1095" spans="1:14" ht="12.95">
      <c r="A1095" s="230"/>
      <c r="B1095" s="231" t="s">
        <v>173</v>
      </c>
      <c r="C1095" s="231" t="s">
        <v>174</v>
      </c>
      <c r="D1095" s="231" t="s">
        <v>119</v>
      </c>
      <c r="E1095" s="231"/>
      <c r="F1095" s="231" t="s">
        <v>173</v>
      </c>
      <c r="G1095" s="231" t="s">
        <v>174</v>
      </c>
      <c r="H1095" s="231" t="s">
        <v>119</v>
      </c>
      <c r="I1095" s="231"/>
      <c r="J1095" s="231" t="s">
        <v>173</v>
      </c>
      <c r="K1095" s="231" t="s">
        <v>174</v>
      </c>
      <c r="L1095" s="231" t="s">
        <v>119</v>
      </c>
      <c r="M1095" s="212"/>
      <c r="N1095" s="212"/>
    </row>
    <row r="1096" spans="1:14" ht="12.95">
      <c r="A1096" s="234"/>
      <c r="B1096" s="235"/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12"/>
      <c r="N1096" s="212"/>
    </row>
    <row r="1097" spans="1:14">
      <c r="A1097" s="213" t="str">
        <f>name!E$4</f>
        <v>Managers, directors and senior officials</v>
      </c>
      <c r="B1097" s="278">
        <v>31.788387686282451</v>
      </c>
      <c r="C1097" s="278">
        <v>50.010303983135415</v>
      </c>
      <c r="D1097" s="278">
        <f>SUM(B1097:C1097)</f>
        <v>81.798691669417863</v>
      </c>
      <c r="E1097" s="279"/>
      <c r="F1097" s="278">
        <v>40.194189756083794</v>
      </c>
      <c r="G1097" s="278">
        <v>54.577479108955636</v>
      </c>
      <c r="H1097" s="278">
        <f>SUM(F1097:G1097)</f>
        <v>94.77166886503943</v>
      </c>
      <c r="I1097" s="279"/>
      <c r="J1097" s="278">
        <v>43.930325282280648</v>
      </c>
      <c r="K1097" s="278">
        <v>54.021179975364419</v>
      </c>
      <c r="L1097" s="278">
        <f>SUM(J1097:K1097)</f>
        <v>97.951505257645067</v>
      </c>
      <c r="M1097" s="212"/>
      <c r="N1097" s="212"/>
    </row>
    <row r="1098" spans="1:14">
      <c r="A1098" s="213" t="str">
        <f>name!E$5</f>
        <v>Professional occupations</v>
      </c>
      <c r="B1098" s="278">
        <v>128.92621552517005</v>
      </c>
      <c r="C1098" s="278">
        <v>88.159523994531867</v>
      </c>
      <c r="D1098" s="278">
        <f t="shared" ref="D1098:D1105" si="400">SUM(B1098:C1098)</f>
        <v>217.08573951970192</v>
      </c>
      <c r="E1098" s="279"/>
      <c r="F1098" s="278">
        <v>165.18906139950425</v>
      </c>
      <c r="G1098" s="278">
        <v>110.52160468280451</v>
      </c>
      <c r="H1098" s="278">
        <f t="shared" ref="H1098:H1105" si="401">SUM(F1098:G1098)</f>
        <v>275.71066608230876</v>
      </c>
      <c r="I1098" s="279"/>
      <c r="J1098" s="278">
        <v>190.51597049143894</v>
      </c>
      <c r="K1098" s="278">
        <v>140.30811834257102</v>
      </c>
      <c r="L1098" s="278">
        <f t="shared" ref="L1098:L1105" si="402">SUM(J1098:K1098)</f>
        <v>330.82408883400996</v>
      </c>
      <c r="M1098" s="212"/>
      <c r="N1098" s="212"/>
    </row>
    <row r="1099" spans="1:14">
      <c r="A1099" s="213" t="str">
        <f>name!E$6</f>
        <v>Associate professional occupations</v>
      </c>
      <c r="B1099" s="278">
        <v>127.92141424675006</v>
      </c>
      <c r="C1099" s="278">
        <v>187.93717446425711</v>
      </c>
      <c r="D1099" s="278">
        <f t="shared" si="400"/>
        <v>315.8585887110072</v>
      </c>
      <c r="E1099" s="279"/>
      <c r="F1099" s="278">
        <v>147.80562475214529</v>
      </c>
      <c r="G1099" s="278">
        <v>198.3485820660656</v>
      </c>
      <c r="H1099" s="278">
        <f t="shared" si="401"/>
        <v>346.15420681821092</v>
      </c>
      <c r="I1099" s="279"/>
      <c r="J1099" s="278">
        <v>186.99202298259979</v>
      </c>
      <c r="K1099" s="278">
        <v>172.46494661198292</v>
      </c>
      <c r="L1099" s="278">
        <f t="shared" si="402"/>
        <v>359.45696959458269</v>
      </c>
      <c r="M1099" s="212"/>
      <c r="N1099" s="212"/>
    </row>
    <row r="1100" spans="1:14">
      <c r="A1100" s="213" t="str">
        <f>name!E$7</f>
        <v>Administrative and secretarial occupations</v>
      </c>
      <c r="B1100" s="278">
        <v>227.19444331697616</v>
      </c>
      <c r="C1100" s="278">
        <v>63.614083187343802</v>
      </c>
      <c r="D1100" s="278">
        <f t="shared" si="400"/>
        <v>290.80852650431996</v>
      </c>
      <c r="E1100" s="279"/>
      <c r="F1100" s="278">
        <v>199.82074706295046</v>
      </c>
      <c r="G1100" s="278">
        <v>64.138601743106335</v>
      </c>
      <c r="H1100" s="278">
        <f t="shared" si="401"/>
        <v>263.95934880605682</v>
      </c>
      <c r="I1100" s="279"/>
      <c r="J1100" s="278">
        <v>163.18223225316453</v>
      </c>
      <c r="K1100" s="278">
        <v>70.222259789681459</v>
      </c>
      <c r="L1100" s="278">
        <f t="shared" si="402"/>
        <v>233.40449204284599</v>
      </c>
      <c r="M1100" s="212"/>
      <c r="N1100" s="212"/>
    </row>
    <row r="1101" spans="1:14">
      <c r="A1101" s="213" t="str">
        <f>name!E$8</f>
        <v>Skilled trades occupations</v>
      </c>
      <c r="B1101" s="278">
        <v>2.3642105580588026</v>
      </c>
      <c r="C1101" s="278">
        <v>13.504658432888025</v>
      </c>
      <c r="D1101" s="278">
        <f t="shared" si="400"/>
        <v>15.868868990946828</v>
      </c>
      <c r="E1101" s="279"/>
      <c r="F1101" s="278">
        <v>2.5774832717347222</v>
      </c>
      <c r="G1101" s="278">
        <v>9.469629908827784</v>
      </c>
      <c r="H1101" s="278">
        <f t="shared" si="401"/>
        <v>12.047113180562507</v>
      </c>
      <c r="I1101" s="279"/>
      <c r="J1101" s="278">
        <v>5.2291223030998077</v>
      </c>
      <c r="K1101" s="278">
        <v>9.1555808205333626</v>
      </c>
      <c r="L1101" s="278">
        <f t="shared" si="402"/>
        <v>14.384703123633169</v>
      </c>
      <c r="M1101" s="212"/>
      <c r="N1101" s="212"/>
    </row>
    <row r="1102" spans="1:14">
      <c r="A1102" s="213" t="str">
        <f>name!E$9</f>
        <v>Caring, leisure and other service occupations</v>
      </c>
      <c r="B1102" s="278">
        <v>35.149457987841934</v>
      </c>
      <c r="C1102" s="278">
        <v>11.854980992696174</v>
      </c>
      <c r="D1102" s="278">
        <f t="shared" si="400"/>
        <v>47.004438980538112</v>
      </c>
      <c r="E1102" s="279"/>
      <c r="F1102" s="278">
        <v>32.937338370077654</v>
      </c>
      <c r="G1102" s="278">
        <v>11.585203341564826</v>
      </c>
      <c r="H1102" s="278">
        <f t="shared" si="401"/>
        <v>44.522541711642482</v>
      </c>
      <c r="I1102" s="279"/>
      <c r="J1102" s="278">
        <v>34.910025162663274</v>
      </c>
      <c r="K1102" s="278">
        <v>13.574286362860173</v>
      </c>
      <c r="L1102" s="278">
        <f t="shared" si="402"/>
        <v>48.484311525523445</v>
      </c>
      <c r="M1102" s="212"/>
      <c r="N1102" s="212"/>
    </row>
    <row r="1103" spans="1:14">
      <c r="A1103" s="213" t="str">
        <f>name!E$10</f>
        <v>Sales and customer service occupations</v>
      </c>
      <c r="B1103" s="278">
        <v>20.203755153114084</v>
      </c>
      <c r="C1103" s="278">
        <v>7.8442752105111424</v>
      </c>
      <c r="D1103" s="278">
        <f t="shared" si="400"/>
        <v>28.048030363625227</v>
      </c>
      <c r="E1103" s="279"/>
      <c r="F1103" s="278">
        <v>19.429420406194243</v>
      </c>
      <c r="G1103" s="278">
        <v>7.2099775764504486</v>
      </c>
      <c r="H1103" s="278">
        <f t="shared" si="401"/>
        <v>26.639397982644692</v>
      </c>
      <c r="I1103" s="279"/>
      <c r="J1103" s="278">
        <v>20.340874135598742</v>
      </c>
      <c r="K1103" s="278">
        <v>9.3157984953004167</v>
      </c>
      <c r="L1103" s="278">
        <f t="shared" si="402"/>
        <v>29.656672630899159</v>
      </c>
      <c r="M1103" s="212"/>
      <c r="N1103" s="212"/>
    </row>
    <row r="1104" spans="1:14">
      <c r="A1104" s="213" t="str">
        <f>name!E$11</f>
        <v>Process, plant and machine operatives</v>
      </c>
      <c r="B1104" s="278">
        <v>2.0606125663846688</v>
      </c>
      <c r="C1104" s="278">
        <v>9.6101977036931938</v>
      </c>
      <c r="D1104" s="278">
        <f t="shared" si="400"/>
        <v>11.670810270077862</v>
      </c>
      <c r="E1104" s="279"/>
      <c r="F1104" s="278">
        <v>1.6336848716469352</v>
      </c>
      <c r="G1104" s="278">
        <v>7.4265687016292636</v>
      </c>
      <c r="H1104" s="278">
        <f t="shared" si="401"/>
        <v>9.0602535732761993</v>
      </c>
      <c r="I1104" s="279"/>
      <c r="J1104" s="278">
        <v>3.4495938263231025</v>
      </c>
      <c r="K1104" s="278">
        <v>7.3332452794170102</v>
      </c>
      <c r="L1104" s="278">
        <f t="shared" si="402"/>
        <v>10.782839105740113</v>
      </c>
      <c r="M1104" s="212"/>
      <c r="N1104" s="212"/>
    </row>
    <row r="1105" spans="1:14">
      <c r="A1105" s="213" t="str">
        <f>name!E$12</f>
        <v>Elementary occupations</v>
      </c>
      <c r="B1105" s="278">
        <v>24.08950295477489</v>
      </c>
      <c r="C1105" s="278">
        <v>18.475802027580844</v>
      </c>
      <c r="D1105" s="278">
        <f t="shared" si="400"/>
        <v>42.565304982355734</v>
      </c>
      <c r="E1105" s="279"/>
      <c r="F1105" s="278">
        <v>19.577450107493796</v>
      </c>
      <c r="G1105" s="278">
        <v>13.990352869456494</v>
      </c>
      <c r="H1105" s="278">
        <f t="shared" si="401"/>
        <v>33.56780297695029</v>
      </c>
      <c r="I1105" s="279"/>
      <c r="J1105" s="278">
        <v>19.787833565607382</v>
      </c>
      <c r="K1105" s="278">
        <v>13.314584323043766</v>
      </c>
      <c r="L1105" s="278">
        <f t="shared" si="402"/>
        <v>33.102417888651146</v>
      </c>
      <c r="M1105" s="212"/>
      <c r="N1105" s="212"/>
    </row>
    <row r="1106" spans="1:14">
      <c r="A1106" s="213"/>
      <c r="B1106" s="278"/>
      <c r="C1106" s="278"/>
      <c r="D1106" s="278"/>
      <c r="E1106" s="279"/>
      <c r="F1106" s="278"/>
      <c r="G1106" s="278"/>
      <c r="H1106" s="278"/>
      <c r="I1106" s="279"/>
      <c r="J1106" s="278"/>
      <c r="K1106" s="278"/>
      <c r="L1106" s="278"/>
      <c r="M1106" s="212"/>
      <c r="N1106" s="212"/>
    </row>
    <row r="1107" spans="1:14">
      <c r="A1107" s="220" t="s">
        <v>119</v>
      </c>
      <c r="B1107" s="282">
        <f>SUM(B1097:B1105)</f>
        <v>599.69799999535314</v>
      </c>
      <c r="C1107" s="282">
        <f t="shared" ref="C1107:D1107" si="403">SUM(C1097:C1105)</f>
        <v>451.01099999663762</v>
      </c>
      <c r="D1107" s="282">
        <f t="shared" si="403"/>
        <v>1050.7089999919906</v>
      </c>
      <c r="E1107" s="282"/>
      <c r="F1107" s="282">
        <f t="shared" ref="F1107:H1107" si="404">SUM(F1097:F1105)</f>
        <v>629.16499999783116</v>
      </c>
      <c r="G1107" s="282">
        <f t="shared" si="404"/>
        <v>477.26799999886094</v>
      </c>
      <c r="H1107" s="282">
        <f t="shared" si="404"/>
        <v>1106.4329999966922</v>
      </c>
      <c r="I1107" s="282"/>
      <c r="J1107" s="282">
        <f t="shared" ref="J1107:L1107" si="405">SUM(J1097:J1105)</f>
        <v>668.33800000277608</v>
      </c>
      <c r="K1107" s="282">
        <f t="shared" si="405"/>
        <v>489.71000000075458</v>
      </c>
      <c r="L1107" s="282">
        <f t="shared" si="405"/>
        <v>1158.0480000035309</v>
      </c>
      <c r="M1107" s="212"/>
      <c r="N1107" s="212"/>
    </row>
    <row r="1108" spans="1:14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6"/>
      <c r="M1108" s="212"/>
      <c r="N1108" s="212"/>
    </row>
    <row r="1109" spans="1:14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32" t="s">
        <v>114</v>
      </c>
      <c r="M1109" s="212"/>
      <c r="N1109" s="212"/>
    </row>
    <row r="1110" spans="1:14" ht="12.95">
      <c r="A1110" s="218"/>
      <c r="B1110" s="226"/>
      <c r="C1110" s="226"/>
      <c r="D1110" s="226"/>
      <c r="E1110" s="226"/>
      <c r="F1110" s="226"/>
      <c r="G1110" s="226"/>
      <c r="H1110" s="226"/>
      <c r="I1110" s="226"/>
      <c r="J1110" s="226"/>
      <c r="K1110" s="226"/>
      <c r="L1110" s="212"/>
      <c r="M1110" s="212"/>
      <c r="N1110" s="212"/>
    </row>
    <row r="1111" spans="1:14" ht="12.95">
      <c r="A1111" s="217" t="str">
        <f>name!A68</f>
        <v xml:space="preserve">Education </v>
      </c>
      <c r="B1111" s="367">
        <f>B$6</f>
        <v>2015</v>
      </c>
      <c r="C1111" s="367"/>
      <c r="D1111" s="367"/>
      <c r="E1111" s="229"/>
      <c r="F1111" s="367">
        <f>F$6</f>
        <v>2020</v>
      </c>
      <c r="G1111" s="367"/>
      <c r="H1111" s="367"/>
      <c r="I1111" s="229"/>
      <c r="J1111" s="367">
        <f>J$6</f>
        <v>2035</v>
      </c>
      <c r="K1111" s="367"/>
      <c r="L1111" s="367"/>
      <c r="M1111" s="212"/>
      <c r="N1111" s="212"/>
    </row>
    <row r="1112" spans="1:14" ht="12.95">
      <c r="A1112" s="230"/>
      <c r="B1112" s="231" t="s">
        <v>173</v>
      </c>
      <c r="C1112" s="231" t="s">
        <v>174</v>
      </c>
      <c r="D1112" s="231" t="s">
        <v>119</v>
      </c>
      <c r="E1112" s="231"/>
      <c r="F1112" s="231" t="s">
        <v>173</v>
      </c>
      <c r="G1112" s="231" t="s">
        <v>174</v>
      </c>
      <c r="H1112" s="231" t="s">
        <v>119</v>
      </c>
      <c r="I1112" s="231"/>
      <c r="J1112" s="231" t="s">
        <v>173</v>
      </c>
      <c r="K1112" s="231" t="s">
        <v>174</v>
      </c>
      <c r="L1112" s="231" t="s">
        <v>119</v>
      </c>
      <c r="M1112" s="212"/>
      <c r="N1112" s="212"/>
    </row>
    <row r="1113" spans="1:14" ht="12.95">
      <c r="A1113" s="234"/>
      <c r="B1113" s="235"/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12"/>
      <c r="N1113" s="212"/>
    </row>
    <row r="1114" spans="1:14">
      <c r="A1114" s="213" t="str">
        <f>name!E$4</f>
        <v>Managers, directors and senior officials</v>
      </c>
      <c r="B1114" s="278">
        <v>31.587126163723941</v>
      </c>
      <c r="C1114" s="278">
        <v>34.714157960107791</v>
      </c>
      <c r="D1114" s="278">
        <f>SUM(B1114:C1114)</f>
        <v>66.301284123831735</v>
      </c>
      <c r="E1114" s="279"/>
      <c r="F1114" s="278">
        <v>37.64603152500456</v>
      </c>
      <c r="G1114" s="278">
        <v>33.825792482843674</v>
      </c>
      <c r="H1114" s="278">
        <f>SUM(F1114:G1114)</f>
        <v>71.471824007848227</v>
      </c>
      <c r="I1114" s="279"/>
      <c r="J1114" s="278">
        <v>42.95830403703156</v>
      </c>
      <c r="K1114" s="278">
        <v>30.948703347282844</v>
      </c>
      <c r="L1114" s="278">
        <f>SUM(J1114:K1114)</f>
        <v>73.907007384314397</v>
      </c>
      <c r="M1114" s="212"/>
      <c r="N1114" s="212"/>
    </row>
    <row r="1115" spans="1:14">
      <c r="A1115" s="213" t="str">
        <f>name!E$5</f>
        <v>Professional occupations</v>
      </c>
      <c r="B1115" s="278">
        <v>819.60358347286444</v>
      </c>
      <c r="C1115" s="278">
        <v>478.1946787390724</v>
      </c>
      <c r="D1115" s="278">
        <f t="shared" ref="D1115:D1122" si="406">SUM(B1115:C1115)</f>
        <v>1297.7982622119368</v>
      </c>
      <c r="E1115" s="279"/>
      <c r="F1115" s="278">
        <v>917.2097561045955</v>
      </c>
      <c r="G1115" s="278">
        <v>486.46379951129154</v>
      </c>
      <c r="H1115" s="278">
        <f t="shared" ref="H1115:H1122" si="407">SUM(F1115:G1115)</f>
        <v>1403.6735556158869</v>
      </c>
      <c r="I1115" s="279"/>
      <c r="J1115" s="278">
        <v>1014.2124303440227</v>
      </c>
      <c r="K1115" s="278">
        <v>525.87472142236288</v>
      </c>
      <c r="L1115" s="278">
        <f t="shared" ref="L1115:L1122" si="408">SUM(J1115:K1115)</f>
        <v>1540.0871517663854</v>
      </c>
      <c r="M1115" s="212"/>
      <c r="N1115" s="212"/>
    </row>
    <row r="1116" spans="1:14">
      <c r="A1116" s="213" t="str">
        <f>name!E$6</f>
        <v>Associate professional occupations</v>
      </c>
      <c r="B1116" s="278">
        <v>119.06842535917734</v>
      </c>
      <c r="C1116" s="278">
        <v>83.566762417019589</v>
      </c>
      <c r="D1116" s="278">
        <f t="shared" si="406"/>
        <v>202.63518777619691</v>
      </c>
      <c r="E1116" s="279"/>
      <c r="F1116" s="278">
        <v>125.51368497362301</v>
      </c>
      <c r="G1116" s="278">
        <v>81.431717799193294</v>
      </c>
      <c r="H1116" s="278">
        <f t="shared" si="407"/>
        <v>206.94540277281629</v>
      </c>
      <c r="I1116" s="279"/>
      <c r="J1116" s="278">
        <v>175.81263085948123</v>
      </c>
      <c r="K1116" s="278">
        <v>70.769648295875569</v>
      </c>
      <c r="L1116" s="278">
        <f t="shared" si="408"/>
        <v>246.58227915535679</v>
      </c>
      <c r="M1116" s="212"/>
      <c r="N1116" s="212"/>
    </row>
    <row r="1117" spans="1:14">
      <c r="A1117" s="213" t="str">
        <f>name!E$7</f>
        <v>Administrative and secretarial occupations</v>
      </c>
      <c r="B1117" s="278">
        <v>130.11837641292431</v>
      </c>
      <c r="C1117" s="278">
        <v>23.479030308947895</v>
      </c>
      <c r="D1117" s="278">
        <f t="shared" si="406"/>
        <v>153.5974067218722</v>
      </c>
      <c r="E1117" s="279"/>
      <c r="F1117" s="278">
        <v>114.30164336246632</v>
      </c>
      <c r="G1117" s="278">
        <v>19.244740572072232</v>
      </c>
      <c r="H1117" s="278">
        <f t="shared" si="407"/>
        <v>133.54638393453854</v>
      </c>
      <c r="I1117" s="279"/>
      <c r="J1117" s="278">
        <v>63.463176946744966</v>
      </c>
      <c r="K1117" s="278">
        <v>17.682633225881087</v>
      </c>
      <c r="L1117" s="278">
        <f t="shared" si="408"/>
        <v>81.145810172626057</v>
      </c>
      <c r="M1117" s="212"/>
      <c r="N1117" s="212"/>
    </row>
    <row r="1118" spans="1:14">
      <c r="A1118" s="213" t="str">
        <f>name!E$8</f>
        <v>Skilled trades occupations</v>
      </c>
      <c r="B1118" s="278">
        <v>17.927525939251925</v>
      </c>
      <c r="C1118" s="278">
        <v>20.1458351897844</v>
      </c>
      <c r="D1118" s="278">
        <f t="shared" si="406"/>
        <v>38.073361129036329</v>
      </c>
      <c r="E1118" s="279"/>
      <c r="F1118" s="278">
        <v>14.748317956784554</v>
      </c>
      <c r="G1118" s="278">
        <v>12.926102812098911</v>
      </c>
      <c r="H1118" s="278">
        <f t="shared" si="407"/>
        <v>27.674420768883465</v>
      </c>
      <c r="I1118" s="279"/>
      <c r="J1118" s="278">
        <v>9.5295791769036828</v>
      </c>
      <c r="K1118" s="278">
        <v>10.823124097841765</v>
      </c>
      <c r="L1118" s="278">
        <f t="shared" si="408"/>
        <v>20.352703274745448</v>
      </c>
      <c r="M1118" s="212"/>
      <c r="N1118" s="212"/>
    </row>
    <row r="1119" spans="1:14">
      <c r="A1119" s="213" t="str">
        <f>name!E$9</f>
        <v>Caring, leisure and other service occupations</v>
      </c>
      <c r="B1119" s="278">
        <v>480.52996500412502</v>
      </c>
      <c r="C1119" s="278">
        <v>63.75309854665543</v>
      </c>
      <c r="D1119" s="278">
        <f t="shared" si="406"/>
        <v>544.28306355078041</v>
      </c>
      <c r="E1119" s="279"/>
      <c r="F1119" s="278">
        <v>446.24764892792058</v>
      </c>
      <c r="G1119" s="278">
        <v>56.871400471595948</v>
      </c>
      <c r="H1119" s="278">
        <f t="shared" si="407"/>
        <v>503.11904939951654</v>
      </c>
      <c r="I1119" s="279"/>
      <c r="J1119" s="278">
        <v>481.85938832025164</v>
      </c>
      <c r="K1119" s="278">
        <v>62.852390776621398</v>
      </c>
      <c r="L1119" s="278">
        <f t="shared" si="408"/>
        <v>544.71177909687299</v>
      </c>
      <c r="M1119" s="212"/>
      <c r="N1119" s="212"/>
    </row>
    <row r="1120" spans="1:14">
      <c r="A1120" s="213" t="str">
        <f>name!E$10</f>
        <v>Sales and customer service occupations</v>
      </c>
      <c r="B1120" s="278">
        <v>12.017599586405613</v>
      </c>
      <c r="C1120" s="278">
        <v>5.022542613151006</v>
      </c>
      <c r="D1120" s="278">
        <f t="shared" si="406"/>
        <v>17.04014219955662</v>
      </c>
      <c r="E1120" s="279"/>
      <c r="F1120" s="278">
        <v>10.392176653580854</v>
      </c>
      <c r="G1120" s="278">
        <v>3.9527682212555848</v>
      </c>
      <c r="H1120" s="278">
        <f t="shared" si="407"/>
        <v>14.34494487483644</v>
      </c>
      <c r="I1120" s="279"/>
      <c r="J1120" s="278">
        <v>10.367364420462637</v>
      </c>
      <c r="K1120" s="278">
        <v>4.6264444138090637</v>
      </c>
      <c r="L1120" s="278">
        <f t="shared" si="408"/>
        <v>14.9938088342717</v>
      </c>
      <c r="M1120" s="212"/>
      <c r="N1120" s="212"/>
    </row>
    <row r="1121" spans="1:14">
      <c r="A1121" s="213" t="str">
        <f>name!E$11</f>
        <v>Process, plant and machine operatives</v>
      </c>
      <c r="B1121" s="278">
        <v>12.358457696081768</v>
      </c>
      <c r="C1121" s="278">
        <v>38.630934564226635</v>
      </c>
      <c r="D1121" s="278">
        <f t="shared" si="406"/>
        <v>50.989392260308406</v>
      </c>
      <c r="E1121" s="279"/>
      <c r="F1121" s="278">
        <v>12.720314892269446</v>
      </c>
      <c r="G1121" s="278">
        <v>40.352547638490442</v>
      </c>
      <c r="H1121" s="278">
        <f t="shared" si="407"/>
        <v>53.072862530759892</v>
      </c>
      <c r="I1121" s="279"/>
      <c r="J1121" s="278">
        <v>12.142723250892889</v>
      </c>
      <c r="K1121" s="278">
        <v>43.116260468626542</v>
      </c>
      <c r="L1121" s="278">
        <f t="shared" si="408"/>
        <v>55.258983719519435</v>
      </c>
      <c r="M1121" s="212"/>
      <c r="N1121" s="212"/>
    </row>
    <row r="1122" spans="1:14">
      <c r="A1122" s="213" t="str">
        <f>name!E$12</f>
        <v>Elementary occupations</v>
      </c>
      <c r="B1122" s="278">
        <v>129.8729403427036</v>
      </c>
      <c r="C1122" s="278">
        <v>26.724959666728289</v>
      </c>
      <c r="D1122" s="278">
        <f t="shared" si="406"/>
        <v>156.5979000094319</v>
      </c>
      <c r="E1122" s="279"/>
      <c r="F1122" s="278">
        <v>100.43542559315631</v>
      </c>
      <c r="G1122" s="278">
        <v>17.496130515439944</v>
      </c>
      <c r="H1122" s="278">
        <f t="shared" si="407"/>
        <v>117.93155610859625</v>
      </c>
      <c r="I1122" s="279"/>
      <c r="J1122" s="278">
        <v>44.212402500463263</v>
      </c>
      <c r="K1122" s="278">
        <v>11.981073937081197</v>
      </c>
      <c r="L1122" s="278">
        <f t="shared" si="408"/>
        <v>56.193476437544462</v>
      </c>
      <c r="M1122" s="212"/>
      <c r="N1122" s="212"/>
    </row>
    <row r="1123" spans="1:14">
      <c r="A1123" s="213"/>
      <c r="B1123" s="278"/>
      <c r="C1123" s="278"/>
      <c r="D1123" s="278"/>
      <c r="E1123" s="279"/>
      <c r="F1123" s="278"/>
      <c r="G1123" s="278"/>
      <c r="H1123" s="278"/>
      <c r="I1123" s="279"/>
      <c r="J1123" s="278"/>
      <c r="K1123" s="278"/>
      <c r="L1123" s="278"/>
      <c r="M1123" s="212"/>
      <c r="N1123" s="212"/>
    </row>
    <row r="1124" spans="1:14">
      <c r="A1124" s="220" t="s">
        <v>119</v>
      </c>
      <c r="B1124" s="282">
        <f>SUM(B1114:B1122)</f>
        <v>1753.0839999772579</v>
      </c>
      <c r="C1124" s="282">
        <f t="shared" ref="C1124:D1124" si="409">SUM(C1114:C1122)</f>
        <v>774.23200000569352</v>
      </c>
      <c r="D1124" s="282">
        <f t="shared" si="409"/>
        <v>2527.3159999829513</v>
      </c>
      <c r="E1124" s="282"/>
      <c r="F1124" s="282">
        <f t="shared" ref="F1124:H1124" si="410">SUM(F1114:F1122)</f>
        <v>1779.2149999894013</v>
      </c>
      <c r="G1124" s="282">
        <f t="shared" si="410"/>
        <v>752.56500002428163</v>
      </c>
      <c r="H1124" s="282">
        <f t="shared" si="410"/>
        <v>2531.7800000136826</v>
      </c>
      <c r="I1124" s="282"/>
      <c r="J1124" s="282">
        <f t="shared" ref="J1124:L1124" si="411">SUM(J1114:J1122)</f>
        <v>1854.5579998562546</v>
      </c>
      <c r="K1124" s="282">
        <f t="shared" si="411"/>
        <v>778.67499998538233</v>
      </c>
      <c r="L1124" s="282">
        <f t="shared" si="411"/>
        <v>2633.2329998416371</v>
      </c>
      <c r="M1124" s="212"/>
      <c r="N1124" s="212"/>
    </row>
    <row r="1125" spans="1:14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6"/>
      <c r="M1125" s="212"/>
      <c r="N1125" s="212"/>
    </row>
    <row r="1126" spans="1:14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32" t="s">
        <v>114</v>
      </c>
      <c r="M1126" s="212"/>
      <c r="N1126" s="212"/>
    </row>
    <row r="1127" spans="1:14" ht="12.95">
      <c r="A1127" s="218"/>
      <c r="B1127" s="226"/>
      <c r="C1127" s="226"/>
      <c r="D1127" s="226"/>
      <c r="E1127" s="226"/>
      <c r="F1127" s="226"/>
      <c r="G1127" s="226"/>
      <c r="H1127" s="226"/>
      <c r="I1127" s="226"/>
      <c r="J1127" s="226"/>
      <c r="K1127" s="226"/>
      <c r="L1127" s="212"/>
      <c r="M1127" s="212"/>
      <c r="N1127" s="212"/>
    </row>
    <row r="1128" spans="1:14" ht="12.95">
      <c r="A1128" s="217" t="str">
        <f>name!A69</f>
        <v>Health</v>
      </c>
      <c r="B1128" s="367">
        <f>B$6</f>
        <v>2015</v>
      </c>
      <c r="C1128" s="367"/>
      <c r="D1128" s="367"/>
      <c r="E1128" s="229"/>
      <c r="F1128" s="367">
        <f>F$6</f>
        <v>2020</v>
      </c>
      <c r="G1128" s="367"/>
      <c r="H1128" s="367"/>
      <c r="I1128" s="229"/>
      <c r="J1128" s="367">
        <f>J$6</f>
        <v>2035</v>
      </c>
      <c r="K1128" s="367"/>
      <c r="L1128" s="367"/>
      <c r="M1128" s="212"/>
      <c r="N1128" s="212"/>
    </row>
    <row r="1129" spans="1:14" ht="12.95">
      <c r="A1129" s="230"/>
      <c r="B1129" s="231" t="s">
        <v>173</v>
      </c>
      <c r="C1129" s="231" t="s">
        <v>174</v>
      </c>
      <c r="D1129" s="231" t="s">
        <v>119</v>
      </c>
      <c r="E1129" s="231"/>
      <c r="F1129" s="231" t="s">
        <v>173</v>
      </c>
      <c r="G1129" s="231" t="s">
        <v>174</v>
      </c>
      <c r="H1129" s="231" t="s">
        <v>119</v>
      </c>
      <c r="I1129" s="231"/>
      <c r="J1129" s="231" t="s">
        <v>173</v>
      </c>
      <c r="K1129" s="231" t="s">
        <v>174</v>
      </c>
      <c r="L1129" s="231" t="s">
        <v>119</v>
      </c>
      <c r="M1129" s="212"/>
      <c r="N1129" s="212"/>
    </row>
    <row r="1130" spans="1:14" ht="12.95">
      <c r="A1130" s="234"/>
      <c r="B1130" s="235"/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12"/>
      <c r="N1130" s="212"/>
    </row>
    <row r="1131" spans="1:14">
      <c r="A1131" s="213" t="str">
        <f>name!E$4</f>
        <v>Managers, directors and senior officials</v>
      </c>
      <c r="B1131" s="278">
        <v>52.477586741987778</v>
      </c>
      <c r="C1131" s="278">
        <v>33.260748443192163</v>
      </c>
      <c r="D1131" s="278">
        <f>SUM(B1131:C1131)</f>
        <v>85.738335185179949</v>
      </c>
      <c r="E1131" s="279"/>
      <c r="F1131" s="278">
        <v>69.472929573943347</v>
      </c>
      <c r="G1131" s="278">
        <v>39.333082218854962</v>
      </c>
      <c r="H1131" s="278">
        <f>SUM(F1131:G1131)</f>
        <v>108.8060117927983</v>
      </c>
      <c r="I1131" s="279"/>
      <c r="J1131" s="278">
        <v>78.85476566782458</v>
      </c>
      <c r="K1131" s="278">
        <v>38.90564829003425</v>
      </c>
      <c r="L1131" s="278">
        <f>SUM(J1131:K1131)</f>
        <v>117.76041395785883</v>
      </c>
      <c r="M1131" s="212"/>
      <c r="N1131" s="212"/>
    </row>
    <row r="1132" spans="1:14">
      <c r="A1132" s="213" t="str">
        <f>name!E$5</f>
        <v>Professional occupations</v>
      </c>
      <c r="B1132" s="278">
        <v>441.34659500476562</v>
      </c>
      <c r="C1132" s="278">
        <v>164.9442181070097</v>
      </c>
      <c r="D1132" s="278">
        <f t="shared" ref="D1132:D1139" si="412">SUM(B1132:C1132)</f>
        <v>606.29081311177538</v>
      </c>
      <c r="E1132" s="279"/>
      <c r="F1132" s="278">
        <v>542.55245351039753</v>
      </c>
      <c r="G1132" s="278">
        <v>211.66796508114589</v>
      </c>
      <c r="H1132" s="278">
        <f t="shared" ref="H1132:H1139" si="413">SUM(F1132:G1132)</f>
        <v>754.22041859154342</v>
      </c>
      <c r="I1132" s="279"/>
      <c r="J1132" s="278">
        <v>603.87687288395296</v>
      </c>
      <c r="K1132" s="278">
        <v>222.04748393494171</v>
      </c>
      <c r="L1132" s="278">
        <f t="shared" ref="L1132:L1139" si="414">SUM(J1132:K1132)</f>
        <v>825.92435681889469</v>
      </c>
      <c r="M1132" s="212"/>
      <c r="N1132" s="212"/>
    </row>
    <row r="1133" spans="1:14">
      <c r="A1133" s="213" t="str">
        <f>name!E$6</f>
        <v>Associate professional occupations</v>
      </c>
      <c r="B1133" s="278">
        <v>191.98226617493904</v>
      </c>
      <c r="C1133" s="278">
        <v>69.854703480153105</v>
      </c>
      <c r="D1133" s="278">
        <f t="shared" si="412"/>
        <v>261.83696965509216</v>
      </c>
      <c r="E1133" s="279"/>
      <c r="F1133" s="278">
        <v>234.07107890406309</v>
      </c>
      <c r="G1133" s="278">
        <v>79.77563583746911</v>
      </c>
      <c r="H1133" s="278">
        <f t="shared" si="413"/>
        <v>313.8467147415322</v>
      </c>
      <c r="I1133" s="279"/>
      <c r="J1133" s="278">
        <v>410.84249706299198</v>
      </c>
      <c r="K1133" s="278">
        <v>100.56367651016215</v>
      </c>
      <c r="L1133" s="278">
        <f t="shared" si="414"/>
        <v>511.40617357315415</v>
      </c>
      <c r="M1133" s="212"/>
      <c r="N1133" s="212"/>
    </row>
    <row r="1134" spans="1:14">
      <c r="A1134" s="213" t="str">
        <f>name!E$7</f>
        <v>Administrative and secretarial occupations</v>
      </c>
      <c r="B1134" s="278">
        <v>161.49088239028816</v>
      </c>
      <c r="C1134" s="278">
        <v>24.890146306407573</v>
      </c>
      <c r="D1134" s="278">
        <f t="shared" si="412"/>
        <v>186.38102869669575</v>
      </c>
      <c r="E1134" s="279"/>
      <c r="F1134" s="278">
        <v>160.09648174831941</v>
      </c>
      <c r="G1134" s="278">
        <v>26.064562686070964</v>
      </c>
      <c r="H1134" s="278">
        <f t="shared" si="413"/>
        <v>186.16104443439036</v>
      </c>
      <c r="I1134" s="279"/>
      <c r="J1134" s="278">
        <v>107.29661222736434</v>
      </c>
      <c r="K1134" s="278">
        <v>24.807315363137437</v>
      </c>
      <c r="L1134" s="278">
        <f t="shared" si="414"/>
        <v>132.10392759050177</v>
      </c>
      <c r="M1134" s="212"/>
      <c r="N1134" s="212"/>
    </row>
    <row r="1135" spans="1:14">
      <c r="A1135" s="213" t="str">
        <f>name!E$8</f>
        <v>Skilled trades occupations</v>
      </c>
      <c r="B1135" s="278">
        <v>10.7001018230975</v>
      </c>
      <c r="C1135" s="278">
        <v>14.105272663205675</v>
      </c>
      <c r="D1135" s="278">
        <f t="shared" si="412"/>
        <v>24.805374486303172</v>
      </c>
      <c r="E1135" s="279"/>
      <c r="F1135" s="278">
        <v>9.7775594375956807</v>
      </c>
      <c r="G1135" s="278">
        <v>12.033335563095774</v>
      </c>
      <c r="H1135" s="278">
        <f t="shared" si="413"/>
        <v>21.810895000691453</v>
      </c>
      <c r="I1135" s="279"/>
      <c r="J1135" s="278">
        <v>7.2861139747833636</v>
      </c>
      <c r="K1135" s="278">
        <v>10.022882261444792</v>
      </c>
      <c r="L1135" s="278">
        <f t="shared" si="414"/>
        <v>17.308996236228154</v>
      </c>
      <c r="M1135" s="212"/>
      <c r="N1135" s="212"/>
    </row>
    <row r="1136" spans="1:14">
      <c r="A1136" s="213" t="str">
        <f>name!E$9</f>
        <v>Caring, leisure and other service occupations</v>
      </c>
      <c r="B1136" s="278">
        <v>588.47077564211463</v>
      </c>
      <c r="C1136" s="278">
        <v>107.96336912206762</v>
      </c>
      <c r="D1136" s="278">
        <f t="shared" si="412"/>
        <v>696.43414476418229</v>
      </c>
      <c r="E1136" s="279"/>
      <c r="F1136" s="278">
        <v>626.74382149434496</v>
      </c>
      <c r="G1136" s="278">
        <v>117.10343478471641</v>
      </c>
      <c r="H1136" s="278">
        <f t="shared" si="413"/>
        <v>743.84725627906141</v>
      </c>
      <c r="I1136" s="279"/>
      <c r="J1136" s="278">
        <v>671.5774930160685</v>
      </c>
      <c r="K1136" s="278">
        <v>160.87550361069282</v>
      </c>
      <c r="L1136" s="278">
        <f t="shared" si="414"/>
        <v>832.45299662676132</v>
      </c>
      <c r="M1136" s="212"/>
      <c r="N1136" s="212"/>
    </row>
    <row r="1137" spans="1:14">
      <c r="A1137" s="213" t="str">
        <f>name!E$10</f>
        <v>Sales and customer service occupations</v>
      </c>
      <c r="B1137" s="278">
        <v>21.411930020033612</v>
      </c>
      <c r="C1137" s="278">
        <v>5.664673588766032</v>
      </c>
      <c r="D1137" s="278">
        <f t="shared" si="412"/>
        <v>27.076603608799644</v>
      </c>
      <c r="E1137" s="279"/>
      <c r="F1137" s="278">
        <v>21.508983552873193</v>
      </c>
      <c r="G1137" s="278">
        <v>5.3901002169145951</v>
      </c>
      <c r="H1137" s="278">
        <f t="shared" si="413"/>
        <v>26.899083769787786</v>
      </c>
      <c r="I1137" s="279"/>
      <c r="J1137" s="278">
        <v>23.613537747729467</v>
      </c>
      <c r="K1137" s="278">
        <v>5.4137071525524956</v>
      </c>
      <c r="L1137" s="278">
        <f t="shared" si="414"/>
        <v>29.027244900281964</v>
      </c>
      <c r="M1137" s="212"/>
      <c r="N1137" s="212"/>
    </row>
    <row r="1138" spans="1:14">
      <c r="A1138" s="213" t="str">
        <f>name!E$11</f>
        <v>Process, plant and machine operatives</v>
      </c>
      <c r="B1138" s="278">
        <v>3.7644565250999409</v>
      </c>
      <c r="C1138" s="278">
        <v>7.0234647232859277</v>
      </c>
      <c r="D1138" s="278">
        <f t="shared" si="412"/>
        <v>10.787921248385869</v>
      </c>
      <c r="E1138" s="279"/>
      <c r="F1138" s="278">
        <v>3.2002729360373268</v>
      </c>
      <c r="G1138" s="278">
        <v>6.729973486640497</v>
      </c>
      <c r="H1138" s="278">
        <f t="shared" si="413"/>
        <v>9.9302464226778238</v>
      </c>
      <c r="I1138" s="279"/>
      <c r="J1138" s="278">
        <v>2.2889014317174867</v>
      </c>
      <c r="K1138" s="278">
        <v>4.831552307172287</v>
      </c>
      <c r="L1138" s="278">
        <f t="shared" si="414"/>
        <v>7.1204537388897737</v>
      </c>
      <c r="M1138" s="212"/>
      <c r="N1138" s="212"/>
    </row>
    <row r="1139" spans="1:14">
      <c r="A1139" s="213" t="str">
        <f>name!E$12</f>
        <v>Elementary occupations</v>
      </c>
      <c r="B1139" s="278">
        <v>37.334405653486307</v>
      </c>
      <c r="C1139" s="278">
        <v>19.471403564752812</v>
      </c>
      <c r="D1139" s="278">
        <f t="shared" si="412"/>
        <v>56.805809218239119</v>
      </c>
      <c r="E1139" s="279"/>
      <c r="F1139" s="278">
        <v>31.296418837048019</v>
      </c>
      <c r="G1139" s="278">
        <v>16.205910126919118</v>
      </c>
      <c r="H1139" s="278">
        <f t="shared" si="413"/>
        <v>47.502328963967138</v>
      </c>
      <c r="I1139" s="279"/>
      <c r="J1139" s="278">
        <v>21.16920594323706</v>
      </c>
      <c r="K1139" s="278">
        <v>11.989230574125328</v>
      </c>
      <c r="L1139" s="278">
        <f t="shared" si="414"/>
        <v>33.158436517362389</v>
      </c>
      <c r="M1139" s="212"/>
      <c r="N1139" s="212"/>
    </row>
    <row r="1140" spans="1:14">
      <c r="A1140" s="213"/>
      <c r="B1140" s="278"/>
      <c r="C1140" s="278"/>
      <c r="D1140" s="278"/>
      <c r="E1140" s="279"/>
      <c r="F1140" s="278"/>
      <c r="G1140" s="278"/>
      <c r="H1140" s="278"/>
      <c r="I1140" s="279"/>
      <c r="J1140" s="278"/>
      <c r="K1140" s="278"/>
      <c r="L1140" s="278"/>
      <c r="M1140" s="212"/>
      <c r="N1140" s="212"/>
    </row>
    <row r="1141" spans="1:14">
      <c r="A1141" s="220" t="s">
        <v>119</v>
      </c>
      <c r="B1141" s="282">
        <f>SUM(B1131:B1139)</f>
        <v>1508.9789999758125</v>
      </c>
      <c r="C1141" s="282">
        <f t="shared" ref="C1141:D1141" si="415">SUM(C1131:C1139)</f>
        <v>447.17799999884062</v>
      </c>
      <c r="D1141" s="282">
        <f t="shared" si="415"/>
        <v>1956.1569999746532</v>
      </c>
      <c r="E1141" s="282"/>
      <c r="F1141" s="282">
        <f t="shared" ref="F1141:H1141" si="416">SUM(F1131:F1139)</f>
        <v>1698.7199999946226</v>
      </c>
      <c r="G1141" s="282">
        <f t="shared" si="416"/>
        <v>514.30400000182738</v>
      </c>
      <c r="H1141" s="282">
        <f t="shared" si="416"/>
        <v>2213.0239999964501</v>
      </c>
      <c r="I1141" s="282"/>
      <c r="J1141" s="282">
        <f t="shared" ref="J1141:L1141" si="417">SUM(J1131:J1139)</f>
        <v>1926.8059999556697</v>
      </c>
      <c r="K1141" s="282">
        <f t="shared" si="417"/>
        <v>579.45700000426336</v>
      </c>
      <c r="L1141" s="282">
        <f t="shared" si="417"/>
        <v>2506.2629999599335</v>
      </c>
      <c r="M1141" s="212"/>
      <c r="N1141" s="212"/>
    </row>
    <row r="1142" spans="1:14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6"/>
      <c r="M1142" s="212"/>
      <c r="N1142" s="212"/>
    </row>
    <row r="1143" spans="1:14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32" t="s">
        <v>114</v>
      </c>
      <c r="M1143" s="212"/>
      <c r="N1143" s="212"/>
    </row>
    <row r="1144" spans="1:14" ht="12.95">
      <c r="A1144" s="218"/>
      <c r="B1144" s="226"/>
      <c r="C1144" s="226"/>
      <c r="D1144" s="226"/>
      <c r="E1144" s="226"/>
      <c r="F1144" s="226"/>
      <c r="G1144" s="226"/>
      <c r="H1144" s="226"/>
      <c r="I1144" s="226"/>
      <c r="J1144" s="226"/>
      <c r="K1144" s="226"/>
      <c r="L1144" s="212"/>
      <c r="M1144" s="212"/>
      <c r="N1144" s="212"/>
    </row>
    <row r="1145" spans="1:14" ht="12.95">
      <c r="A1145" s="217" t="str">
        <f>name!A70</f>
        <v>Residential care</v>
      </c>
      <c r="B1145" s="367">
        <f>B$6</f>
        <v>2015</v>
      </c>
      <c r="C1145" s="367"/>
      <c r="D1145" s="367"/>
      <c r="E1145" s="229"/>
      <c r="F1145" s="367">
        <f>F$6</f>
        <v>2020</v>
      </c>
      <c r="G1145" s="367"/>
      <c r="H1145" s="367"/>
      <c r="I1145" s="229"/>
      <c r="J1145" s="367">
        <f>J$6</f>
        <v>2035</v>
      </c>
      <c r="K1145" s="367"/>
      <c r="L1145" s="367"/>
      <c r="M1145" s="212"/>
      <c r="N1145" s="212"/>
    </row>
    <row r="1146" spans="1:14" ht="12.95">
      <c r="A1146" s="230"/>
      <c r="B1146" s="231" t="s">
        <v>173</v>
      </c>
      <c r="C1146" s="231" t="s">
        <v>174</v>
      </c>
      <c r="D1146" s="231" t="s">
        <v>119</v>
      </c>
      <c r="E1146" s="231"/>
      <c r="F1146" s="231" t="s">
        <v>173</v>
      </c>
      <c r="G1146" s="231" t="s">
        <v>174</v>
      </c>
      <c r="H1146" s="231" t="s">
        <v>119</v>
      </c>
      <c r="I1146" s="231"/>
      <c r="J1146" s="231" t="s">
        <v>173</v>
      </c>
      <c r="K1146" s="231" t="s">
        <v>174</v>
      </c>
      <c r="L1146" s="231" t="s">
        <v>119</v>
      </c>
      <c r="M1146" s="212"/>
      <c r="N1146" s="212"/>
    </row>
    <row r="1147" spans="1:14" ht="12.95">
      <c r="A1147" s="234"/>
      <c r="B1147" s="235"/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12"/>
      <c r="N1147" s="212"/>
    </row>
    <row r="1148" spans="1:14">
      <c r="A1148" s="213" t="str">
        <f>name!E$4</f>
        <v>Managers, directors and senior officials</v>
      </c>
      <c r="B1148" s="278">
        <v>18.427750114391053</v>
      </c>
      <c r="C1148" s="278">
        <v>9.9725959077469923</v>
      </c>
      <c r="D1148" s="278">
        <f>SUM(B1148:C1148)</f>
        <v>28.400346022138045</v>
      </c>
      <c r="E1148" s="279"/>
      <c r="F1148" s="278">
        <v>21.223177271429872</v>
      </c>
      <c r="G1148" s="278">
        <v>8.7026306323551932</v>
      </c>
      <c r="H1148" s="278">
        <f>SUM(F1148:G1148)</f>
        <v>29.925807903785064</v>
      </c>
      <c r="I1148" s="279"/>
      <c r="J1148" s="278">
        <v>24.78743916957157</v>
      </c>
      <c r="K1148" s="278">
        <v>8.478884940666882</v>
      </c>
      <c r="L1148" s="278">
        <f>SUM(J1148:K1148)</f>
        <v>33.26632411023845</v>
      </c>
      <c r="M1148" s="212"/>
      <c r="N1148" s="212"/>
    </row>
    <row r="1149" spans="1:14">
      <c r="A1149" s="213" t="str">
        <f>name!E$5</f>
        <v>Professional occupations</v>
      </c>
      <c r="B1149" s="278">
        <v>151.15013780460484</v>
      </c>
      <c r="C1149" s="278">
        <v>46.891874079718129</v>
      </c>
      <c r="D1149" s="278">
        <f t="shared" ref="D1149:D1156" si="418">SUM(B1149:C1149)</f>
        <v>198.04201188432296</v>
      </c>
      <c r="E1149" s="279"/>
      <c r="F1149" s="278">
        <v>160.93255977330338</v>
      </c>
      <c r="G1149" s="278">
        <v>47.627764176338374</v>
      </c>
      <c r="H1149" s="278">
        <f t="shared" ref="H1149:H1156" si="419">SUM(F1149:G1149)</f>
        <v>208.56032394964177</v>
      </c>
      <c r="I1149" s="279"/>
      <c r="J1149" s="278">
        <v>184.42084223411865</v>
      </c>
      <c r="K1149" s="278">
        <v>52.383768677569947</v>
      </c>
      <c r="L1149" s="278">
        <f t="shared" ref="L1149:L1156" si="420">SUM(J1149:K1149)</f>
        <v>236.8046109116886</v>
      </c>
      <c r="M1149" s="212"/>
      <c r="N1149" s="212"/>
    </row>
    <row r="1150" spans="1:14">
      <c r="A1150" s="213" t="str">
        <f>name!E$6</f>
        <v>Associate professional occupations</v>
      </c>
      <c r="B1150" s="278">
        <v>67.239410377545397</v>
      </c>
      <c r="C1150" s="278">
        <v>21.849807150148639</v>
      </c>
      <c r="D1150" s="278">
        <f t="shared" si="418"/>
        <v>89.089217527694032</v>
      </c>
      <c r="E1150" s="279"/>
      <c r="F1150" s="278">
        <v>69.836408189601727</v>
      </c>
      <c r="G1150" s="278">
        <v>19.870055343954665</v>
      </c>
      <c r="H1150" s="278">
        <f t="shared" si="419"/>
        <v>89.706463533556388</v>
      </c>
      <c r="I1150" s="279"/>
      <c r="J1150" s="278">
        <v>125.48079803076612</v>
      </c>
      <c r="K1150" s="278">
        <v>25.544865871557118</v>
      </c>
      <c r="L1150" s="278">
        <f t="shared" si="420"/>
        <v>151.02566390232323</v>
      </c>
      <c r="M1150" s="212"/>
      <c r="N1150" s="212"/>
    </row>
    <row r="1151" spans="1:14">
      <c r="A1151" s="213" t="str">
        <f>name!E$7</f>
        <v>Administrative and secretarial occupations</v>
      </c>
      <c r="B1151" s="278">
        <v>57.398993246285769</v>
      </c>
      <c r="C1151" s="278">
        <v>9.5402300569307759</v>
      </c>
      <c r="D1151" s="278">
        <f t="shared" si="418"/>
        <v>66.939223303216551</v>
      </c>
      <c r="E1151" s="279"/>
      <c r="F1151" s="278">
        <v>48.217516192089505</v>
      </c>
      <c r="G1151" s="278">
        <v>7.6090254747817578</v>
      </c>
      <c r="H1151" s="278">
        <f t="shared" si="419"/>
        <v>55.826541666871265</v>
      </c>
      <c r="I1151" s="279"/>
      <c r="J1151" s="278">
        <v>33.026914995509259</v>
      </c>
      <c r="K1151" s="278">
        <v>7.2032096377823862</v>
      </c>
      <c r="L1151" s="278">
        <f t="shared" si="420"/>
        <v>40.230124633291645</v>
      </c>
      <c r="M1151" s="212"/>
      <c r="N1151" s="212"/>
    </row>
    <row r="1152" spans="1:14">
      <c r="A1152" s="213" t="str">
        <f>name!E$8</f>
        <v>Skilled trades occupations</v>
      </c>
      <c r="B1152" s="278">
        <v>3.839556941069548</v>
      </c>
      <c r="C1152" s="278">
        <v>4.5654902462092029</v>
      </c>
      <c r="D1152" s="278">
        <f t="shared" si="418"/>
        <v>8.4050471872787504</v>
      </c>
      <c r="E1152" s="279"/>
      <c r="F1152" s="278">
        <v>2.9505757415103226</v>
      </c>
      <c r="G1152" s="278">
        <v>2.7476742557557827</v>
      </c>
      <c r="H1152" s="278">
        <f t="shared" si="419"/>
        <v>5.6982499972661049</v>
      </c>
      <c r="I1152" s="279"/>
      <c r="J1152" s="278">
        <v>2.1457800564452745</v>
      </c>
      <c r="K1152" s="278">
        <v>2.3145358690306486</v>
      </c>
      <c r="L1152" s="278">
        <f t="shared" si="420"/>
        <v>4.460315925475923</v>
      </c>
      <c r="M1152" s="212"/>
      <c r="N1152" s="212"/>
    </row>
    <row r="1153" spans="1:14">
      <c r="A1153" s="213" t="str">
        <f>name!E$9</f>
        <v>Caring, leisure and other service occupations</v>
      </c>
      <c r="B1153" s="278">
        <v>208.57587873009552</v>
      </c>
      <c r="C1153" s="278">
        <v>37.073719540810856</v>
      </c>
      <c r="D1153" s="278">
        <f t="shared" si="418"/>
        <v>245.64959827090638</v>
      </c>
      <c r="E1153" s="279"/>
      <c r="F1153" s="278">
        <v>189.4104754154354</v>
      </c>
      <c r="G1153" s="278">
        <v>31.727283944721314</v>
      </c>
      <c r="H1153" s="278">
        <f t="shared" si="419"/>
        <v>221.13775936015671</v>
      </c>
      <c r="I1153" s="279"/>
      <c r="J1153" s="278">
        <v>207.16162316904146</v>
      </c>
      <c r="K1153" s="278">
        <v>43.02922150668055</v>
      </c>
      <c r="L1153" s="278">
        <f t="shared" si="420"/>
        <v>250.19084467572202</v>
      </c>
      <c r="M1153" s="212"/>
      <c r="N1153" s="212"/>
    </row>
    <row r="1154" spans="1:14">
      <c r="A1154" s="213" t="str">
        <f>name!E$10</f>
        <v>Sales and customer service occupations</v>
      </c>
      <c r="B1154" s="278">
        <v>7.5596459324812226</v>
      </c>
      <c r="C1154" s="278">
        <v>2.0632277671717301</v>
      </c>
      <c r="D1154" s="278">
        <f t="shared" si="418"/>
        <v>9.6228736996529527</v>
      </c>
      <c r="E1154" s="279"/>
      <c r="F1154" s="278">
        <v>6.3871332395894438</v>
      </c>
      <c r="G1154" s="278">
        <v>1.4252938878941626</v>
      </c>
      <c r="H1154" s="278">
        <f t="shared" si="419"/>
        <v>7.8124271274836063</v>
      </c>
      <c r="I1154" s="279"/>
      <c r="J1154" s="278">
        <v>7.0582148800125779</v>
      </c>
      <c r="K1154" s="278">
        <v>1.4561096518351568</v>
      </c>
      <c r="L1154" s="278">
        <f t="shared" si="420"/>
        <v>8.5143245318477341</v>
      </c>
      <c r="M1154" s="212"/>
      <c r="N1154" s="212"/>
    </row>
    <row r="1155" spans="1:14">
      <c r="A1155" s="213" t="str">
        <f>name!E$11</f>
        <v>Process, plant and machine operatives</v>
      </c>
      <c r="B1155" s="278">
        <v>1.3328069672542973</v>
      </c>
      <c r="C1155" s="278">
        <v>3.1533311306251628</v>
      </c>
      <c r="D1155" s="278">
        <f t="shared" si="418"/>
        <v>4.4861380978794596</v>
      </c>
      <c r="E1155" s="279"/>
      <c r="F1155" s="278">
        <v>0.95537265679790262</v>
      </c>
      <c r="G1155" s="278">
        <v>2.1839818439332039</v>
      </c>
      <c r="H1155" s="278">
        <f t="shared" si="419"/>
        <v>3.1393545007311063</v>
      </c>
      <c r="I1155" s="279"/>
      <c r="J1155" s="278">
        <v>0.65808605318556479</v>
      </c>
      <c r="K1155" s="278">
        <v>1.4716150178866514</v>
      </c>
      <c r="L1155" s="278">
        <f t="shared" si="420"/>
        <v>2.1297010710722164</v>
      </c>
      <c r="M1155" s="212"/>
      <c r="N1155" s="212"/>
    </row>
    <row r="1156" spans="1:14">
      <c r="A1156" s="213" t="str">
        <f>name!E$12</f>
        <v>Elementary occupations</v>
      </c>
      <c r="B1156" s="278">
        <v>13.313819876983839</v>
      </c>
      <c r="C1156" s="278">
        <v>8.5847241199283459</v>
      </c>
      <c r="D1156" s="278">
        <f t="shared" si="418"/>
        <v>21.898543996912185</v>
      </c>
      <c r="E1156" s="279"/>
      <c r="F1156" s="278">
        <v>9.1687815195934128</v>
      </c>
      <c r="G1156" s="278">
        <v>5.0582904400607003</v>
      </c>
      <c r="H1156" s="278">
        <f t="shared" si="419"/>
        <v>14.227071959654113</v>
      </c>
      <c r="I1156" s="279"/>
      <c r="J1156" s="278">
        <v>6.0733013992852509</v>
      </c>
      <c r="K1156" s="278">
        <v>3.5597888269360864</v>
      </c>
      <c r="L1156" s="278">
        <f t="shared" si="420"/>
        <v>9.6330902262213378</v>
      </c>
      <c r="M1156" s="212"/>
      <c r="N1156" s="212"/>
    </row>
    <row r="1157" spans="1:14">
      <c r="A1157" s="213"/>
      <c r="B1157" s="278"/>
      <c r="C1157" s="278"/>
      <c r="D1157" s="278"/>
      <c r="E1157" s="279"/>
      <c r="F1157" s="278"/>
      <c r="G1157" s="278"/>
      <c r="H1157" s="278"/>
      <c r="I1157" s="279"/>
      <c r="J1157" s="278"/>
      <c r="K1157" s="278"/>
      <c r="L1157" s="278"/>
      <c r="M1157" s="212"/>
      <c r="N1157" s="212"/>
    </row>
    <row r="1158" spans="1:14">
      <c r="A1158" s="220" t="s">
        <v>119</v>
      </c>
      <c r="B1158" s="282">
        <f>SUM(B1148:B1156)</f>
        <v>528.83799999071152</v>
      </c>
      <c r="C1158" s="282">
        <f t="shared" ref="C1158:D1158" si="421">SUM(C1148:C1156)</f>
        <v>143.69499999928985</v>
      </c>
      <c r="D1158" s="282">
        <f t="shared" si="421"/>
        <v>672.53299999000126</v>
      </c>
      <c r="E1158" s="282"/>
      <c r="F1158" s="282">
        <f t="shared" ref="F1158:H1158" si="422">SUM(F1148:F1156)</f>
        <v>509.08199999935101</v>
      </c>
      <c r="G1158" s="282">
        <f t="shared" si="422"/>
        <v>126.95199999979516</v>
      </c>
      <c r="H1158" s="282">
        <f t="shared" si="422"/>
        <v>636.03399999914609</v>
      </c>
      <c r="I1158" s="282"/>
      <c r="J1158" s="282">
        <f t="shared" ref="J1158:L1158" si="423">SUM(J1148:J1156)</f>
        <v>590.81299998793565</v>
      </c>
      <c r="K1158" s="282">
        <f t="shared" si="423"/>
        <v>145.44199999994541</v>
      </c>
      <c r="L1158" s="282">
        <f t="shared" si="423"/>
        <v>736.25499998788121</v>
      </c>
      <c r="M1158" s="212"/>
      <c r="N1158" s="212"/>
    </row>
    <row r="1159" spans="1:14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6"/>
      <c r="M1159" s="212"/>
      <c r="N1159" s="212"/>
    </row>
    <row r="1160" spans="1:14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32" t="s">
        <v>114</v>
      </c>
      <c r="M1160" s="212"/>
      <c r="N1160" s="212"/>
    </row>
    <row r="1161" spans="1:14" ht="12.95">
      <c r="A1161" s="218"/>
      <c r="B1161" s="226"/>
      <c r="C1161" s="226"/>
      <c r="D1161" s="226"/>
      <c r="E1161" s="226"/>
      <c r="F1161" s="226"/>
      <c r="G1161" s="226"/>
      <c r="H1161" s="226"/>
      <c r="I1161" s="226"/>
      <c r="J1161" s="226"/>
      <c r="K1161" s="226"/>
      <c r="L1161" s="212"/>
      <c r="M1161" s="212"/>
      <c r="N1161" s="212"/>
    </row>
    <row r="1162" spans="1:14" ht="12.95">
      <c r="A1162" s="217" t="str">
        <f>name!A71</f>
        <v>Social work</v>
      </c>
      <c r="B1162" s="367">
        <f>B$6</f>
        <v>2015</v>
      </c>
      <c r="C1162" s="367"/>
      <c r="D1162" s="367"/>
      <c r="E1162" s="229"/>
      <c r="F1162" s="367">
        <f>F$6</f>
        <v>2020</v>
      </c>
      <c r="G1162" s="367"/>
      <c r="H1162" s="367"/>
      <c r="I1162" s="229"/>
      <c r="J1162" s="367">
        <f>J$6</f>
        <v>2035</v>
      </c>
      <c r="K1162" s="367"/>
      <c r="L1162" s="367"/>
      <c r="M1162" s="212"/>
      <c r="N1162" s="212"/>
    </row>
    <row r="1163" spans="1:14" ht="12.95">
      <c r="A1163" s="230"/>
      <c r="B1163" s="231" t="s">
        <v>173</v>
      </c>
      <c r="C1163" s="231" t="s">
        <v>174</v>
      </c>
      <c r="D1163" s="231" t="s">
        <v>119</v>
      </c>
      <c r="E1163" s="231"/>
      <c r="F1163" s="231" t="s">
        <v>173</v>
      </c>
      <c r="G1163" s="231" t="s">
        <v>174</v>
      </c>
      <c r="H1163" s="231" t="s">
        <v>119</v>
      </c>
      <c r="I1163" s="231"/>
      <c r="J1163" s="231" t="s">
        <v>173</v>
      </c>
      <c r="K1163" s="231" t="s">
        <v>174</v>
      </c>
      <c r="L1163" s="231" t="s">
        <v>119</v>
      </c>
      <c r="M1163" s="212"/>
      <c r="N1163" s="212"/>
    </row>
    <row r="1164" spans="1:14" ht="12.95">
      <c r="A1164" s="234"/>
      <c r="B1164" s="235"/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12"/>
      <c r="N1164" s="212"/>
    </row>
    <row r="1165" spans="1:14">
      <c r="A1165" s="213" t="str">
        <f>name!E$4</f>
        <v>Managers, directors and senior officials</v>
      </c>
      <c r="B1165" s="278">
        <v>22.410368566681601</v>
      </c>
      <c r="C1165" s="278">
        <v>11.922730164437908</v>
      </c>
      <c r="D1165" s="278">
        <f>SUM(B1165:C1165)</f>
        <v>34.333098731119506</v>
      </c>
      <c r="E1165" s="279"/>
      <c r="F1165" s="278">
        <v>25.635537543357806</v>
      </c>
      <c r="G1165" s="278">
        <v>10.387699246974325</v>
      </c>
      <c r="H1165" s="278">
        <f>SUM(F1165:G1165)</f>
        <v>36.023236790332135</v>
      </c>
      <c r="I1165" s="279"/>
      <c r="J1165" s="278">
        <v>29.616177796471113</v>
      </c>
      <c r="K1165" s="278">
        <v>9.9514941455913863</v>
      </c>
      <c r="L1165" s="278">
        <f>SUM(J1165:K1165)</f>
        <v>39.567671942062503</v>
      </c>
      <c r="M1165" s="212"/>
      <c r="N1165" s="212"/>
    </row>
    <row r="1166" spans="1:14">
      <c r="A1166" s="213" t="str">
        <f>name!E$5</f>
        <v>Professional occupations</v>
      </c>
      <c r="B1166" s="278">
        <v>192.46873504286441</v>
      </c>
      <c r="C1166" s="278">
        <v>57.953990451709366</v>
      </c>
      <c r="D1166" s="278">
        <f t="shared" ref="D1166:D1173" si="424">SUM(B1166:C1166)</f>
        <v>250.42272549457377</v>
      </c>
      <c r="E1166" s="279"/>
      <c r="F1166" s="278">
        <v>203.46787465715423</v>
      </c>
      <c r="G1166" s="278">
        <v>58.586912909926575</v>
      </c>
      <c r="H1166" s="278">
        <f t="shared" ref="H1166:H1173" si="425">SUM(F1166:G1166)</f>
        <v>262.05478756708078</v>
      </c>
      <c r="I1166" s="279"/>
      <c r="J1166" s="278">
        <v>225.51972161896239</v>
      </c>
      <c r="K1166" s="278">
        <v>63.332718137739526</v>
      </c>
      <c r="L1166" s="278">
        <f t="shared" ref="L1166:L1173" si="426">SUM(J1166:K1166)</f>
        <v>288.85243975670193</v>
      </c>
      <c r="M1166" s="212"/>
      <c r="N1166" s="212"/>
    </row>
    <row r="1167" spans="1:14">
      <c r="A1167" s="213" t="str">
        <f>name!E$6</f>
        <v>Associate professional occupations</v>
      </c>
      <c r="B1167" s="278">
        <v>85.414586495332301</v>
      </c>
      <c r="C1167" s="278">
        <v>26.838702721078608</v>
      </c>
      <c r="D1167" s="278">
        <f t="shared" si="424"/>
        <v>112.25328921641091</v>
      </c>
      <c r="E1167" s="279"/>
      <c r="F1167" s="278">
        <v>88.708428347394971</v>
      </c>
      <c r="G1167" s="278">
        <v>24.591180511019068</v>
      </c>
      <c r="H1167" s="278">
        <f t="shared" si="425"/>
        <v>113.29960885841405</v>
      </c>
      <c r="I1167" s="279"/>
      <c r="J1167" s="278">
        <v>153.26172057242127</v>
      </c>
      <c r="K1167" s="278">
        <v>31.310582122463405</v>
      </c>
      <c r="L1167" s="278">
        <f t="shared" si="426"/>
        <v>184.57230269488468</v>
      </c>
      <c r="M1167" s="212"/>
      <c r="N1167" s="212"/>
    </row>
    <row r="1168" spans="1:14">
      <c r="A1168" s="213" t="str">
        <f>name!E$7</f>
        <v>Administrative and secretarial occupations</v>
      </c>
      <c r="B1168" s="278">
        <v>72.341731512940612</v>
      </c>
      <c r="C1168" s="278">
        <v>11.449524352133222</v>
      </c>
      <c r="D1168" s="278">
        <f t="shared" si="424"/>
        <v>83.791255865073836</v>
      </c>
      <c r="E1168" s="279"/>
      <c r="F1168" s="278">
        <v>61.420132746153669</v>
      </c>
      <c r="G1168" s="278">
        <v>9.1901011795523981</v>
      </c>
      <c r="H1168" s="278">
        <f t="shared" si="425"/>
        <v>70.610233925706069</v>
      </c>
      <c r="I1168" s="279"/>
      <c r="J1168" s="278">
        <v>40.360076261697735</v>
      </c>
      <c r="K1168" s="278">
        <v>8.6805250917278389</v>
      </c>
      <c r="L1168" s="278">
        <f t="shared" si="426"/>
        <v>49.040601353425572</v>
      </c>
      <c r="M1168" s="212"/>
      <c r="N1168" s="212"/>
    </row>
    <row r="1169" spans="1:14">
      <c r="A1169" s="213" t="str">
        <f>name!E$8</f>
        <v>Skilled trades occupations</v>
      </c>
      <c r="B1169" s="278">
        <v>4.9087590005812674</v>
      </c>
      <c r="C1169" s="278">
        <v>5.2867202378641993</v>
      </c>
      <c r="D1169" s="278">
        <f t="shared" si="424"/>
        <v>10.195479238445467</v>
      </c>
      <c r="E1169" s="279"/>
      <c r="F1169" s="278">
        <v>3.8006583614651426</v>
      </c>
      <c r="G1169" s="278">
        <v>3.1244591226560861</v>
      </c>
      <c r="H1169" s="278">
        <f t="shared" si="425"/>
        <v>6.9251174841212286</v>
      </c>
      <c r="I1169" s="279"/>
      <c r="J1169" s="278">
        <v>2.7502363560626546</v>
      </c>
      <c r="K1169" s="278">
        <v>2.5828730215591151</v>
      </c>
      <c r="L1169" s="278">
        <f t="shared" si="426"/>
        <v>5.3331093776217697</v>
      </c>
      <c r="M1169" s="212"/>
      <c r="N1169" s="212"/>
    </row>
    <row r="1170" spans="1:14">
      <c r="A1170" s="213" t="str">
        <f>name!E$9</f>
        <v>Caring, leisure and other service occupations</v>
      </c>
      <c r="B1170" s="278">
        <v>261.62497139428535</v>
      </c>
      <c r="C1170" s="278">
        <v>45.024883436505327</v>
      </c>
      <c r="D1170" s="278">
        <f t="shared" si="424"/>
        <v>306.64985483079067</v>
      </c>
      <c r="E1170" s="279"/>
      <c r="F1170" s="278">
        <v>238.6131173471685</v>
      </c>
      <c r="G1170" s="278">
        <v>39.037380491693746</v>
      </c>
      <c r="H1170" s="278">
        <f t="shared" si="425"/>
        <v>277.65049783886224</v>
      </c>
      <c r="I1170" s="279"/>
      <c r="J1170" s="278">
        <v>253.1103061731894</v>
      </c>
      <c r="K1170" s="278">
        <v>51.993078233569626</v>
      </c>
      <c r="L1170" s="278">
        <f t="shared" si="426"/>
        <v>305.10338440675901</v>
      </c>
      <c r="M1170" s="212"/>
      <c r="N1170" s="212"/>
    </row>
    <row r="1171" spans="1:14">
      <c r="A1171" s="213" t="str">
        <f>name!E$10</f>
        <v>Sales and customer service occupations</v>
      </c>
      <c r="B1171" s="278">
        <v>9.5946956855272472</v>
      </c>
      <c r="C1171" s="278">
        <v>2.4387404375995785</v>
      </c>
      <c r="D1171" s="278">
        <f t="shared" si="424"/>
        <v>12.033436123126826</v>
      </c>
      <c r="E1171" s="279"/>
      <c r="F1171" s="278">
        <v>8.1623412215128557</v>
      </c>
      <c r="G1171" s="278">
        <v>1.7317167039762549</v>
      </c>
      <c r="H1171" s="278">
        <f t="shared" si="425"/>
        <v>9.8940579254891112</v>
      </c>
      <c r="I1171" s="279"/>
      <c r="J1171" s="278">
        <v>8.7788276417300555</v>
      </c>
      <c r="K1171" s="278">
        <v>1.7622794745739738</v>
      </c>
      <c r="L1171" s="278">
        <f t="shared" si="426"/>
        <v>10.54110711630403</v>
      </c>
      <c r="M1171" s="212"/>
      <c r="N1171" s="212"/>
    </row>
    <row r="1172" spans="1:14">
      <c r="A1172" s="213" t="str">
        <f>name!E$11</f>
        <v>Process, plant and machine operatives</v>
      </c>
      <c r="B1172" s="278">
        <v>1.6665736573372156</v>
      </c>
      <c r="C1172" s="278">
        <v>3.7222802401308384</v>
      </c>
      <c r="D1172" s="278">
        <f t="shared" si="424"/>
        <v>5.3888538974680538</v>
      </c>
      <c r="E1172" s="279"/>
      <c r="F1172" s="278">
        <v>1.2038648328960115</v>
      </c>
      <c r="G1172" s="278">
        <v>2.7831005759815333</v>
      </c>
      <c r="H1172" s="278">
        <f t="shared" si="425"/>
        <v>3.9869654088775448</v>
      </c>
      <c r="I1172" s="279"/>
      <c r="J1172" s="278">
        <v>0.85170749286848402</v>
      </c>
      <c r="K1172" s="278">
        <v>1.8217290294177493</v>
      </c>
      <c r="L1172" s="278">
        <f t="shared" si="426"/>
        <v>2.6734365222862335</v>
      </c>
      <c r="M1172" s="212"/>
      <c r="N1172" s="212"/>
    </row>
    <row r="1173" spans="1:14">
      <c r="A1173" s="213" t="str">
        <f>name!E$12</f>
        <v>Elementary occupations</v>
      </c>
      <c r="B1173" s="278">
        <v>17.532578632467168</v>
      </c>
      <c r="C1173" s="278">
        <v>9.9694279576031057</v>
      </c>
      <c r="D1173" s="278">
        <f t="shared" si="424"/>
        <v>27.502006590070273</v>
      </c>
      <c r="E1173" s="279"/>
      <c r="F1173" s="278">
        <v>12.393044941423328</v>
      </c>
      <c r="G1173" s="278">
        <v>6.1464492584758261</v>
      </c>
      <c r="H1173" s="278">
        <f t="shared" si="425"/>
        <v>18.539494199899153</v>
      </c>
      <c r="I1173" s="279"/>
      <c r="J1173" s="278">
        <v>7.5742260701905106</v>
      </c>
      <c r="K1173" s="278">
        <v>4.2577207438849021</v>
      </c>
      <c r="L1173" s="278">
        <f t="shared" si="426"/>
        <v>11.831946814075412</v>
      </c>
      <c r="M1173" s="212"/>
      <c r="N1173" s="212"/>
    </row>
    <row r="1174" spans="1:14">
      <c r="A1174" s="213"/>
      <c r="B1174" s="278"/>
      <c r="C1174" s="278"/>
      <c r="D1174" s="278"/>
      <c r="E1174" s="279"/>
      <c r="F1174" s="278"/>
      <c r="G1174" s="278"/>
      <c r="H1174" s="278"/>
      <c r="I1174" s="279"/>
      <c r="J1174" s="278"/>
      <c r="K1174" s="278"/>
      <c r="L1174" s="278"/>
      <c r="M1174" s="212"/>
      <c r="N1174" s="212"/>
    </row>
    <row r="1175" spans="1:14">
      <c r="A1175" s="220" t="s">
        <v>119</v>
      </c>
      <c r="B1175" s="282">
        <f>SUM(B1165:B1173)</f>
        <v>667.96299998801726</v>
      </c>
      <c r="C1175" s="282">
        <f t="shared" ref="C1175:D1175" si="427">SUM(C1165:C1173)</f>
        <v>174.60699999906217</v>
      </c>
      <c r="D1175" s="282">
        <f t="shared" si="427"/>
        <v>842.56999998707931</v>
      </c>
      <c r="E1175" s="282"/>
      <c r="F1175" s="282">
        <f t="shared" ref="F1175:H1175" si="428">SUM(F1165:F1173)</f>
        <v>643.40499999852648</v>
      </c>
      <c r="G1175" s="282">
        <f t="shared" si="428"/>
        <v>155.5790000002558</v>
      </c>
      <c r="H1175" s="282">
        <f t="shared" si="428"/>
        <v>798.98399999878234</v>
      </c>
      <c r="I1175" s="282"/>
      <c r="J1175" s="282">
        <f t="shared" ref="J1175:L1175" si="429">SUM(J1165:J1173)</f>
        <v>721.8229999835936</v>
      </c>
      <c r="K1175" s="282">
        <f t="shared" si="429"/>
        <v>175.69300000052752</v>
      </c>
      <c r="L1175" s="282">
        <f t="shared" si="429"/>
        <v>897.51599998412121</v>
      </c>
      <c r="M1175" s="212"/>
      <c r="N1175" s="212"/>
    </row>
    <row r="1176" spans="1:14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6"/>
      <c r="M1176" s="212"/>
      <c r="N1176" s="212"/>
    </row>
    <row r="1177" spans="1:14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32" t="s">
        <v>114</v>
      </c>
      <c r="M1177" s="212"/>
      <c r="N1177" s="212"/>
    </row>
    <row r="1178" spans="1:14" ht="12.95">
      <c r="A1178" s="218"/>
      <c r="B1178" s="226"/>
      <c r="C1178" s="226"/>
      <c r="D1178" s="226"/>
      <c r="E1178" s="226"/>
      <c r="F1178" s="226"/>
      <c r="G1178" s="226"/>
      <c r="H1178" s="226"/>
      <c r="I1178" s="226"/>
      <c r="J1178" s="226"/>
      <c r="K1178" s="226"/>
      <c r="L1178" s="212"/>
      <c r="M1178" s="212"/>
      <c r="N1178" s="212"/>
    </row>
    <row r="1179" spans="1:14" ht="12.95">
      <c r="A1179" s="217" t="str">
        <f>name!A72</f>
        <v>Arts and entertainment</v>
      </c>
      <c r="B1179" s="367">
        <f>B$6</f>
        <v>2015</v>
      </c>
      <c r="C1179" s="367"/>
      <c r="D1179" s="367"/>
      <c r="E1179" s="229"/>
      <c r="F1179" s="367">
        <f>F$6</f>
        <v>2020</v>
      </c>
      <c r="G1179" s="367"/>
      <c r="H1179" s="367"/>
      <c r="I1179" s="229"/>
      <c r="J1179" s="367">
        <f>J$6</f>
        <v>2035</v>
      </c>
      <c r="K1179" s="367"/>
      <c r="L1179" s="367"/>
      <c r="M1179" s="212"/>
      <c r="N1179" s="212"/>
    </row>
    <row r="1180" spans="1:14" ht="12.95">
      <c r="A1180" s="230"/>
      <c r="B1180" s="231" t="s">
        <v>173</v>
      </c>
      <c r="C1180" s="231" t="s">
        <v>174</v>
      </c>
      <c r="D1180" s="231" t="s">
        <v>119</v>
      </c>
      <c r="E1180" s="231"/>
      <c r="F1180" s="231" t="s">
        <v>173</v>
      </c>
      <c r="G1180" s="231" t="s">
        <v>174</v>
      </c>
      <c r="H1180" s="231" t="s">
        <v>119</v>
      </c>
      <c r="I1180" s="231"/>
      <c r="J1180" s="231" t="s">
        <v>173</v>
      </c>
      <c r="K1180" s="231" t="s">
        <v>174</v>
      </c>
      <c r="L1180" s="231" t="s">
        <v>119</v>
      </c>
      <c r="M1180" s="212"/>
      <c r="N1180" s="212"/>
    </row>
    <row r="1181" spans="1:14" ht="12.95">
      <c r="A1181" s="234"/>
      <c r="B1181" s="235"/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12"/>
      <c r="N1181" s="212"/>
    </row>
    <row r="1182" spans="1:14">
      <c r="A1182" s="213" t="str">
        <f>name!E$4</f>
        <v>Managers, directors and senior officials</v>
      </c>
      <c r="B1182" s="278">
        <v>6.0626148875098913</v>
      </c>
      <c r="C1182" s="278">
        <v>7.8076185234490074</v>
      </c>
      <c r="D1182" s="278">
        <f>SUM(B1182:C1182)</f>
        <v>13.8702334109589</v>
      </c>
      <c r="E1182" s="279"/>
      <c r="F1182" s="278">
        <v>10.827333866255049</v>
      </c>
      <c r="G1182" s="278">
        <v>7.2538735784001309</v>
      </c>
      <c r="H1182" s="278">
        <f>SUM(F1182:G1182)</f>
        <v>18.081207444655181</v>
      </c>
      <c r="I1182" s="279"/>
      <c r="J1182" s="278">
        <v>12.252296875379512</v>
      </c>
      <c r="K1182" s="278">
        <v>6.9324880981707775</v>
      </c>
      <c r="L1182" s="278">
        <f>SUM(J1182:K1182)</f>
        <v>19.18478497355029</v>
      </c>
      <c r="M1182" s="212"/>
      <c r="N1182" s="212"/>
    </row>
    <row r="1183" spans="1:14">
      <c r="A1183" s="213" t="str">
        <f>name!E$5</f>
        <v>Professional occupations</v>
      </c>
      <c r="B1183" s="278">
        <v>11.699366783530534</v>
      </c>
      <c r="C1183" s="278">
        <v>16.64492892355111</v>
      </c>
      <c r="D1183" s="278">
        <f t="shared" ref="D1183:D1190" si="430">SUM(B1183:C1183)</f>
        <v>28.344295707081642</v>
      </c>
      <c r="E1183" s="279"/>
      <c r="F1183" s="278">
        <v>19.615808060295901</v>
      </c>
      <c r="G1183" s="278">
        <v>16.172044140322882</v>
      </c>
      <c r="H1183" s="278">
        <f t="shared" ref="H1183:H1190" si="431">SUM(F1183:G1183)</f>
        <v>35.787852200618786</v>
      </c>
      <c r="I1183" s="279"/>
      <c r="J1183" s="278">
        <v>22.218443724932762</v>
      </c>
      <c r="K1183" s="278">
        <v>17.276330426995354</v>
      </c>
      <c r="L1183" s="278">
        <f t="shared" ref="L1183:L1190" si="432">SUM(J1183:K1183)</f>
        <v>39.494774151928112</v>
      </c>
      <c r="M1183" s="212"/>
      <c r="N1183" s="212"/>
    </row>
    <row r="1184" spans="1:14">
      <c r="A1184" s="213" t="str">
        <f>name!E$6</f>
        <v>Associate professional occupations</v>
      </c>
      <c r="B1184" s="278">
        <v>22.578406730424959</v>
      </c>
      <c r="C1184" s="278">
        <v>39.070532124981668</v>
      </c>
      <c r="D1184" s="278">
        <f t="shared" si="430"/>
        <v>61.648938855406627</v>
      </c>
      <c r="E1184" s="279"/>
      <c r="F1184" s="278">
        <v>40.159907307515454</v>
      </c>
      <c r="G1184" s="278">
        <v>36.514408078556876</v>
      </c>
      <c r="H1184" s="278">
        <f t="shared" si="431"/>
        <v>76.674315386072323</v>
      </c>
      <c r="I1184" s="279"/>
      <c r="J1184" s="278">
        <v>42.73457989202074</v>
      </c>
      <c r="K1184" s="278">
        <v>31.999834001510422</v>
      </c>
      <c r="L1184" s="278">
        <f t="shared" si="432"/>
        <v>74.734413893531155</v>
      </c>
      <c r="M1184" s="212"/>
      <c r="N1184" s="212"/>
    </row>
    <row r="1185" spans="1:14">
      <c r="A1185" s="213" t="str">
        <f>name!E$7</f>
        <v>Administrative and secretarial occupations</v>
      </c>
      <c r="B1185" s="278">
        <v>9.8337983277105092</v>
      </c>
      <c r="C1185" s="278">
        <v>2.5674928412614086</v>
      </c>
      <c r="D1185" s="278">
        <f t="shared" si="430"/>
        <v>12.401291168971918</v>
      </c>
      <c r="E1185" s="279"/>
      <c r="F1185" s="278">
        <v>11.415421485121039</v>
      </c>
      <c r="G1185" s="278">
        <v>3.4122971345653603</v>
      </c>
      <c r="H1185" s="278">
        <f t="shared" si="431"/>
        <v>14.827718619686399</v>
      </c>
      <c r="I1185" s="279"/>
      <c r="J1185" s="278">
        <v>9.8022643889282648</v>
      </c>
      <c r="K1185" s="278">
        <v>3.1150209054000326</v>
      </c>
      <c r="L1185" s="278">
        <f t="shared" si="432"/>
        <v>12.917285294328298</v>
      </c>
      <c r="M1185" s="212"/>
      <c r="N1185" s="212"/>
    </row>
    <row r="1186" spans="1:14">
      <c r="A1186" s="213" t="str">
        <f>name!E$8</f>
        <v>Skilled trades occupations</v>
      </c>
      <c r="B1186" s="278">
        <v>3.0690316571465166</v>
      </c>
      <c r="C1186" s="278">
        <v>8.3345758222133206</v>
      </c>
      <c r="D1186" s="278">
        <f t="shared" si="430"/>
        <v>11.403607479359838</v>
      </c>
      <c r="E1186" s="279"/>
      <c r="F1186" s="278">
        <v>6.1081124411794718</v>
      </c>
      <c r="G1186" s="278">
        <v>6.624736256154816</v>
      </c>
      <c r="H1186" s="278">
        <f t="shared" si="431"/>
        <v>12.732848697334287</v>
      </c>
      <c r="I1186" s="279"/>
      <c r="J1186" s="278">
        <v>8.004034428833263</v>
      </c>
      <c r="K1186" s="278">
        <v>5.7672645265769242</v>
      </c>
      <c r="L1186" s="278">
        <f t="shared" si="432"/>
        <v>13.771298955410188</v>
      </c>
      <c r="M1186" s="212"/>
      <c r="N1186" s="212"/>
    </row>
    <row r="1187" spans="1:14">
      <c r="A1187" s="213" t="str">
        <f>name!E$9</f>
        <v>Caring, leisure and other service occupations</v>
      </c>
      <c r="B1187" s="278">
        <v>4.7209931063896509</v>
      </c>
      <c r="C1187" s="278">
        <v>3.1076539756161097</v>
      </c>
      <c r="D1187" s="278">
        <f t="shared" si="430"/>
        <v>7.8286470820057605</v>
      </c>
      <c r="E1187" s="279"/>
      <c r="F1187" s="278">
        <v>5.643657722045651</v>
      </c>
      <c r="G1187" s="278">
        <v>3.5651879431548177</v>
      </c>
      <c r="H1187" s="278">
        <f t="shared" si="431"/>
        <v>9.2088456652004691</v>
      </c>
      <c r="I1187" s="279"/>
      <c r="J1187" s="278">
        <v>4.7830903901772173</v>
      </c>
      <c r="K1187" s="278">
        <v>3.8095570906484322</v>
      </c>
      <c r="L1187" s="278">
        <f t="shared" si="432"/>
        <v>8.592647480825649</v>
      </c>
      <c r="M1187" s="212"/>
      <c r="N1187" s="212"/>
    </row>
    <row r="1188" spans="1:14">
      <c r="A1188" s="213" t="str">
        <f>name!E$10</f>
        <v>Sales and customer service occupations</v>
      </c>
      <c r="B1188" s="278">
        <v>3.3025020423546967</v>
      </c>
      <c r="C1188" s="278">
        <v>2.6294161452249618</v>
      </c>
      <c r="D1188" s="278">
        <f t="shared" si="430"/>
        <v>5.9319181875796581</v>
      </c>
      <c r="E1188" s="279"/>
      <c r="F1188" s="278">
        <v>3.9872491134802681</v>
      </c>
      <c r="G1188" s="278">
        <v>3.0082728873471622</v>
      </c>
      <c r="H1188" s="278">
        <f t="shared" si="431"/>
        <v>6.9955220008274299</v>
      </c>
      <c r="I1188" s="279"/>
      <c r="J1188" s="278">
        <v>3.7881647617990795</v>
      </c>
      <c r="K1188" s="278">
        <v>3.0812169969460905</v>
      </c>
      <c r="L1188" s="278">
        <f t="shared" si="432"/>
        <v>6.8693817587451704</v>
      </c>
      <c r="M1188" s="212"/>
      <c r="N1188" s="212"/>
    </row>
    <row r="1189" spans="1:14">
      <c r="A1189" s="213" t="str">
        <f>name!E$11</f>
        <v>Process, plant and machine operatives</v>
      </c>
      <c r="B1189" s="278">
        <v>0.17812093923976913</v>
      </c>
      <c r="C1189" s="278">
        <v>0.74826705827033513</v>
      </c>
      <c r="D1189" s="278">
        <f t="shared" si="430"/>
        <v>0.92638799751010426</v>
      </c>
      <c r="E1189" s="279"/>
      <c r="F1189" s="278">
        <v>0.26663292450257187</v>
      </c>
      <c r="G1189" s="278">
        <v>0.7732485477155735</v>
      </c>
      <c r="H1189" s="278">
        <f t="shared" si="431"/>
        <v>1.0398814722181453</v>
      </c>
      <c r="I1189" s="279"/>
      <c r="J1189" s="278">
        <v>0.36499223067765935</v>
      </c>
      <c r="K1189" s="278">
        <v>0.65518061960196128</v>
      </c>
      <c r="L1189" s="278">
        <f t="shared" si="432"/>
        <v>1.0201728502796206</v>
      </c>
      <c r="M1189" s="212"/>
      <c r="N1189" s="212"/>
    </row>
    <row r="1190" spans="1:14">
      <c r="A1190" s="213" t="str">
        <f>name!E$12</f>
        <v>Elementary occupations</v>
      </c>
      <c r="B1190" s="278">
        <v>4.5191655257159153</v>
      </c>
      <c r="C1190" s="278">
        <v>3.9415145868841623</v>
      </c>
      <c r="D1190" s="278">
        <f t="shared" si="430"/>
        <v>8.4606801126000768</v>
      </c>
      <c r="E1190" s="279"/>
      <c r="F1190" s="278">
        <v>4.180877078850683</v>
      </c>
      <c r="G1190" s="278">
        <v>4.2439314354154591</v>
      </c>
      <c r="H1190" s="278">
        <f t="shared" si="431"/>
        <v>8.4248085142661431</v>
      </c>
      <c r="I1190" s="279"/>
      <c r="J1190" s="278">
        <v>3.3771333081497676</v>
      </c>
      <c r="K1190" s="278">
        <v>2.6421073371767485</v>
      </c>
      <c r="L1190" s="278">
        <f t="shared" si="432"/>
        <v>6.0192406453265157</v>
      </c>
      <c r="M1190" s="212"/>
      <c r="N1190" s="212"/>
    </row>
    <row r="1191" spans="1:14">
      <c r="A1191" s="213"/>
      <c r="B1191" s="278"/>
      <c r="C1191" s="278"/>
      <c r="D1191" s="278"/>
      <c r="E1191" s="279"/>
      <c r="F1191" s="278"/>
      <c r="G1191" s="278"/>
      <c r="H1191" s="278"/>
      <c r="I1191" s="279"/>
      <c r="J1191" s="278"/>
      <c r="K1191" s="278"/>
      <c r="L1191" s="278"/>
      <c r="M1191" s="212"/>
      <c r="N1191" s="212"/>
    </row>
    <row r="1192" spans="1:14">
      <c r="A1192" s="220" t="s">
        <v>119</v>
      </c>
      <c r="B1192" s="282">
        <f>SUM(B1182:B1190)</f>
        <v>65.964000000022438</v>
      </c>
      <c r="C1192" s="282">
        <f t="shared" ref="C1192:D1192" si="433">SUM(C1182:C1190)</f>
        <v>84.852000001452097</v>
      </c>
      <c r="D1192" s="282">
        <f t="shared" si="433"/>
        <v>150.81600000147452</v>
      </c>
      <c r="E1192" s="282"/>
      <c r="F1192" s="282">
        <f t="shared" ref="F1192:H1192" si="434">SUM(F1182:F1190)</f>
        <v>102.2049999992461</v>
      </c>
      <c r="G1192" s="282">
        <f t="shared" si="434"/>
        <v>81.568000001633067</v>
      </c>
      <c r="H1192" s="282">
        <f t="shared" si="434"/>
        <v>183.77300000087916</v>
      </c>
      <c r="I1192" s="282"/>
      <c r="J1192" s="282">
        <f t="shared" ref="J1192:L1192" si="435">SUM(J1182:J1190)</f>
        <v>107.32500000089827</v>
      </c>
      <c r="K1192" s="282">
        <f t="shared" si="435"/>
        <v>75.279000003026752</v>
      </c>
      <c r="L1192" s="282">
        <f t="shared" si="435"/>
        <v>182.60400000392499</v>
      </c>
      <c r="M1192" s="212"/>
      <c r="N1192" s="212"/>
    </row>
    <row r="1193" spans="1:14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6"/>
      <c r="M1193" s="212"/>
      <c r="N1193" s="212"/>
    </row>
    <row r="1194" spans="1:14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32" t="s">
        <v>114</v>
      </c>
      <c r="M1194" s="212"/>
      <c r="N1194" s="212"/>
    </row>
    <row r="1195" spans="1:14" ht="12.95">
      <c r="A1195" s="218"/>
      <c r="B1195" s="226"/>
      <c r="C1195" s="226"/>
      <c r="D1195" s="226"/>
      <c r="E1195" s="226"/>
      <c r="F1195" s="226"/>
      <c r="G1195" s="226"/>
      <c r="H1195" s="226"/>
      <c r="I1195" s="226"/>
      <c r="J1195" s="226"/>
      <c r="K1195" s="226"/>
      <c r="L1195" s="212"/>
      <c r="M1195" s="212"/>
      <c r="N1195" s="212"/>
    </row>
    <row r="1196" spans="1:14" ht="12.95">
      <c r="A1196" s="217" t="str">
        <f>name!A73</f>
        <v>Libraries, etc</v>
      </c>
      <c r="B1196" s="367">
        <f>B$6</f>
        <v>2015</v>
      </c>
      <c r="C1196" s="367"/>
      <c r="D1196" s="367"/>
      <c r="E1196" s="229"/>
      <c r="F1196" s="367">
        <f>F$6</f>
        <v>2020</v>
      </c>
      <c r="G1196" s="367"/>
      <c r="H1196" s="367"/>
      <c r="I1196" s="229"/>
      <c r="J1196" s="367">
        <f>J$6</f>
        <v>2035</v>
      </c>
      <c r="K1196" s="367"/>
      <c r="L1196" s="367"/>
      <c r="M1196" s="212"/>
      <c r="N1196" s="212"/>
    </row>
    <row r="1197" spans="1:14" ht="12.95">
      <c r="A1197" s="230"/>
      <c r="B1197" s="231" t="s">
        <v>173</v>
      </c>
      <c r="C1197" s="231" t="s">
        <v>174</v>
      </c>
      <c r="D1197" s="231" t="s">
        <v>119</v>
      </c>
      <c r="E1197" s="231"/>
      <c r="F1197" s="231" t="s">
        <v>173</v>
      </c>
      <c r="G1197" s="231" t="s">
        <v>174</v>
      </c>
      <c r="H1197" s="231" t="s">
        <v>119</v>
      </c>
      <c r="I1197" s="231"/>
      <c r="J1197" s="231" t="s">
        <v>173</v>
      </c>
      <c r="K1197" s="231" t="s">
        <v>174</v>
      </c>
      <c r="L1197" s="231" t="s">
        <v>119</v>
      </c>
      <c r="M1197" s="212"/>
      <c r="N1197" s="212"/>
    </row>
    <row r="1198" spans="1:14" ht="12.95">
      <c r="A1198" s="234"/>
      <c r="B1198" s="235"/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12"/>
      <c r="N1198" s="212"/>
    </row>
    <row r="1199" spans="1:14">
      <c r="A1199" s="213" t="str">
        <f>name!E$4</f>
        <v>Managers, directors and senior officials</v>
      </c>
      <c r="B1199" s="278">
        <v>7.6344315424148066</v>
      </c>
      <c r="C1199" s="278">
        <v>7.6445995136482932</v>
      </c>
      <c r="D1199" s="278">
        <f>SUM(B1199:C1199)</f>
        <v>15.279031056063101</v>
      </c>
      <c r="E1199" s="279"/>
      <c r="F1199" s="278">
        <v>10.904670598379525</v>
      </c>
      <c r="G1199" s="278">
        <v>5.6899802530017718</v>
      </c>
      <c r="H1199" s="278">
        <f>SUM(F1199:G1199)</f>
        <v>16.594650851381296</v>
      </c>
      <c r="I1199" s="279"/>
      <c r="J1199" s="278">
        <v>12.759146890833401</v>
      </c>
      <c r="K1199" s="278">
        <v>5.4816274253272601</v>
      </c>
      <c r="L1199" s="278">
        <f>SUM(J1199:K1199)</f>
        <v>18.24077431616066</v>
      </c>
      <c r="M1199" s="212"/>
      <c r="N1199" s="212"/>
    </row>
    <row r="1200" spans="1:14">
      <c r="A1200" s="213" t="str">
        <f>name!E$5</f>
        <v>Professional occupations</v>
      </c>
      <c r="B1200" s="278">
        <v>12.215704907479351</v>
      </c>
      <c r="C1200" s="278">
        <v>14.645237469137577</v>
      </c>
      <c r="D1200" s="278">
        <f t="shared" ref="D1200:D1207" si="436">SUM(B1200:C1200)</f>
        <v>26.860942376616926</v>
      </c>
      <c r="E1200" s="279"/>
      <c r="F1200" s="278">
        <v>17.611070963786155</v>
      </c>
      <c r="G1200" s="278">
        <v>11.864889094556046</v>
      </c>
      <c r="H1200" s="278">
        <f t="shared" ref="H1200:H1207" si="437">SUM(F1200:G1200)</f>
        <v>29.475960058342203</v>
      </c>
      <c r="I1200" s="279"/>
      <c r="J1200" s="278">
        <v>19.530203463923979</v>
      </c>
      <c r="K1200" s="278">
        <v>12.705433801130569</v>
      </c>
      <c r="L1200" s="278">
        <f t="shared" ref="L1200:L1207" si="438">SUM(J1200:K1200)</f>
        <v>32.23563726505455</v>
      </c>
      <c r="M1200" s="212"/>
      <c r="N1200" s="212"/>
    </row>
    <row r="1201" spans="1:14">
      <c r="A1201" s="213" t="str">
        <f>name!E$6</f>
        <v>Associate professional occupations</v>
      </c>
      <c r="B1201" s="278">
        <v>26.21609462063482</v>
      </c>
      <c r="C1201" s="278">
        <v>33.770473661471783</v>
      </c>
      <c r="D1201" s="278">
        <f t="shared" si="436"/>
        <v>59.986568282106603</v>
      </c>
      <c r="E1201" s="279"/>
      <c r="F1201" s="278">
        <v>39.368980002425189</v>
      </c>
      <c r="G1201" s="278">
        <v>26.339195485645615</v>
      </c>
      <c r="H1201" s="278">
        <f t="shared" si="437"/>
        <v>65.708175488070808</v>
      </c>
      <c r="I1201" s="279"/>
      <c r="J1201" s="278">
        <v>40.656477362100816</v>
      </c>
      <c r="K1201" s="278">
        <v>23.019047005171146</v>
      </c>
      <c r="L1201" s="278">
        <f t="shared" si="438"/>
        <v>63.675524367271962</v>
      </c>
      <c r="M1201" s="212"/>
      <c r="N1201" s="212"/>
    </row>
    <row r="1202" spans="1:14">
      <c r="A1202" s="213" t="str">
        <f>name!E$7</f>
        <v>Administrative and secretarial occupations</v>
      </c>
      <c r="B1202" s="278">
        <v>12.730709050489578</v>
      </c>
      <c r="C1202" s="278">
        <v>3.1418311516068624</v>
      </c>
      <c r="D1202" s="278">
        <f t="shared" si="436"/>
        <v>15.87254020209644</v>
      </c>
      <c r="E1202" s="279"/>
      <c r="F1202" s="278">
        <v>12.82721245288862</v>
      </c>
      <c r="G1202" s="278">
        <v>2.9389309328922275</v>
      </c>
      <c r="H1202" s="278">
        <f t="shared" si="437"/>
        <v>15.766143385780847</v>
      </c>
      <c r="I1202" s="279"/>
      <c r="J1202" s="278">
        <v>10.747292138107971</v>
      </c>
      <c r="K1202" s="278">
        <v>2.7008273333915245</v>
      </c>
      <c r="L1202" s="278">
        <f t="shared" si="438"/>
        <v>13.448119471499496</v>
      </c>
      <c r="M1202" s="212"/>
      <c r="N1202" s="212"/>
    </row>
    <row r="1203" spans="1:14">
      <c r="A1203" s="213" t="str">
        <f>name!E$8</f>
        <v>Skilled trades occupations</v>
      </c>
      <c r="B1203" s="278">
        <v>4.2003538013723851</v>
      </c>
      <c r="C1203" s="278">
        <v>9.0993692228577814</v>
      </c>
      <c r="D1203" s="278">
        <f t="shared" si="436"/>
        <v>13.299723024230167</v>
      </c>
      <c r="E1203" s="279"/>
      <c r="F1203" s="278">
        <v>6.6845692668687962</v>
      </c>
      <c r="G1203" s="278">
        <v>5.4656431949235378</v>
      </c>
      <c r="H1203" s="278">
        <f t="shared" si="437"/>
        <v>12.150212461792334</v>
      </c>
      <c r="I1203" s="279"/>
      <c r="J1203" s="278">
        <v>8.8400401680740739</v>
      </c>
      <c r="K1203" s="278">
        <v>4.7876081566907125</v>
      </c>
      <c r="L1203" s="278">
        <f t="shared" si="438"/>
        <v>13.627648324764786</v>
      </c>
      <c r="M1203" s="212"/>
      <c r="N1203" s="212"/>
    </row>
    <row r="1204" spans="1:14">
      <c r="A1204" s="213" t="str">
        <f>name!E$9</f>
        <v>Caring, leisure and other service occupations</v>
      </c>
      <c r="B1204" s="278">
        <v>6.6082350125248821</v>
      </c>
      <c r="C1204" s="278">
        <v>3.3685152615727074</v>
      </c>
      <c r="D1204" s="278">
        <f t="shared" si="436"/>
        <v>9.97675027409759</v>
      </c>
      <c r="E1204" s="279"/>
      <c r="F1204" s="278">
        <v>6.6058394468679262</v>
      </c>
      <c r="G1204" s="278">
        <v>3.1368932164937511</v>
      </c>
      <c r="H1204" s="278">
        <f t="shared" si="437"/>
        <v>9.7427326633616769</v>
      </c>
      <c r="I1204" s="279"/>
      <c r="J1204" s="278">
        <v>5.50644898648817</v>
      </c>
      <c r="K1204" s="278">
        <v>3.3268455123572087</v>
      </c>
      <c r="L1204" s="278">
        <f t="shared" si="438"/>
        <v>8.8332944988453796</v>
      </c>
      <c r="M1204" s="212"/>
      <c r="N1204" s="212"/>
    </row>
    <row r="1205" spans="1:14">
      <c r="A1205" s="213" t="str">
        <f>name!E$10</f>
        <v>Sales and customer service occupations</v>
      </c>
      <c r="B1205" s="278">
        <v>4.1737526581589712</v>
      </c>
      <c r="C1205" s="278">
        <v>2.9311481657850544</v>
      </c>
      <c r="D1205" s="278">
        <f t="shared" si="436"/>
        <v>7.1049008239440257</v>
      </c>
      <c r="E1205" s="279"/>
      <c r="F1205" s="278">
        <v>4.0694456219773461</v>
      </c>
      <c r="G1205" s="278">
        <v>2.7484818262909823</v>
      </c>
      <c r="H1205" s="278">
        <f t="shared" si="437"/>
        <v>6.8179274482683283</v>
      </c>
      <c r="I1205" s="279"/>
      <c r="J1205" s="278">
        <v>4.1335302516180672</v>
      </c>
      <c r="K1205" s="278">
        <v>2.81537321405427</v>
      </c>
      <c r="L1205" s="278">
        <f t="shared" si="438"/>
        <v>6.9489034656723376</v>
      </c>
      <c r="M1205" s="212"/>
      <c r="N1205" s="212"/>
    </row>
    <row r="1206" spans="1:14">
      <c r="A1206" s="213" t="str">
        <f>name!E$11</f>
        <v>Process, plant and machine operatives</v>
      </c>
      <c r="B1206" s="278">
        <v>0.24265172076157676</v>
      </c>
      <c r="C1206" s="278">
        <v>0.97394295952606513</v>
      </c>
      <c r="D1206" s="278">
        <f t="shared" si="436"/>
        <v>1.2165946802876419</v>
      </c>
      <c r="E1206" s="279"/>
      <c r="F1206" s="278">
        <v>0.30218378152954545</v>
      </c>
      <c r="G1206" s="278">
        <v>0.73392466361892461</v>
      </c>
      <c r="H1206" s="278">
        <f t="shared" si="437"/>
        <v>1.0361084451484701</v>
      </c>
      <c r="I1206" s="279"/>
      <c r="J1206" s="278">
        <v>0.4332636364501371</v>
      </c>
      <c r="K1206" s="278">
        <v>0.63770301517360639</v>
      </c>
      <c r="L1206" s="278">
        <f t="shared" si="438"/>
        <v>1.0709666516237435</v>
      </c>
      <c r="M1206" s="212"/>
      <c r="N1206" s="212"/>
    </row>
    <row r="1207" spans="1:14" ht="13.5" customHeight="1">
      <c r="A1207" s="213" t="str">
        <f>name!E$12</f>
        <v>Elementary occupations</v>
      </c>
      <c r="B1207" s="278">
        <v>6.7960666863026642</v>
      </c>
      <c r="C1207" s="278">
        <v>4.7988825956420511</v>
      </c>
      <c r="D1207" s="278">
        <f t="shared" si="436"/>
        <v>11.594949281944714</v>
      </c>
      <c r="E1207" s="279"/>
      <c r="F1207" s="278">
        <v>5.8010278643411866</v>
      </c>
      <c r="G1207" s="278">
        <v>4.0940613336981526</v>
      </c>
      <c r="H1207" s="278">
        <f t="shared" si="437"/>
        <v>9.8950891980393401</v>
      </c>
      <c r="I1207" s="279"/>
      <c r="J1207" s="278">
        <v>4.4725971034032064</v>
      </c>
      <c r="K1207" s="278">
        <v>2.7335345388383416</v>
      </c>
      <c r="L1207" s="278">
        <f t="shared" si="438"/>
        <v>7.206131642241548</v>
      </c>
      <c r="M1207" s="212"/>
      <c r="N1207" s="212"/>
    </row>
    <row r="1208" spans="1:14" ht="13.5" customHeight="1">
      <c r="A1208" s="213"/>
      <c r="B1208" s="278"/>
      <c r="C1208" s="278"/>
      <c r="D1208" s="278"/>
      <c r="E1208" s="279"/>
      <c r="F1208" s="278"/>
      <c r="G1208" s="278"/>
      <c r="H1208" s="278"/>
      <c r="I1208" s="279"/>
      <c r="J1208" s="278"/>
      <c r="K1208" s="278"/>
      <c r="L1208" s="278"/>
      <c r="M1208" s="212"/>
      <c r="N1208" s="212"/>
    </row>
    <row r="1209" spans="1:14">
      <c r="A1209" s="220" t="s">
        <v>119</v>
      </c>
      <c r="B1209" s="282">
        <f>SUM(B1199:B1207)</f>
        <v>80.818000000139037</v>
      </c>
      <c r="C1209" s="282">
        <f t="shared" ref="C1209:D1209" si="439">SUM(C1199:C1207)</f>
        <v>80.374000001248191</v>
      </c>
      <c r="D1209" s="282">
        <f t="shared" si="439"/>
        <v>161.19200000138721</v>
      </c>
      <c r="E1209" s="282"/>
      <c r="F1209" s="282">
        <f t="shared" ref="F1209:H1209" si="440">SUM(F1199:F1207)</f>
        <v>104.17499999906431</v>
      </c>
      <c r="G1209" s="282">
        <f t="shared" si="440"/>
        <v>63.012000001121002</v>
      </c>
      <c r="H1209" s="282">
        <f t="shared" si="440"/>
        <v>167.18700000018529</v>
      </c>
      <c r="I1209" s="282"/>
      <c r="J1209" s="282">
        <f t="shared" ref="J1209:L1209" si="441">SUM(J1199:J1207)</f>
        <v>107.0790000009998</v>
      </c>
      <c r="K1209" s="282">
        <f t="shared" si="441"/>
        <v>58.208000002134639</v>
      </c>
      <c r="L1209" s="282">
        <f t="shared" si="441"/>
        <v>165.28700000313447</v>
      </c>
      <c r="M1209" s="212"/>
      <c r="N1209" s="212"/>
    </row>
    <row r="1210" spans="1:14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6"/>
      <c r="M1210" s="212"/>
      <c r="N1210" s="212"/>
    </row>
    <row r="1211" spans="1:14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32" t="s">
        <v>114</v>
      </c>
      <c r="M1211" s="212"/>
      <c r="N1211" s="212"/>
    </row>
    <row r="1212" spans="1:14" ht="12.95">
      <c r="A1212" s="218"/>
      <c r="B1212" s="226"/>
      <c r="C1212" s="226"/>
      <c r="D1212" s="226"/>
      <c r="E1212" s="226"/>
      <c r="F1212" s="226"/>
      <c r="G1212" s="226"/>
      <c r="H1212" s="226"/>
      <c r="I1212" s="226"/>
      <c r="J1212" s="226"/>
      <c r="K1212" s="226"/>
      <c r="L1212" s="212"/>
      <c r="M1212" s="212"/>
      <c r="N1212" s="212"/>
    </row>
    <row r="1213" spans="1:14" ht="12.95">
      <c r="A1213" s="217" t="str">
        <f>name!A74</f>
        <v>Gambling and betting</v>
      </c>
      <c r="B1213" s="367">
        <f>B$6</f>
        <v>2015</v>
      </c>
      <c r="C1213" s="367"/>
      <c r="D1213" s="367"/>
      <c r="E1213" s="229"/>
      <c r="F1213" s="367">
        <f>F$6</f>
        <v>2020</v>
      </c>
      <c r="G1213" s="367"/>
      <c r="H1213" s="367"/>
      <c r="I1213" s="229"/>
      <c r="J1213" s="367">
        <f>J$6</f>
        <v>2035</v>
      </c>
      <c r="K1213" s="367"/>
      <c r="L1213" s="367"/>
      <c r="M1213" s="212"/>
      <c r="N1213" s="212"/>
    </row>
    <row r="1214" spans="1:14" ht="12.95">
      <c r="A1214" s="230"/>
      <c r="B1214" s="231" t="s">
        <v>173</v>
      </c>
      <c r="C1214" s="231" t="s">
        <v>174</v>
      </c>
      <c r="D1214" s="231" t="s">
        <v>119</v>
      </c>
      <c r="E1214" s="231"/>
      <c r="F1214" s="231" t="s">
        <v>173</v>
      </c>
      <c r="G1214" s="231" t="s">
        <v>174</v>
      </c>
      <c r="H1214" s="231" t="s">
        <v>119</v>
      </c>
      <c r="I1214" s="231"/>
      <c r="J1214" s="231" t="s">
        <v>173</v>
      </c>
      <c r="K1214" s="231" t="s">
        <v>174</v>
      </c>
      <c r="L1214" s="231" t="s">
        <v>119</v>
      </c>
      <c r="M1214" s="212"/>
      <c r="N1214" s="212"/>
    </row>
    <row r="1215" spans="1:14" ht="12.95">
      <c r="A1215" s="234"/>
      <c r="B1215" s="235"/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12"/>
      <c r="N1215" s="212"/>
    </row>
    <row r="1216" spans="1:14">
      <c r="A1216" s="213" t="str">
        <f>name!E$4</f>
        <v>Managers, directors and senior officials</v>
      </c>
      <c r="B1216" s="278">
        <v>3.3569154820435458</v>
      </c>
      <c r="C1216" s="278">
        <v>6.8632296868506906</v>
      </c>
      <c r="D1216" s="278">
        <f>SUM(B1216:C1216)</f>
        <v>10.220145168894236</v>
      </c>
      <c r="E1216" s="279"/>
      <c r="F1216" s="278">
        <v>3.1366591717612753</v>
      </c>
      <c r="G1216" s="278">
        <v>6.3322370716854364</v>
      </c>
      <c r="H1216" s="278">
        <f>SUM(F1216:G1216)</f>
        <v>9.4688962434467108</v>
      </c>
      <c r="I1216" s="279"/>
      <c r="J1216" s="278">
        <v>3.7871975538099032</v>
      </c>
      <c r="K1216" s="278">
        <v>7.7105788749698352</v>
      </c>
      <c r="L1216" s="278">
        <f>SUM(J1216:K1216)</f>
        <v>11.497776428779739</v>
      </c>
      <c r="M1216" s="212"/>
      <c r="N1216" s="212"/>
    </row>
    <row r="1217" spans="1:14">
      <c r="A1217" s="213" t="str">
        <f>name!E$5</f>
        <v>Professional occupations</v>
      </c>
      <c r="B1217" s="278">
        <v>5.1102083026292346</v>
      </c>
      <c r="C1217" s="278">
        <v>8.8251976149259157</v>
      </c>
      <c r="D1217" s="278">
        <f t="shared" ref="D1217:D1224" si="442">SUM(B1217:C1217)</f>
        <v>13.935405917555151</v>
      </c>
      <c r="E1217" s="279"/>
      <c r="F1217" s="278">
        <v>5.1534821648526012</v>
      </c>
      <c r="G1217" s="278">
        <v>9.5108414605030518</v>
      </c>
      <c r="H1217" s="278">
        <f t="shared" ref="H1217:H1224" si="443">SUM(F1217:G1217)</f>
        <v>14.664323625355653</v>
      </c>
      <c r="I1217" s="279"/>
      <c r="J1217" s="278">
        <v>6.5194340939770852</v>
      </c>
      <c r="K1217" s="278">
        <v>15.361764688025865</v>
      </c>
      <c r="L1217" s="278">
        <f t="shared" ref="L1217:L1224" si="444">SUM(J1217:K1217)</f>
        <v>21.881198782002951</v>
      </c>
      <c r="M1217" s="212"/>
      <c r="N1217" s="212"/>
    </row>
    <row r="1218" spans="1:14">
      <c r="A1218" s="213" t="str">
        <f>name!E$6</f>
        <v>Associate professional occupations</v>
      </c>
      <c r="B1218" s="278">
        <v>8.0225243962857693</v>
      </c>
      <c r="C1218" s="278">
        <v>17.257387925678678</v>
      </c>
      <c r="D1218" s="278">
        <f t="shared" si="442"/>
        <v>25.279912321964446</v>
      </c>
      <c r="E1218" s="279"/>
      <c r="F1218" s="278">
        <v>6.9708681699379307</v>
      </c>
      <c r="G1218" s="278">
        <v>16.528186626081222</v>
      </c>
      <c r="H1218" s="278">
        <f t="shared" si="443"/>
        <v>23.499054796019152</v>
      </c>
      <c r="I1218" s="279"/>
      <c r="J1218" s="278">
        <v>8.0128806037388092</v>
      </c>
      <c r="K1218" s="278">
        <v>19.155659140135267</v>
      </c>
      <c r="L1218" s="278">
        <f t="shared" si="444"/>
        <v>27.168539743874078</v>
      </c>
      <c r="M1218" s="212"/>
      <c r="N1218" s="212"/>
    </row>
    <row r="1219" spans="1:14">
      <c r="A1219" s="213" t="str">
        <f>name!E$7</f>
        <v>Administrative and secretarial occupations</v>
      </c>
      <c r="B1219" s="278">
        <v>6.6131276058589954</v>
      </c>
      <c r="C1219" s="278">
        <v>4.431704646794639</v>
      </c>
      <c r="D1219" s="278">
        <f t="shared" si="442"/>
        <v>11.044832252653634</v>
      </c>
      <c r="E1219" s="279"/>
      <c r="F1219" s="278">
        <v>5.5665848913791143</v>
      </c>
      <c r="G1219" s="278">
        <v>4.3726489814292</v>
      </c>
      <c r="H1219" s="278">
        <f t="shared" si="443"/>
        <v>9.9392338728083143</v>
      </c>
      <c r="I1219" s="279"/>
      <c r="J1219" s="278">
        <v>5.519876686411135</v>
      </c>
      <c r="K1219" s="278">
        <v>5.4030141395994695</v>
      </c>
      <c r="L1219" s="278">
        <f t="shared" si="444"/>
        <v>10.922890826010605</v>
      </c>
      <c r="M1219" s="212"/>
      <c r="N1219" s="212"/>
    </row>
    <row r="1220" spans="1:14">
      <c r="A1220" s="213" t="str">
        <f>name!E$8</f>
        <v>Skilled trades occupations</v>
      </c>
      <c r="B1220" s="278">
        <v>1.3284699843406671</v>
      </c>
      <c r="C1220" s="278">
        <v>7.930388038441869</v>
      </c>
      <c r="D1220" s="278">
        <f t="shared" si="442"/>
        <v>9.2588580227825368</v>
      </c>
      <c r="E1220" s="279"/>
      <c r="F1220" s="278">
        <v>1.0927867957980051</v>
      </c>
      <c r="G1220" s="278">
        <v>5.5571072053610591</v>
      </c>
      <c r="H1220" s="278">
        <f t="shared" si="443"/>
        <v>6.6498940011590637</v>
      </c>
      <c r="I1220" s="279"/>
      <c r="J1220" s="278">
        <v>1.6721854948613468</v>
      </c>
      <c r="K1220" s="278">
        <v>5.7805784233582562</v>
      </c>
      <c r="L1220" s="278">
        <f t="shared" si="444"/>
        <v>7.4527639182196026</v>
      </c>
      <c r="M1220" s="212"/>
      <c r="N1220" s="212"/>
    </row>
    <row r="1221" spans="1:14">
      <c r="A1221" s="213" t="str">
        <f>name!E$9</f>
        <v>Caring, leisure and other service occupations</v>
      </c>
      <c r="B1221" s="278">
        <v>3.196794085113734</v>
      </c>
      <c r="C1221" s="278">
        <v>4.9664200688639362</v>
      </c>
      <c r="D1221" s="278">
        <f t="shared" si="442"/>
        <v>8.1632141539776697</v>
      </c>
      <c r="E1221" s="279"/>
      <c r="F1221" s="278">
        <v>2.4827600327837107</v>
      </c>
      <c r="G1221" s="278">
        <v>4.1123777099661858</v>
      </c>
      <c r="H1221" s="278">
        <f t="shared" si="443"/>
        <v>6.5951377427498965</v>
      </c>
      <c r="I1221" s="279"/>
      <c r="J1221" s="278">
        <v>2.1654949648063093</v>
      </c>
      <c r="K1221" s="278">
        <v>5.5338240067384712</v>
      </c>
      <c r="L1221" s="278">
        <f t="shared" si="444"/>
        <v>7.6993189715447805</v>
      </c>
      <c r="M1221" s="212"/>
      <c r="N1221" s="212"/>
    </row>
    <row r="1222" spans="1:14">
      <c r="A1222" s="213" t="str">
        <f>name!E$10</f>
        <v>Sales and customer service occupations</v>
      </c>
      <c r="B1222" s="278">
        <v>2.2252582252972224</v>
      </c>
      <c r="C1222" s="278">
        <v>4.0865857041425731</v>
      </c>
      <c r="D1222" s="278">
        <f t="shared" si="442"/>
        <v>6.3118439294397959</v>
      </c>
      <c r="E1222" s="279"/>
      <c r="F1222" s="278">
        <v>1.7491190180895286</v>
      </c>
      <c r="G1222" s="278">
        <v>3.5486005011761863</v>
      </c>
      <c r="H1222" s="278">
        <f t="shared" si="443"/>
        <v>5.2977195192657147</v>
      </c>
      <c r="I1222" s="279"/>
      <c r="J1222" s="278">
        <v>1.9461150827954707</v>
      </c>
      <c r="K1222" s="278">
        <v>4.9493029032167177</v>
      </c>
      <c r="L1222" s="278">
        <f t="shared" si="444"/>
        <v>6.8954179860121885</v>
      </c>
      <c r="M1222" s="212"/>
      <c r="N1222" s="212"/>
    </row>
    <row r="1223" spans="1:14">
      <c r="A1223" s="213" t="str">
        <f>name!E$11</f>
        <v>Process, plant and machine operatives</v>
      </c>
      <c r="B1223" s="278">
        <v>9.4279790581028908E-2</v>
      </c>
      <c r="C1223" s="278">
        <v>1.1737743465869339</v>
      </c>
      <c r="D1223" s="278">
        <f t="shared" si="442"/>
        <v>1.2680541371679628</v>
      </c>
      <c r="E1223" s="279"/>
      <c r="F1223" s="278">
        <v>6.6701851873618351E-2</v>
      </c>
      <c r="G1223" s="278">
        <v>0.90241473748005996</v>
      </c>
      <c r="H1223" s="278">
        <f t="shared" si="443"/>
        <v>0.96911658935367828</v>
      </c>
      <c r="I1223" s="279"/>
      <c r="J1223" s="278">
        <v>0.12655526936131645</v>
      </c>
      <c r="K1223" s="278">
        <v>0.91991228860860219</v>
      </c>
      <c r="L1223" s="278">
        <f t="shared" si="444"/>
        <v>1.0464675579699185</v>
      </c>
      <c r="M1223" s="212"/>
      <c r="N1223" s="212"/>
    </row>
    <row r="1224" spans="1:14">
      <c r="A1224" s="213" t="str">
        <f>name!E$12</f>
        <v>Elementary occupations</v>
      </c>
      <c r="B1224" s="278">
        <v>2.9834221278222954</v>
      </c>
      <c r="C1224" s="278">
        <v>7.6753119679226636</v>
      </c>
      <c r="D1224" s="278">
        <f t="shared" si="442"/>
        <v>10.658734095744959</v>
      </c>
      <c r="E1224" s="279"/>
      <c r="F1224" s="278">
        <v>2.1970379034197647</v>
      </c>
      <c r="G1224" s="278">
        <v>5.3985857065944156</v>
      </c>
      <c r="H1224" s="278">
        <f t="shared" si="443"/>
        <v>7.5956236100141803</v>
      </c>
      <c r="I1224" s="279"/>
      <c r="J1224" s="278">
        <v>1.7612602506008954</v>
      </c>
      <c r="K1224" s="278">
        <v>4.7043655362268195</v>
      </c>
      <c r="L1224" s="278">
        <f t="shared" si="444"/>
        <v>6.4656257868277152</v>
      </c>
      <c r="M1224" s="212"/>
      <c r="N1224" s="212"/>
    </row>
    <row r="1225" spans="1:14">
      <c r="A1225" s="213"/>
      <c r="B1225" s="278"/>
      <c r="C1225" s="278"/>
      <c r="D1225" s="278"/>
      <c r="E1225" s="279"/>
      <c r="F1225" s="278"/>
      <c r="G1225" s="278"/>
      <c r="H1225" s="278"/>
      <c r="I1225" s="279"/>
      <c r="J1225" s="278"/>
      <c r="K1225" s="278"/>
      <c r="L1225" s="278"/>
      <c r="M1225" s="212"/>
      <c r="N1225" s="212"/>
    </row>
    <row r="1226" spans="1:14">
      <c r="A1226" s="220" t="s">
        <v>119</v>
      </c>
      <c r="B1226" s="282">
        <f>SUM(B1216:B1224)</f>
        <v>32.930999999972492</v>
      </c>
      <c r="C1226" s="282">
        <f t="shared" ref="C1226:D1226" si="445">SUM(C1216:C1224)</f>
        <v>63.210000000207899</v>
      </c>
      <c r="D1226" s="282">
        <f t="shared" si="445"/>
        <v>96.141000000180398</v>
      </c>
      <c r="E1226" s="282"/>
      <c r="F1226" s="282">
        <f t="shared" ref="F1226:H1226" si="446">SUM(F1216:F1224)</f>
        <v>28.415999999895551</v>
      </c>
      <c r="G1226" s="282">
        <f t="shared" si="446"/>
        <v>56.263000000276811</v>
      </c>
      <c r="H1226" s="282">
        <f t="shared" si="446"/>
        <v>84.679000000172366</v>
      </c>
      <c r="I1226" s="282"/>
      <c r="J1226" s="282">
        <f t="shared" ref="J1226:L1226" si="447">SUM(J1216:J1224)</f>
        <v>31.511000000362266</v>
      </c>
      <c r="K1226" s="282">
        <f t="shared" si="447"/>
        <v>69.519000000879302</v>
      </c>
      <c r="L1226" s="282">
        <f t="shared" si="447"/>
        <v>101.03000000124159</v>
      </c>
      <c r="M1226" s="212"/>
      <c r="N1226" s="212"/>
    </row>
    <row r="1227" spans="1:14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6"/>
      <c r="M1227" s="212"/>
      <c r="N1227" s="212"/>
    </row>
    <row r="1228" spans="1:14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32" t="s">
        <v>114</v>
      </c>
      <c r="M1228" s="212"/>
      <c r="N1228" s="212"/>
    </row>
    <row r="1229" spans="1:14" ht="12.95">
      <c r="A1229" s="218"/>
      <c r="B1229" s="226"/>
      <c r="C1229" s="226"/>
      <c r="D1229" s="226"/>
      <c r="E1229" s="226"/>
      <c r="F1229" s="226"/>
      <c r="G1229" s="226"/>
      <c r="H1229" s="226"/>
      <c r="I1229" s="226"/>
      <c r="J1229" s="226"/>
      <c r="K1229" s="226"/>
      <c r="L1229" s="212"/>
      <c r="M1229" s="212"/>
      <c r="N1229" s="212"/>
    </row>
    <row r="1230" spans="1:14" ht="12.95">
      <c r="A1230" s="217" t="str">
        <f>name!A75</f>
        <v>Sport and recreation</v>
      </c>
      <c r="B1230" s="367">
        <f>B$6</f>
        <v>2015</v>
      </c>
      <c r="C1230" s="367"/>
      <c r="D1230" s="367"/>
      <c r="E1230" s="229"/>
      <c r="F1230" s="367">
        <f>F$6</f>
        <v>2020</v>
      </c>
      <c r="G1230" s="367"/>
      <c r="H1230" s="367"/>
      <c r="I1230" s="229"/>
      <c r="J1230" s="367">
        <f>J$6</f>
        <v>2035</v>
      </c>
      <c r="K1230" s="367"/>
      <c r="L1230" s="367"/>
      <c r="M1230" s="212"/>
      <c r="N1230" s="212"/>
    </row>
    <row r="1231" spans="1:14" ht="12.95">
      <c r="A1231" s="230"/>
      <c r="B1231" s="231" t="s">
        <v>173</v>
      </c>
      <c r="C1231" s="231" t="s">
        <v>174</v>
      </c>
      <c r="D1231" s="231" t="s">
        <v>119</v>
      </c>
      <c r="E1231" s="231"/>
      <c r="F1231" s="231" t="s">
        <v>173</v>
      </c>
      <c r="G1231" s="231" t="s">
        <v>174</v>
      </c>
      <c r="H1231" s="231" t="s">
        <v>119</v>
      </c>
      <c r="I1231" s="231"/>
      <c r="J1231" s="231" t="s">
        <v>173</v>
      </c>
      <c r="K1231" s="231" t="s">
        <v>174</v>
      </c>
      <c r="L1231" s="231" t="s">
        <v>119</v>
      </c>
      <c r="M1231" s="212"/>
      <c r="N1231" s="212"/>
    </row>
    <row r="1232" spans="1:14" ht="12.95">
      <c r="A1232" s="234"/>
      <c r="B1232" s="235"/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12"/>
      <c r="N1232" s="212"/>
    </row>
    <row r="1233" spans="1:14">
      <c r="A1233" s="213" t="str">
        <f>name!E$4</f>
        <v>Managers, directors and senior officials</v>
      </c>
      <c r="B1233" s="278">
        <v>22.680212501672706</v>
      </c>
      <c r="C1233" s="278">
        <v>19.490313392741641</v>
      </c>
      <c r="D1233" s="278">
        <f>SUM(B1233:C1233)</f>
        <v>42.170525894414347</v>
      </c>
      <c r="E1233" s="279"/>
      <c r="F1233" s="278">
        <v>27.133084722035878</v>
      </c>
      <c r="G1233" s="278">
        <v>21.795048739602922</v>
      </c>
      <c r="H1233" s="278">
        <f>SUM(F1233:G1233)</f>
        <v>48.928133461638801</v>
      </c>
      <c r="I1233" s="279"/>
      <c r="J1233" s="278">
        <v>35.536172014497552</v>
      </c>
      <c r="K1233" s="278">
        <v>27.105371912751018</v>
      </c>
      <c r="L1233" s="278">
        <f>SUM(J1233:K1233)</f>
        <v>62.64154392724857</v>
      </c>
      <c r="M1233" s="212"/>
      <c r="N1233" s="212"/>
    </row>
    <row r="1234" spans="1:14">
      <c r="A1234" s="213" t="str">
        <f>name!E$5</f>
        <v>Professional occupations</v>
      </c>
      <c r="B1234" s="278">
        <v>28.324069932621551</v>
      </c>
      <c r="C1234" s="278">
        <v>27.403388988993299</v>
      </c>
      <c r="D1234" s="278">
        <f t="shared" ref="D1234:D1241" si="448">SUM(B1234:C1234)</f>
        <v>55.727458921614854</v>
      </c>
      <c r="E1234" s="279"/>
      <c r="F1234" s="278">
        <v>33.661786811616381</v>
      </c>
      <c r="G1234" s="278">
        <v>34.244055902959218</v>
      </c>
      <c r="H1234" s="278">
        <f t="shared" ref="H1234:H1241" si="449">SUM(F1234:G1234)</f>
        <v>67.905842714575599</v>
      </c>
      <c r="I1234" s="279"/>
      <c r="J1234" s="278">
        <v>43.214936369579867</v>
      </c>
      <c r="K1234" s="278">
        <v>54.844391592012748</v>
      </c>
      <c r="L1234" s="278">
        <f t="shared" ref="L1234:L1241" si="450">SUM(J1234:K1234)</f>
        <v>98.059327961592615</v>
      </c>
      <c r="M1234" s="212"/>
      <c r="N1234" s="212"/>
    </row>
    <row r="1235" spans="1:14">
      <c r="A1235" s="213" t="str">
        <f>name!E$6</f>
        <v>Associate professional occupations</v>
      </c>
      <c r="B1235" s="278">
        <v>43.826874713203246</v>
      </c>
      <c r="C1235" s="278">
        <v>56.005458259210364</v>
      </c>
      <c r="D1235" s="278">
        <f t="shared" si="448"/>
        <v>99.83233297241361</v>
      </c>
      <c r="E1235" s="279"/>
      <c r="F1235" s="278">
        <v>43.863227892160907</v>
      </c>
      <c r="G1235" s="278">
        <v>61.481352374474923</v>
      </c>
      <c r="H1235" s="278">
        <f t="shared" si="449"/>
        <v>105.34458026663583</v>
      </c>
      <c r="I1235" s="279"/>
      <c r="J1235" s="278">
        <v>50.716723233685222</v>
      </c>
      <c r="K1235" s="278">
        <v>73.96689214940379</v>
      </c>
      <c r="L1235" s="278">
        <f t="shared" si="450"/>
        <v>124.68361538308901</v>
      </c>
      <c r="M1235" s="212"/>
      <c r="N1235" s="212"/>
    </row>
    <row r="1236" spans="1:14">
      <c r="A1236" s="213" t="str">
        <f>name!E$7</f>
        <v>Administrative and secretarial occupations</v>
      </c>
      <c r="B1236" s="278">
        <v>44.888876838714303</v>
      </c>
      <c r="C1236" s="278">
        <v>13.325390390421571</v>
      </c>
      <c r="D1236" s="278">
        <f t="shared" si="448"/>
        <v>58.214267229135871</v>
      </c>
      <c r="E1236" s="279"/>
      <c r="F1236" s="278">
        <v>43.008275148405332</v>
      </c>
      <c r="G1236" s="278">
        <v>14.748232309554199</v>
      </c>
      <c r="H1236" s="278">
        <f t="shared" si="449"/>
        <v>57.756507457959529</v>
      </c>
      <c r="I1236" s="279"/>
      <c r="J1236" s="278">
        <v>42.654506623522884</v>
      </c>
      <c r="K1236" s="278">
        <v>17.533037996113709</v>
      </c>
      <c r="L1236" s="278">
        <f t="shared" si="450"/>
        <v>60.187544619636597</v>
      </c>
      <c r="M1236" s="212"/>
      <c r="N1236" s="212"/>
    </row>
    <row r="1237" spans="1:14">
      <c r="A1237" s="213" t="str">
        <f>name!E$8</f>
        <v>Skilled trades occupations</v>
      </c>
      <c r="B1237" s="278">
        <v>7.5048646697115435</v>
      </c>
      <c r="C1237" s="278">
        <v>24.250998607622424</v>
      </c>
      <c r="D1237" s="278">
        <f t="shared" si="448"/>
        <v>31.755863277333969</v>
      </c>
      <c r="E1237" s="279"/>
      <c r="F1237" s="278">
        <v>7.546009188709907</v>
      </c>
      <c r="G1237" s="278">
        <v>20.752874663960281</v>
      </c>
      <c r="H1237" s="278">
        <f t="shared" si="449"/>
        <v>28.298883852670187</v>
      </c>
      <c r="I1237" s="279"/>
      <c r="J1237" s="278">
        <v>13.538216582155572</v>
      </c>
      <c r="K1237" s="278">
        <v>23.326018475516136</v>
      </c>
      <c r="L1237" s="278">
        <f t="shared" si="450"/>
        <v>36.864235057671706</v>
      </c>
      <c r="M1237" s="212"/>
      <c r="N1237" s="212"/>
    </row>
    <row r="1238" spans="1:14">
      <c r="A1238" s="213" t="str">
        <f>name!E$9</f>
        <v>Caring, leisure and other service occupations</v>
      </c>
      <c r="B1238" s="278">
        <v>32.208028564159754</v>
      </c>
      <c r="C1238" s="278">
        <v>19.819784030223051</v>
      </c>
      <c r="D1238" s="278">
        <f t="shared" si="448"/>
        <v>52.027812594382809</v>
      </c>
      <c r="E1238" s="279"/>
      <c r="F1238" s="278">
        <v>26.848120609059333</v>
      </c>
      <c r="G1238" s="278">
        <v>19.000220430088135</v>
      </c>
      <c r="H1238" s="278">
        <f t="shared" si="449"/>
        <v>45.848341039147471</v>
      </c>
      <c r="I1238" s="279"/>
      <c r="J1238" s="278">
        <v>23.353145138329811</v>
      </c>
      <c r="K1238" s="278">
        <v>25.341842317606257</v>
      </c>
      <c r="L1238" s="278">
        <f t="shared" si="450"/>
        <v>48.694987455936072</v>
      </c>
      <c r="M1238" s="212"/>
      <c r="N1238" s="212"/>
    </row>
    <row r="1239" spans="1:14">
      <c r="A1239" s="213" t="str">
        <f>name!E$10</f>
        <v>Sales and customer service occupations</v>
      </c>
      <c r="B1239" s="278">
        <v>14.326512631534168</v>
      </c>
      <c r="C1239" s="278">
        <v>14.006095452495984</v>
      </c>
      <c r="D1239" s="278">
        <f t="shared" si="448"/>
        <v>28.332608084030152</v>
      </c>
      <c r="E1239" s="279"/>
      <c r="F1239" s="278">
        <v>13.446322638053227</v>
      </c>
      <c r="G1239" s="278">
        <v>13.653808665645709</v>
      </c>
      <c r="H1239" s="278">
        <f t="shared" si="449"/>
        <v>27.100131303698937</v>
      </c>
      <c r="I1239" s="279"/>
      <c r="J1239" s="278">
        <v>16.020216058710009</v>
      </c>
      <c r="K1239" s="278">
        <v>19.08388720874439</v>
      </c>
      <c r="L1239" s="278">
        <f t="shared" si="450"/>
        <v>35.104103267454398</v>
      </c>
      <c r="M1239" s="212"/>
      <c r="N1239" s="212"/>
    </row>
    <row r="1240" spans="1:14">
      <c r="A1240" s="213" t="str">
        <f>name!E$11</f>
        <v>Process, plant and machine operatives</v>
      </c>
      <c r="B1240" s="278">
        <v>0.69540910343468298</v>
      </c>
      <c r="C1240" s="278">
        <v>4.60734447870691</v>
      </c>
      <c r="D1240" s="278">
        <f t="shared" si="448"/>
        <v>5.3027535821415928</v>
      </c>
      <c r="E1240" s="279"/>
      <c r="F1240" s="278">
        <v>0.56028166623578823</v>
      </c>
      <c r="G1240" s="278">
        <v>4.2150794426362026</v>
      </c>
      <c r="H1240" s="278">
        <f t="shared" si="449"/>
        <v>4.7753611088719907</v>
      </c>
      <c r="I1240" s="279"/>
      <c r="J1240" s="278">
        <v>1.086614732765975</v>
      </c>
      <c r="K1240" s="278">
        <v>4.3309742824717752</v>
      </c>
      <c r="L1240" s="278">
        <f t="shared" si="450"/>
        <v>5.4175890152377502</v>
      </c>
      <c r="M1240" s="212"/>
      <c r="N1240" s="212"/>
    </row>
    <row r="1241" spans="1:14">
      <c r="A1241" s="213" t="str">
        <f>name!E$12</f>
        <v>Elementary occupations</v>
      </c>
      <c r="B1241" s="278">
        <v>25.28515104530895</v>
      </c>
      <c r="C1241" s="278">
        <v>28.889226401076243</v>
      </c>
      <c r="D1241" s="278">
        <f t="shared" si="448"/>
        <v>54.174377446385193</v>
      </c>
      <c r="E1241" s="279"/>
      <c r="F1241" s="278">
        <v>19.834891323278281</v>
      </c>
      <c r="G1241" s="278">
        <v>23.306327472506265</v>
      </c>
      <c r="H1241" s="278">
        <f t="shared" si="449"/>
        <v>43.141218795784546</v>
      </c>
      <c r="I1241" s="279"/>
      <c r="J1241" s="278">
        <v>15.899469249525845</v>
      </c>
      <c r="K1241" s="278">
        <v>21.101584070095583</v>
      </c>
      <c r="L1241" s="278">
        <f t="shared" si="450"/>
        <v>37.001053319621427</v>
      </c>
      <c r="M1241" s="212"/>
      <c r="N1241" s="212"/>
    </row>
    <row r="1242" spans="1:14">
      <c r="A1242" s="213"/>
      <c r="B1242" s="278"/>
      <c r="C1242" s="278"/>
      <c r="D1242" s="278"/>
      <c r="E1242" s="279"/>
      <c r="F1242" s="278"/>
      <c r="G1242" s="278"/>
      <c r="H1242" s="278"/>
      <c r="I1242" s="279"/>
      <c r="J1242" s="278"/>
      <c r="K1242" s="278"/>
      <c r="L1242" s="278"/>
      <c r="M1242" s="212"/>
      <c r="N1242" s="212"/>
    </row>
    <row r="1243" spans="1:14">
      <c r="A1243" s="220" t="s">
        <v>119</v>
      </c>
      <c r="B1243" s="282">
        <f>SUM(B1233:B1241)</f>
        <v>219.74000000036091</v>
      </c>
      <c r="C1243" s="282">
        <f t="shared" ref="C1243:D1243" si="451">SUM(C1233:C1241)</f>
        <v>207.79800000149152</v>
      </c>
      <c r="D1243" s="282">
        <f t="shared" si="451"/>
        <v>427.53800000185231</v>
      </c>
      <c r="E1243" s="282"/>
      <c r="F1243" s="282">
        <f t="shared" ref="F1243:H1243" si="452">SUM(F1233:F1241)</f>
        <v>215.90199999955502</v>
      </c>
      <c r="G1243" s="282">
        <f t="shared" si="452"/>
        <v>213.19700000142785</v>
      </c>
      <c r="H1243" s="282">
        <f t="shared" si="452"/>
        <v>429.09900000098293</v>
      </c>
      <c r="I1243" s="282"/>
      <c r="J1243" s="282">
        <f t="shared" ref="J1243:L1243" si="453">SUM(J1233:J1241)</f>
        <v>242.02000000277275</v>
      </c>
      <c r="K1243" s="282">
        <f t="shared" si="453"/>
        <v>266.6340000047154</v>
      </c>
      <c r="L1243" s="282">
        <f t="shared" si="453"/>
        <v>508.65400000748809</v>
      </c>
      <c r="M1243" s="212"/>
      <c r="N1243" s="212"/>
    </row>
    <row r="1244" spans="1:14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6"/>
      <c r="M1244" s="212"/>
      <c r="N1244" s="212"/>
    </row>
    <row r="1245" spans="1:14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32" t="s">
        <v>114</v>
      </c>
      <c r="M1245" s="212"/>
      <c r="N1245" s="212"/>
    </row>
    <row r="1246" spans="1:14" ht="12.95">
      <c r="A1246" s="218"/>
      <c r="B1246" s="226"/>
      <c r="C1246" s="226"/>
      <c r="D1246" s="226"/>
      <c r="E1246" s="226"/>
      <c r="F1246" s="226"/>
      <c r="G1246" s="226"/>
      <c r="H1246" s="226"/>
      <c r="I1246" s="226"/>
      <c r="J1246" s="226"/>
      <c r="K1246" s="226"/>
      <c r="L1246" s="212"/>
      <c r="M1246" s="212"/>
      <c r="N1246" s="212"/>
    </row>
    <row r="1247" spans="1:14" ht="12.95">
      <c r="A1247" s="217" t="str">
        <f>name!A76</f>
        <v>Membership organisations</v>
      </c>
      <c r="B1247" s="367">
        <f>B$6</f>
        <v>2015</v>
      </c>
      <c r="C1247" s="367"/>
      <c r="D1247" s="367"/>
      <c r="E1247" s="229"/>
      <c r="F1247" s="367">
        <f>F$6</f>
        <v>2020</v>
      </c>
      <c r="G1247" s="367"/>
      <c r="H1247" s="367"/>
      <c r="I1247" s="229"/>
      <c r="J1247" s="367">
        <f>J$6</f>
        <v>2035</v>
      </c>
      <c r="K1247" s="367"/>
      <c r="L1247" s="367"/>
      <c r="M1247" s="212"/>
      <c r="N1247" s="212"/>
    </row>
    <row r="1248" spans="1:14" ht="12.95">
      <c r="A1248" s="230"/>
      <c r="B1248" s="231" t="s">
        <v>173</v>
      </c>
      <c r="C1248" s="231" t="s">
        <v>174</v>
      </c>
      <c r="D1248" s="231" t="s">
        <v>119</v>
      </c>
      <c r="E1248" s="231"/>
      <c r="F1248" s="231" t="s">
        <v>173</v>
      </c>
      <c r="G1248" s="231" t="s">
        <v>174</v>
      </c>
      <c r="H1248" s="231" t="s">
        <v>119</v>
      </c>
      <c r="I1248" s="231"/>
      <c r="J1248" s="231" t="s">
        <v>173</v>
      </c>
      <c r="K1248" s="231" t="s">
        <v>174</v>
      </c>
      <c r="L1248" s="231" t="s">
        <v>119</v>
      </c>
      <c r="M1248" s="212"/>
      <c r="N1248" s="212"/>
    </row>
    <row r="1249" spans="1:14" ht="12.95">
      <c r="A1249" s="234"/>
      <c r="B1249" s="235"/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12"/>
      <c r="N1249" s="212"/>
    </row>
    <row r="1250" spans="1:14">
      <c r="A1250" s="213" t="str">
        <f>name!E$4</f>
        <v>Managers, directors and senior officials</v>
      </c>
      <c r="B1250" s="278">
        <v>19.825288965697339</v>
      </c>
      <c r="C1250" s="278">
        <v>12.733446555826529</v>
      </c>
      <c r="D1250" s="278">
        <f>SUM(B1250:C1250)</f>
        <v>32.558735521523872</v>
      </c>
      <c r="E1250" s="279"/>
      <c r="F1250" s="278">
        <v>24.271741177415969</v>
      </c>
      <c r="G1250" s="278">
        <v>9.9189167592251337</v>
      </c>
      <c r="H1250" s="278">
        <f>SUM(F1250:G1250)</f>
        <v>34.190657936641102</v>
      </c>
      <c r="I1250" s="279"/>
      <c r="J1250" s="278">
        <v>24.734031760192288</v>
      </c>
      <c r="K1250" s="278">
        <v>10.25124761676175</v>
      </c>
      <c r="L1250" s="278">
        <f>SUM(J1250:K1250)</f>
        <v>34.98527937695404</v>
      </c>
      <c r="M1250" s="212"/>
      <c r="N1250" s="212"/>
    </row>
    <row r="1251" spans="1:14">
      <c r="A1251" s="213" t="str">
        <f>name!E$5</f>
        <v>Professional occupations</v>
      </c>
      <c r="B1251" s="278">
        <v>68.535368105164736</v>
      </c>
      <c r="C1251" s="278">
        <v>60.277823372912025</v>
      </c>
      <c r="D1251" s="278">
        <f t="shared" ref="D1251:D1258" si="454">SUM(B1251:C1251)</f>
        <v>128.81319147807676</v>
      </c>
      <c r="E1251" s="279"/>
      <c r="F1251" s="278">
        <v>82.499132495761799</v>
      </c>
      <c r="G1251" s="278">
        <v>48.511160038654495</v>
      </c>
      <c r="H1251" s="278">
        <f t="shared" ref="H1251:H1258" si="455">SUM(F1251:G1251)</f>
        <v>131.01029253441629</v>
      </c>
      <c r="I1251" s="279"/>
      <c r="J1251" s="278">
        <v>85.607048632210109</v>
      </c>
      <c r="K1251" s="278">
        <v>57.480202334413349</v>
      </c>
      <c r="L1251" s="278">
        <f t="shared" ref="L1251:L1258" si="456">SUM(J1251:K1251)</f>
        <v>143.08725096662346</v>
      </c>
      <c r="M1251" s="212"/>
      <c r="N1251" s="212"/>
    </row>
    <row r="1252" spans="1:14">
      <c r="A1252" s="213" t="str">
        <f>name!E$6</f>
        <v>Associate professional occupations</v>
      </c>
      <c r="B1252" s="278">
        <v>42.217342430245623</v>
      </c>
      <c r="C1252" s="278">
        <v>17.640585874821781</v>
      </c>
      <c r="D1252" s="278">
        <f t="shared" si="454"/>
        <v>59.857928305067404</v>
      </c>
      <c r="E1252" s="279"/>
      <c r="F1252" s="278">
        <v>45.151816779402552</v>
      </c>
      <c r="G1252" s="278">
        <v>14.995601941587656</v>
      </c>
      <c r="H1252" s="278">
        <f t="shared" si="455"/>
        <v>60.14741872099021</v>
      </c>
      <c r="I1252" s="279"/>
      <c r="J1252" s="278">
        <v>47.421718030337523</v>
      </c>
      <c r="K1252" s="278">
        <v>15.706290763264573</v>
      </c>
      <c r="L1252" s="278">
        <f t="shared" si="456"/>
        <v>63.128008793602092</v>
      </c>
      <c r="M1252" s="212"/>
      <c r="N1252" s="212"/>
    </row>
    <row r="1253" spans="1:14">
      <c r="A1253" s="213" t="str">
        <f>name!E$7</f>
        <v>Administrative and secretarial occupations</v>
      </c>
      <c r="B1253" s="278">
        <v>53.612524979486814</v>
      </c>
      <c r="C1253" s="278">
        <v>7.4470825726825591</v>
      </c>
      <c r="D1253" s="278">
        <f t="shared" si="454"/>
        <v>61.059607552169375</v>
      </c>
      <c r="E1253" s="279"/>
      <c r="F1253" s="278">
        <v>46.293645764864436</v>
      </c>
      <c r="G1253" s="278">
        <v>6.1265058614287344</v>
      </c>
      <c r="H1253" s="278">
        <f t="shared" si="455"/>
        <v>52.420151626293169</v>
      </c>
      <c r="I1253" s="279"/>
      <c r="J1253" s="278">
        <v>38.484127079682672</v>
      </c>
      <c r="K1253" s="278">
        <v>5.9644124957556874</v>
      </c>
      <c r="L1253" s="278">
        <f t="shared" si="456"/>
        <v>44.44853957543836</v>
      </c>
      <c r="M1253" s="212"/>
      <c r="N1253" s="212"/>
    </row>
    <row r="1254" spans="1:14">
      <c r="A1254" s="213" t="str">
        <f>name!E$8</f>
        <v>Skilled trades occupations</v>
      </c>
      <c r="B1254" s="278">
        <v>4.1723773433940252</v>
      </c>
      <c r="C1254" s="278">
        <v>7.1549825353143408</v>
      </c>
      <c r="D1254" s="278">
        <f t="shared" si="454"/>
        <v>11.327359878708366</v>
      </c>
      <c r="E1254" s="279"/>
      <c r="F1254" s="278">
        <v>4.2501926204383977</v>
      </c>
      <c r="G1254" s="278">
        <v>3.259330681330761</v>
      </c>
      <c r="H1254" s="278">
        <f t="shared" si="455"/>
        <v>7.5095233017691587</v>
      </c>
      <c r="I1254" s="279"/>
      <c r="J1254" s="278">
        <v>5.9053210915085259</v>
      </c>
      <c r="K1254" s="278">
        <v>3.5279595486902799</v>
      </c>
      <c r="L1254" s="278">
        <f t="shared" si="456"/>
        <v>9.4332806401988059</v>
      </c>
      <c r="M1254" s="212"/>
      <c r="N1254" s="212"/>
    </row>
    <row r="1255" spans="1:14">
      <c r="A1255" s="213" t="str">
        <f>name!E$9</f>
        <v>Caring, leisure and other service occupations</v>
      </c>
      <c r="B1255" s="278">
        <v>23.233038320871412</v>
      </c>
      <c r="C1255" s="278">
        <v>3.6660685280178837</v>
      </c>
      <c r="D1255" s="278">
        <f t="shared" si="454"/>
        <v>26.899106848889296</v>
      </c>
      <c r="E1255" s="279"/>
      <c r="F1255" s="278">
        <v>21.295371789456372</v>
      </c>
      <c r="G1255" s="278">
        <v>2.663422222189316</v>
      </c>
      <c r="H1255" s="278">
        <f t="shared" si="455"/>
        <v>23.958794011645686</v>
      </c>
      <c r="I1255" s="279"/>
      <c r="J1255" s="278">
        <v>19.505877117313336</v>
      </c>
      <c r="K1255" s="278">
        <v>3.3576204145889776</v>
      </c>
      <c r="L1255" s="278">
        <f t="shared" si="456"/>
        <v>22.863497531902315</v>
      </c>
      <c r="M1255" s="212"/>
      <c r="N1255" s="212"/>
    </row>
    <row r="1256" spans="1:14">
      <c r="A1256" s="213" t="str">
        <f>name!E$10</f>
        <v>Sales and customer service occupations</v>
      </c>
      <c r="B1256" s="278">
        <v>6.8379124127575013</v>
      </c>
      <c r="C1256" s="278">
        <v>1.9491911688269492</v>
      </c>
      <c r="D1256" s="278">
        <f t="shared" si="454"/>
        <v>8.78710358158445</v>
      </c>
      <c r="E1256" s="279"/>
      <c r="F1256" s="278">
        <v>5.9834975595734701</v>
      </c>
      <c r="G1256" s="278">
        <v>1.3062628707949198</v>
      </c>
      <c r="H1256" s="278">
        <f t="shared" si="455"/>
        <v>7.2897604303683901</v>
      </c>
      <c r="I1256" s="279"/>
      <c r="J1256" s="278">
        <v>5.7707890398988582</v>
      </c>
      <c r="K1256" s="278">
        <v>1.5518931194987318</v>
      </c>
      <c r="L1256" s="278">
        <f t="shared" si="456"/>
        <v>7.3226821593975897</v>
      </c>
      <c r="M1256" s="212"/>
      <c r="N1256" s="212"/>
    </row>
    <row r="1257" spans="1:14">
      <c r="A1257" s="213" t="str">
        <f>name!E$11</f>
        <v>Process, plant and machine operatives</v>
      </c>
      <c r="B1257" s="278">
        <v>3.8436547675441664</v>
      </c>
      <c r="C1257" s="278">
        <v>1.8947307979545958</v>
      </c>
      <c r="D1257" s="278">
        <f t="shared" si="454"/>
        <v>5.7383855654987617</v>
      </c>
      <c r="E1257" s="279"/>
      <c r="F1257" s="278">
        <v>3.656698598113564</v>
      </c>
      <c r="G1257" s="278">
        <v>1.2686898938508502</v>
      </c>
      <c r="H1257" s="278">
        <f t="shared" si="455"/>
        <v>4.925388491964414</v>
      </c>
      <c r="I1257" s="279"/>
      <c r="J1257" s="278">
        <v>5.0405626065015463</v>
      </c>
      <c r="K1257" s="278">
        <v>1.0315920594928729</v>
      </c>
      <c r="L1257" s="278">
        <f t="shared" si="456"/>
        <v>6.072154665994419</v>
      </c>
      <c r="M1257" s="212"/>
      <c r="N1257" s="212"/>
    </row>
    <row r="1258" spans="1:14">
      <c r="A1258" s="213" t="str">
        <f>name!E$12</f>
        <v>Elementary occupations</v>
      </c>
      <c r="B1258" s="278">
        <v>24.293492673578861</v>
      </c>
      <c r="C1258" s="278">
        <v>4.3740885926917947</v>
      </c>
      <c r="D1258" s="278">
        <f t="shared" si="454"/>
        <v>28.667581266270656</v>
      </c>
      <c r="E1258" s="279"/>
      <c r="F1258" s="278">
        <v>17.308903213226802</v>
      </c>
      <c r="G1258" s="278">
        <v>2.737109731326977</v>
      </c>
      <c r="H1258" s="278">
        <f t="shared" si="455"/>
        <v>20.04601294455378</v>
      </c>
      <c r="I1258" s="279"/>
      <c r="J1258" s="278">
        <v>8.4635246451988042</v>
      </c>
      <c r="K1258" s="278">
        <v>1.6737816486568886</v>
      </c>
      <c r="L1258" s="278">
        <f t="shared" si="456"/>
        <v>10.137306293855692</v>
      </c>
      <c r="M1258" s="212"/>
      <c r="N1258" s="212"/>
    </row>
    <row r="1259" spans="1:14">
      <c r="A1259" s="213"/>
      <c r="B1259" s="278"/>
      <c r="C1259" s="278"/>
      <c r="D1259" s="278"/>
      <c r="E1259" s="279"/>
      <c r="F1259" s="278"/>
      <c r="G1259" s="278"/>
      <c r="H1259" s="278"/>
      <c r="I1259" s="279"/>
      <c r="J1259" s="278"/>
      <c r="K1259" s="278"/>
      <c r="L1259" s="278"/>
      <c r="M1259" s="212"/>
      <c r="N1259" s="212"/>
    </row>
    <row r="1260" spans="1:14">
      <c r="A1260" s="220" t="s">
        <v>119</v>
      </c>
      <c r="B1260" s="282">
        <f>SUM(B1250:B1258)</f>
        <v>246.57099999874046</v>
      </c>
      <c r="C1260" s="282">
        <f t="shared" ref="C1260:D1260" si="457">SUM(C1250:C1258)</f>
        <v>117.13799999904846</v>
      </c>
      <c r="D1260" s="282">
        <f t="shared" si="457"/>
        <v>363.70899999778896</v>
      </c>
      <c r="E1260" s="282"/>
      <c r="F1260" s="282">
        <f t="shared" ref="F1260:H1260" si="458">SUM(F1250:F1258)</f>
        <v>250.71099999825333</v>
      </c>
      <c r="G1260" s="282">
        <f t="shared" si="458"/>
        <v>90.787000000388858</v>
      </c>
      <c r="H1260" s="282">
        <f t="shared" si="458"/>
        <v>341.49799999864229</v>
      </c>
      <c r="I1260" s="282"/>
      <c r="J1260" s="282">
        <f t="shared" ref="J1260:L1260" si="459">SUM(J1250:J1258)</f>
        <v>240.93300000284367</v>
      </c>
      <c r="K1260" s="282">
        <f t="shared" si="459"/>
        <v>100.5450000011231</v>
      </c>
      <c r="L1260" s="282">
        <f t="shared" si="459"/>
        <v>341.47800000396683</v>
      </c>
      <c r="M1260" s="212"/>
      <c r="N1260" s="212"/>
    </row>
    <row r="1261" spans="1:14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6"/>
      <c r="M1261" s="212"/>
      <c r="N1261" s="212"/>
    </row>
    <row r="1262" spans="1:14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32" t="s">
        <v>114</v>
      </c>
      <c r="M1262" s="212"/>
      <c r="N1262" s="212"/>
    </row>
    <row r="1263" spans="1:14" ht="12.95">
      <c r="A1263" s="218"/>
      <c r="B1263" s="226"/>
      <c r="C1263" s="226"/>
      <c r="D1263" s="226"/>
      <c r="E1263" s="226"/>
      <c r="F1263" s="226"/>
      <c r="G1263" s="226"/>
      <c r="H1263" s="226"/>
      <c r="I1263" s="226"/>
      <c r="J1263" s="226"/>
      <c r="K1263" s="226"/>
      <c r="L1263" s="212"/>
      <c r="M1263" s="212"/>
      <c r="N1263" s="212"/>
    </row>
    <row r="1264" spans="1:14" ht="12.95">
      <c r="A1264" s="217" t="str">
        <f>name!A77</f>
        <v>Repair of goods</v>
      </c>
      <c r="B1264" s="367">
        <f>B$6</f>
        <v>2015</v>
      </c>
      <c r="C1264" s="367"/>
      <c r="D1264" s="367"/>
      <c r="E1264" s="229"/>
      <c r="F1264" s="367">
        <f>F$6</f>
        <v>2020</v>
      </c>
      <c r="G1264" s="367"/>
      <c r="H1264" s="367"/>
      <c r="I1264" s="229"/>
      <c r="J1264" s="367">
        <f>J$6</f>
        <v>2035</v>
      </c>
      <c r="K1264" s="367"/>
      <c r="L1264" s="367"/>
      <c r="M1264" s="212"/>
      <c r="N1264" s="212"/>
    </row>
    <row r="1265" spans="1:14" ht="12.95">
      <c r="A1265" s="230"/>
      <c r="B1265" s="231" t="s">
        <v>173</v>
      </c>
      <c r="C1265" s="231" t="s">
        <v>174</v>
      </c>
      <c r="D1265" s="231" t="s">
        <v>119</v>
      </c>
      <c r="E1265" s="231"/>
      <c r="F1265" s="231" t="s">
        <v>173</v>
      </c>
      <c r="G1265" s="231" t="s">
        <v>174</v>
      </c>
      <c r="H1265" s="231" t="s">
        <v>119</v>
      </c>
      <c r="I1265" s="231"/>
      <c r="J1265" s="231" t="s">
        <v>173</v>
      </c>
      <c r="K1265" s="231" t="s">
        <v>174</v>
      </c>
      <c r="L1265" s="231" t="s">
        <v>119</v>
      </c>
      <c r="M1265" s="212"/>
      <c r="N1265" s="212"/>
    </row>
    <row r="1266" spans="1:14" ht="12.95">
      <c r="A1266" s="234"/>
      <c r="B1266" s="235"/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12"/>
      <c r="N1266" s="212"/>
    </row>
    <row r="1267" spans="1:14">
      <c r="A1267" s="213" t="str">
        <f>name!E$4</f>
        <v>Managers, directors and senior officials</v>
      </c>
      <c r="B1267" s="278">
        <v>4.2765009608513358</v>
      </c>
      <c r="C1267" s="278">
        <v>9.3329371911992638</v>
      </c>
      <c r="D1267" s="278">
        <f>SUM(B1267:C1267)</f>
        <v>13.6094381520506</v>
      </c>
      <c r="E1267" s="279"/>
      <c r="F1267" s="278">
        <v>6.2762521112865759</v>
      </c>
      <c r="G1267" s="278">
        <v>13.309625409456473</v>
      </c>
      <c r="H1267" s="278">
        <f>SUM(F1267:G1267)</f>
        <v>19.585877520743047</v>
      </c>
      <c r="I1267" s="279"/>
      <c r="J1267" s="278">
        <v>5.8574540668449773</v>
      </c>
      <c r="K1267" s="278">
        <v>14.844116652816671</v>
      </c>
      <c r="L1267" s="278">
        <f>SUM(J1267:K1267)</f>
        <v>20.70157071966165</v>
      </c>
      <c r="M1267" s="212"/>
      <c r="N1267" s="212"/>
    </row>
    <row r="1268" spans="1:14">
      <c r="A1268" s="213" t="str">
        <f>name!E$5</f>
        <v>Professional occupations</v>
      </c>
      <c r="B1268" s="278">
        <v>2.0664170949034677</v>
      </c>
      <c r="C1268" s="278">
        <v>9.9700240970466254</v>
      </c>
      <c r="D1268" s="278">
        <f t="shared" ref="D1268:D1275" si="460">SUM(B1268:C1268)</f>
        <v>12.036441191950093</v>
      </c>
      <c r="E1268" s="279"/>
      <c r="F1268" s="278">
        <v>3.0038048475028498</v>
      </c>
      <c r="G1268" s="278">
        <v>12.348096460680713</v>
      </c>
      <c r="H1268" s="278">
        <f t="shared" ref="H1268:H1275" si="461">SUM(F1268:G1268)</f>
        <v>15.351901308183564</v>
      </c>
      <c r="I1268" s="279"/>
      <c r="J1268" s="278">
        <v>3.0366205503613193</v>
      </c>
      <c r="K1268" s="278">
        <v>15.000264772584785</v>
      </c>
      <c r="L1268" s="278">
        <f t="shared" ref="L1268:L1275" si="462">SUM(J1268:K1268)</f>
        <v>18.036885322946105</v>
      </c>
      <c r="M1268" s="212"/>
      <c r="N1268" s="212"/>
    </row>
    <row r="1269" spans="1:14">
      <c r="A1269" s="213" t="str">
        <f>name!E$6</f>
        <v>Associate professional occupations</v>
      </c>
      <c r="B1269" s="278">
        <v>1.9168655410167572</v>
      </c>
      <c r="C1269" s="278">
        <v>4.4544401992052407</v>
      </c>
      <c r="D1269" s="278">
        <f t="shared" si="460"/>
        <v>6.3713057402219979</v>
      </c>
      <c r="E1269" s="279"/>
      <c r="F1269" s="278">
        <v>2.4325674585637054</v>
      </c>
      <c r="G1269" s="278">
        <v>5.3718612844772764</v>
      </c>
      <c r="H1269" s="278">
        <f t="shared" si="461"/>
        <v>7.8044287430409813</v>
      </c>
      <c r="I1269" s="279"/>
      <c r="J1269" s="278">
        <v>2.3100219970062676</v>
      </c>
      <c r="K1269" s="278">
        <v>5.6736473037154216</v>
      </c>
      <c r="L1269" s="278">
        <f t="shared" si="462"/>
        <v>7.9836693007216892</v>
      </c>
      <c r="M1269" s="212"/>
      <c r="N1269" s="212"/>
    </row>
    <row r="1270" spans="1:14">
      <c r="A1270" s="213" t="str">
        <f>name!E$7</f>
        <v>Administrative and secretarial occupations</v>
      </c>
      <c r="B1270" s="278">
        <v>1.4184826822554459</v>
      </c>
      <c r="C1270" s="278">
        <v>1.4581598256659936</v>
      </c>
      <c r="D1270" s="278">
        <f t="shared" si="460"/>
        <v>2.8766425079214395</v>
      </c>
      <c r="E1270" s="279"/>
      <c r="F1270" s="278">
        <v>1.5504131975577704</v>
      </c>
      <c r="G1270" s="278">
        <v>1.6410052257872179</v>
      </c>
      <c r="H1270" s="278">
        <f t="shared" si="461"/>
        <v>3.191418423344988</v>
      </c>
      <c r="I1270" s="279"/>
      <c r="J1270" s="278">
        <v>2.270419180507814</v>
      </c>
      <c r="K1270" s="278">
        <v>1.886889908170859</v>
      </c>
      <c r="L1270" s="278">
        <f t="shared" si="462"/>
        <v>4.157309088678673</v>
      </c>
      <c r="M1270" s="212"/>
      <c r="N1270" s="212"/>
    </row>
    <row r="1271" spans="1:14">
      <c r="A1271" s="213" t="str">
        <f>name!E$8</f>
        <v>Skilled trades occupations</v>
      </c>
      <c r="B1271" s="278">
        <v>1.5096731414297726</v>
      </c>
      <c r="C1271" s="278">
        <v>4.3812270733826182</v>
      </c>
      <c r="D1271" s="278">
        <f t="shared" si="460"/>
        <v>5.8909002148123903</v>
      </c>
      <c r="E1271" s="279"/>
      <c r="F1271" s="278">
        <v>1.8807897436202992</v>
      </c>
      <c r="G1271" s="278">
        <v>5.4240150721066271</v>
      </c>
      <c r="H1271" s="278">
        <f t="shared" si="461"/>
        <v>7.3048048157269267</v>
      </c>
      <c r="I1271" s="279"/>
      <c r="J1271" s="278">
        <v>1.8726660462450828</v>
      </c>
      <c r="K1271" s="278">
        <v>6.9495552217797494</v>
      </c>
      <c r="L1271" s="278">
        <f t="shared" si="462"/>
        <v>8.8222212680248315</v>
      </c>
      <c r="M1271" s="212"/>
      <c r="N1271" s="212"/>
    </row>
    <row r="1272" spans="1:14">
      <c r="A1272" s="213" t="str">
        <f>name!E$9</f>
        <v>Caring, leisure and other service occupations</v>
      </c>
      <c r="B1272" s="278">
        <v>0.34692696007596457</v>
      </c>
      <c r="C1272" s="278">
        <v>0.28520049165102151</v>
      </c>
      <c r="D1272" s="278">
        <f t="shared" si="460"/>
        <v>0.63212745172698614</v>
      </c>
      <c r="E1272" s="279"/>
      <c r="F1272" s="278">
        <v>0.50592847398484797</v>
      </c>
      <c r="G1272" s="278">
        <v>0.38537255762172101</v>
      </c>
      <c r="H1272" s="278">
        <f t="shared" si="461"/>
        <v>0.89130103160656904</v>
      </c>
      <c r="I1272" s="279"/>
      <c r="J1272" s="278">
        <v>0.73777261159675722</v>
      </c>
      <c r="K1272" s="278">
        <v>0.54652117161931679</v>
      </c>
      <c r="L1272" s="278">
        <f t="shared" si="462"/>
        <v>1.2842937832160741</v>
      </c>
      <c r="M1272" s="212"/>
      <c r="N1272" s="212"/>
    </row>
    <row r="1273" spans="1:14">
      <c r="A1273" s="213" t="str">
        <f>name!E$10</f>
        <v>Sales and customer service occupations</v>
      </c>
      <c r="B1273" s="278">
        <v>6.1269339069446636</v>
      </c>
      <c r="C1273" s="278">
        <v>7.4548526084596736</v>
      </c>
      <c r="D1273" s="278">
        <f t="shared" si="460"/>
        <v>13.581786515404337</v>
      </c>
      <c r="E1273" s="279"/>
      <c r="F1273" s="278">
        <v>6.0258342330863348</v>
      </c>
      <c r="G1273" s="278">
        <v>8.3374062306667973</v>
      </c>
      <c r="H1273" s="278">
        <f t="shared" si="461"/>
        <v>14.363240463753133</v>
      </c>
      <c r="I1273" s="279"/>
      <c r="J1273" s="278">
        <v>4.2410245302451353</v>
      </c>
      <c r="K1273" s="278">
        <v>6.83392244085758</v>
      </c>
      <c r="L1273" s="278">
        <f t="shared" si="462"/>
        <v>11.074946971102715</v>
      </c>
      <c r="M1273" s="212"/>
      <c r="N1273" s="212"/>
    </row>
    <row r="1274" spans="1:14">
      <c r="A1274" s="213" t="str">
        <f>name!E$11</f>
        <v>Process, plant and machine operatives</v>
      </c>
      <c r="B1274" s="278">
        <v>0.54825215525191595</v>
      </c>
      <c r="C1274" s="278">
        <v>2.012576409504097</v>
      </c>
      <c r="D1274" s="278">
        <f t="shared" si="460"/>
        <v>2.5608285647560129</v>
      </c>
      <c r="E1274" s="279"/>
      <c r="F1274" s="278">
        <v>0.64618628366682851</v>
      </c>
      <c r="G1274" s="278">
        <v>1.7441851823359453</v>
      </c>
      <c r="H1274" s="278">
        <f t="shared" si="461"/>
        <v>2.3903714660027737</v>
      </c>
      <c r="I1274" s="279"/>
      <c r="J1274" s="278">
        <v>0.98864587146624716</v>
      </c>
      <c r="K1274" s="278">
        <v>1.3442437468571036</v>
      </c>
      <c r="L1274" s="278">
        <f t="shared" si="462"/>
        <v>2.3328896183233505</v>
      </c>
      <c r="M1274" s="212"/>
      <c r="N1274" s="212"/>
    </row>
    <row r="1275" spans="1:14">
      <c r="A1275" s="213" t="str">
        <f>name!E$12</f>
        <v>Elementary occupations</v>
      </c>
      <c r="B1275" s="278">
        <v>0.95294755750477589</v>
      </c>
      <c r="C1275" s="278">
        <v>3.2915821037523565</v>
      </c>
      <c r="D1275" s="278">
        <f t="shared" si="460"/>
        <v>4.2445296612571326</v>
      </c>
      <c r="E1275" s="279"/>
      <c r="F1275" s="278">
        <v>0.85822365063049999</v>
      </c>
      <c r="G1275" s="278">
        <v>2.8064325767392186</v>
      </c>
      <c r="H1275" s="278">
        <f t="shared" si="461"/>
        <v>3.6646562273697185</v>
      </c>
      <c r="I1275" s="279"/>
      <c r="J1275" s="278">
        <v>1.0963751463134308</v>
      </c>
      <c r="K1275" s="278">
        <v>2.8428387817355039</v>
      </c>
      <c r="L1275" s="278">
        <f t="shared" si="462"/>
        <v>3.9392139280489347</v>
      </c>
      <c r="M1275" s="212"/>
      <c r="N1275" s="212"/>
    </row>
    <row r="1276" spans="1:14">
      <c r="A1276" s="213"/>
      <c r="B1276" s="278"/>
      <c r="C1276" s="278"/>
      <c r="D1276" s="278"/>
      <c r="E1276" s="279"/>
      <c r="F1276" s="278"/>
      <c r="G1276" s="278"/>
      <c r="H1276" s="278"/>
      <c r="I1276" s="279"/>
      <c r="J1276" s="278"/>
      <c r="K1276" s="278"/>
      <c r="L1276" s="278"/>
      <c r="M1276" s="212"/>
      <c r="N1276" s="212"/>
    </row>
    <row r="1277" spans="1:14">
      <c r="A1277" s="220" t="s">
        <v>119</v>
      </c>
      <c r="B1277" s="282">
        <f>SUM(B1267:B1275)</f>
        <v>19.163000000234099</v>
      </c>
      <c r="C1277" s="282">
        <f t="shared" ref="C1277:D1277" si="463">SUM(C1267:C1275)</f>
        <v>42.640999999866892</v>
      </c>
      <c r="D1277" s="282">
        <f t="shared" si="463"/>
        <v>61.804000000100991</v>
      </c>
      <c r="E1277" s="282"/>
      <c r="F1277" s="282">
        <f t="shared" ref="F1277:H1277" si="464">SUM(F1267:F1275)</f>
        <v>23.179999999899714</v>
      </c>
      <c r="G1277" s="282">
        <f t="shared" si="464"/>
        <v>51.367999999871998</v>
      </c>
      <c r="H1277" s="282">
        <f t="shared" si="464"/>
        <v>74.547999999771704</v>
      </c>
      <c r="I1277" s="282"/>
      <c r="J1277" s="282">
        <f t="shared" ref="J1277:L1277" si="465">SUM(J1267:J1275)</f>
        <v>22.41100000058703</v>
      </c>
      <c r="K1277" s="282">
        <f t="shared" si="465"/>
        <v>55.922000000136983</v>
      </c>
      <c r="L1277" s="282">
        <f t="shared" si="465"/>
        <v>78.333000000724013</v>
      </c>
      <c r="M1277" s="212"/>
      <c r="N1277" s="212"/>
    </row>
    <row r="1278" spans="1:14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6"/>
      <c r="M1278" s="212"/>
      <c r="N1278" s="212"/>
    </row>
    <row r="1279" spans="1:14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32" t="s">
        <v>114</v>
      </c>
      <c r="M1279" s="212"/>
      <c r="N1279" s="212"/>
    </row>
    <row r="1280" spans="1:14" ht="12.95">
      <c r="A1280" s="218"/>
      <c r="B1280" s="226"/>
      <c r="C1280" s="226"/>
      <c r="D1280" s="226"/>
      <c r="E1280" s="226"/>
      <c r="F1280" s="226"/>
      <c r="G1280" s="226"/>
      <c r="H1280" s="226"/>
      <c r="I1280" s="226"/>
      <c r="J1280" s="226"/>
      <c r="K1280" s="226"/>
      <c r="L1280" s="212"/>
      <c r="M1280" s="212"/>
      <c r="N1280" s="212"/>
    </row>
    <row r="1281" spans="1:14" ht="12.95">
      <c r="A1281" s="217" t="str">
        <f>name!A78</f>
        <v>Other personal service</v>
      </c>
      <c r="B1281" s="367">
        <f>B$6</f>
        <v>2015</v>
      </c>
      <c r="C1281" s="367"/>
      <c r="D1281" s="367"/>
      <c r="E1281" s="229"/>
      <c r="F1281" s="367">
        <f>F$6</f>
        <v>2020</v>
      </c>
      <c r="G1281" s="367"/>
      <c r="H1281" s="367"/>
      <c r="I1281" s="229"/>
      <c r="J1281" s="367">
        <f>J$6</f>
        <v>2035</v>
      </c>
      <c r="K1281" s="367"/>
      <c r="L1281" s="367"/>
      <c r="M1281" s="212"/>
      <c r="N1281" s="212"/>
    </row>
    <row r="1282" spans="1:14" ht="12.95">
      <c r="A1282" s="230"/>
      <c r="B1282" s="231" t="s">
        <v>173</v>
      </c>
      <c r="C1282" s="231" t="s">
        <v>174</v>
      </c>
      <c r="D1282" s="231" t="s">
        <v>119</v>
      </c>
      <c r="E1282" s="231"/>
      <c r="F1282" s="231" t="s">
        <v>173</v>
      </c>
      <c r="G1282" s="231" t="s">
        <v>174</v>
      </c>
      <c r="H1282" s="231" t="s">
        <v>119</v>
      </c>
      <c r="I1282" s="231"/>
      <c r="J1282" s="231" t="s">
        <v>173</v>
      </c>
      <c r="K1282" s="231" t="s">
        <v>174</v>
      </c>
      <c r="L1282" s="231" t="s">
        <v>119</v>
      </c>
      <c r="M1282" s="212"/>
      <c r="N1282" s="212"/>
    </row>
    <row r="1283" spans="1:14" ht="12.95">
      <c r="A1283" s="234"/>
      <c r="B1283" s="235"/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12"/>
      <c r="N1283" s="212"/>
    </row>
    <row r="1284" spans="1:14">
      <c r="A1284" s="213" t="str">
        <f>name!E$4</f>
        <v>Managers, directors and senior officials</v>
      </c>
      <c r="B1284" s="278">
        <v>14.554383367877675</v>
      </c>
      <c r="C1284" s="278">
        <v>21.289195859876948</v>
      </c>
      <c r="D1284" s="278">
        <f>SUM(B1284:C1284)</f>
        <v>35.843579227754624</v>
      </c>
      <c r="E1284" s="279"/>
      <c r="F1284" s="278">
        <v>20.547956104705534</v>
      </c>
      <c r="G1284" s="278">
        <v>19.622200102265804</v>
      </c>
      <c r="H1284" s="278">
        <f>SUM(F1284:G1284)</f>
        <v>40.170156206971342</v>
      </c>
      <c r="I1284" s="279"/>
      <c r="J1284" s="278">
        <v>22.619810153406949</v>
      </c>
      <c r="K1284" s="278">
        <v>22.127311143292623</v>
      </c>
      <c r="L1284" s="278">
        <f>SUM(J1284:K1284)</f>
        <v>44.747121296699575</v>
      </c>
      <c r="M1284" s="212"/>
      <c r="N1284" s="212"/>
    </row>
    <row r="1285" spans="1:14">
      <c r="A1285" s="213" t="str">
        <f>name!E$5</f>
        <v>Professional occupations</v>
      </c>
      <c r="B1285" s="278">
        <v>14.085147527453525</v>
      </c>
      <c r="C1285" s="278">
        <v>18.377065684745432</v>
      </c>
      <c r="D1285" s="278">
        <f t="shared" ref="D1285:D1292" si="466">SUM(B1285:C1285)</f>
        <v>32.462213212198961</v>
      </c>
      <c r="E1285" s="279"/>
      <c r="F1285" s="278">
        <v>21.749266932410844</v>
      </c>
      <c r="G1285" s="278">
        <v>20.259148268645724</v>
      </c>
      <c r="H1285" s="278">
        <f t="shared" ref="H1285:H1292" si="467">SUM(F1285:G1285)</f>
        <v>42.008415201056565</v>
      </c>
      <c r="I1285" s="279"/>
      <c r="J1285" s="278">
        <v>24.48691003438141</v>
      </c>
      <c r="K1285" s="278">
        <v>25.486674051571715</v>
      </c>
      <c r="L1285" s="278">
        <f t="shared" ref="L1285:L1292" si="468">SUM(J1285:K1285)</f>
        <v>49.973584085953121</v>
      </c>
      <c r="M1285" s="212"/>
      <c r="N1285" s="212"/>
    </row>
    <row r="1286" spans="1:14">
      <c r="A1286" s="213" t="str">
        <f>name!E$6</f>
        <v>Associate professional occupations</v>
      </c>
      <c r="B1286" s="278">
        <v>19.159308606063053</v>
      </c>
      <c r="C1286" s="278">
        <v>20.557624264025023</v>
      </c>
      <c r="D1286" s="278">
        <f t="shared" si="466"/>
        <v>39.716932870088073</v>
      </c>
      <c r="E1286" s="279"/>
      <c r="F1286" s="278">
        <v>26.730185108927486</v>
      </c>
      <c r="G1286" s="278">
        <v>21.29651560364842</v>
      </c>
      <c r="H1286" s="278">
        <f t="shared" si="467"/>
        <v>48.026700712575902</v>
      </c>
      <c r="I1286" s="279"/>
      <c r="J1286" s="278">
        <v>27.457686078419719</v>
      </c>
      <c r="K1286" s="278">
        <v>22.007849891282127</v>
      </c>
      <c r="L1286" s="278">
        <f t="shared" si="468"/>
        <v>49.465535969701847</v>
      </c>
      <c r="M1286" s="212"/>
      <c r="N1286" s="212"/>
    </row>
    <row r="1287" spans="1:14">
      <c r="A1287" s="213" t="str">
        <f>name!E$7</f>
        <v>Administrative and secretarial occupations</v>
      </c>
      <c r="B1287" s="278">
        <v>16.129347682586747</v>
      </c>
      <c r="C1287" s="278">
        <v>5.2017637029450086</v>
      </c>
      <c r="D1287" s="278">
        <f t="shared" si="466"/>
        <v>21.331111385531756</v>
      </c>
      <c r="E1287" s="279"/>
      <c r="F1287" s="278">
        <v>18.716480957751209</v>
      </c>
      <c r="G1287" s="278">
        <v>5.9409180916042352</v>
      </c>
      <c r="H1287" s="278">
        <f t="shared" si="467"/>
        <v>24.657399049355444</v>
      </c>
      <c r="I1287" s="279"/>
      <c r="J1287" s="278">
        <v>23.990078051800637</v>
      </c>
      <c r="K1287" s="278">
        <v>7.5468156374021289</v>
      </c>
      <c r="L1287" s="278">
        <f t="shared" si="468"/>
        <v>31.536893689202767</v>
      </c>
      <c r="M1287" s="212"/>
      <c r="N1287" s="212"/>
    </row>
    <row r="1288" spans="1:14">
      <c r="A1288" s="213" t="str">
        <f>name!E$8</f>
        <v>Skilled trades occupations</v>
      </c>
      <c r="B1288" s="278">
        <v>4.2498089933410226</v>
      </c>
      <c r="C1288" s="278">
        <v>16.220447450085057</v>
      </c>
      <c r="D1288" s="278">
        <f t="shared" si="466"/>
        <v>20.470256443426081</v>
      </c>
      <c r="E1288" s="279"/>
      <c r="F1288" s="278">
        <v>6.4160016447100645</v>
      </c>
      <c r="G1288" s="278">
        <v>12.576888969608543</v>
      </c>
      <c r="H1288" s="278">
        <f t="shared" si="467"/>
        <v>18.992890614318608</v>
      </c>
      <c r="I1288" s="279"/>
      <c r="J1288" s="278">
        <v>10.856803847390122</v>
      </c>
      <c r="K1288" s="278">
        <v>13.87211988148635</v>
      </c>
      <c r="L1288" s="278">
        <f t="shared" si="468"/>
        <v>24.728923728876474</v>
      </c>
      <c r="M1288" s="212"/>
      <c r="N1288" s="212"/>
    </row>
    <row r="1289" spans="1:14">
      <c r="A1289" s="213" t="str">
        <f>name!E$9</f>
        <v>Caring, leisure and other service occupations</v>
      </c>
      <c r="B1289" s="278">
        <v>152.47937706942881</v>
      </c>
      <c r="C1289" s="278">
        <v>43.570522758368483</v>
      </c>
      <c r="D1289" s="278">
        <f t="shared" si="466"/>
        <v>196.04989982779728</v>
      </c>
      <c r="E1289" s="279"/>
      <c r="F1289" s="278">
        <v>163.7439485950047</v>
      </c>
      <c r="G1289" s="278">
        <v>43.171512062160168</v>
      </c>
      <c r="H1289" s="278">
        <f t="shared" si="467"/>
        <v>206.91546065716486</v>
      </c>
      <c r="I1289" s="279"/>
      <c r="J1289" s="278">
        <v>134.73328115164711</v>
      </c>
      <c r="K1289" s="278">
        <v>42.085311462519925</v>
      </c>
      <c r="L1289" s="278">
        <f t="shared" si="468"/>
        <v>176.81859261416702</v>
      </c>
      <c r="M1289" s="212"/>
      <c r="N1289" s="212"/>
    </row>
    <row r="1290" spans="1:14">
      <c r="A1290" s="213" t="str">
        <f>name!E$10</f>
        <v>Sales and customer service occupations</v>
      </c>
      <c r="B1290" s="278">
        <v>8.7263926299290819</v>
      </c>
      <c r="C1290" s="278">
        <v>8.0389480710148717</v>
      </c>
      <c r="D1290" s="278">
        <f t="shared" si="466"/>
        <v>16.765340700943952</v>
      </c>
      <c r="E1290" s="279"/>
      <c r="F1290" s="278">
        <v>9.199967627566572</v>
      </c>
      <c r="G1290" s="278">
        <v>7.8701033839662138</v>
      </c>
      <c r="H1290" s="278">
        <f t="shared" si="467"/>
        <v>17.070071011532786</v>
      </c>
      <c r="I1290" s="279"/>
      <c r="J1290" s="278">
        <v>9.7658309331400037</v>
      </c>
      <c r="K1290" s="278">
        <v>9.682553111745932</v>
      </c>
      <c r="L1290" s="278">
        <f t="shared" si="468"/>
        <v>19.448384044885934</v>
      </c>
      <c r="M1290" s="212"/>
      <c r="N1290" s="212"/>
    </row>
    <row r="1291" spans="1:14">
      <c r="A1291" s="213" t="str">
        <f>name!E$11</f>
        <v>Process, plant and machine operatives</v>
      </c>
      <c r="B1291" s="278">
        <v>1.4188944459413473</v>
      </c>
      <c r="C1291" s="278">
        <v>11.110991413033089</v>
      </c>
      <c r="D1291" s="278">
        <f t="shared" si="466"/>
        <v>12.529885858974437</v>
      </c>
      <c r="E1291" s="279"/>
      <c r="F1291" s="278">
        <v>1.499214795146373</v>
      </c>
      <c r="G1291" s="278">
        <v>10.270199354110755</v>
      </c>
      <c r="H1291" s="278">
        <f t="shared" si="467"/>
        <v>11.769414149257127</v>
      </c>
      <c r="I1291" s="279"/>
      <c r="J1291" s="278">
        <v>1.9550531108316327</v>
      </c>
      <c r="K1291" s="278">
        <v>8.3329700849496486</v>
      </c>
      <c r="L1291" s="278">
        <f t="shared" si="468"/>
        <v>10.288023195781282</v>
      </c>
      <c r="M1291" s="212"/>
      <c r="N1291" s="212"/>
    </row>
    <row r="1292" spans="1:14">
      <c r="A1292" s="213" t="str">
        <f>name!E$12</f>
        <v>Elementary occupations</v>
      </c>
      <c r="B1292" s="278">
        <v>10.134339680547264</v>
      </c>
      <c r="C1292" s="278">
        <v>24.60944079735761</v>
      </c>
      <c r="D1292" s="278">
        <f t="shared" si="466"/>
        <v>34.743780477904878</v>
      </c>
      <c r="E1292" s="279"/>
      <c r="F1292" s="278">
        <v>9.6959782319126191</v>
      </c>
      <c r="G1292" s="278">
        <v>20.955514165069271</v>
      </c>
      <c r="H1292" s="278">
        <f t="shared" si="467"/>
        <v>30.65149239698189</v>
      </c>
      <c r="I1292" s="279"/>
      <c r="J1292" s="278">
        <v>9.0725466416543661</v>
      </c>
      <c r="K1292" s="278">
        <v>20.193394737387717</v>
      </c>
      <c r="L1292" s="278">
        <f t="shared" si="468"/>
        <v>29.265941379042083</v>
      </c>
      <c r="M1292" s="212"/>
      <c r="N1292" s="212"/>
    </row>
    <row r="1293" spans="1:14">
      <c r="A1293" s="213"/>
      <c r="B1293" s="278"/>
      <c r="C1293" s="278"/>
      <c r="D1293" s="278"/>
      <c r="E1293" s="279"/>
      <c r="F1293" s="278"/>
      <c r="G1293" s="278"/>
      <c r="H1293" s="278"/>
      <c r="I1293" s="279"/>
      <c r="J1293" s="278"/>
      <c r="K1293" s="278"/>
      <c r="L1293" s="278"/>
      <c r="M1293" s="212"/>
      <c r="N1293" s="212"/>
    </row>
    <row r="1294" spans="1:14">
      <c r="A1294" s="220" t="s">
        <v>119</v>
      </c>
      <c r="B1294" s="282">
        <f>SUM(B1284:B1292)</f>
        <v>240.93700000316852</v>
      </c>
      <c r="C1294" s="282">
        <f t="shared" ref="C1294:D1294" si="469">SUM(C1284:C1292)</f>
        <v>168.97600000145152</v>
      </c>
      <c r="D1294" s="282">
        <f t="shared" si="469"/>
        <v>409.91300000462002</v>
      </c>
      <c r="E1294" s="282"/>
      <c r="F1294" s="282">
        <f t="shared" ref="F1294:H1294" si="470">SUM(F1284:F1292)</f>
        <v>278.2989999981354</v>
      </c>
      <c r="G1294" s="282">
        <f t="shared" si="470"/>
        <v>161.96300000107914</v>
      </c>
      <c r="H1294" s="282">
        <f t="shared" si="470"/>
        <v>440.26199999921448</v>
      </c>
      <c r="I1294" s="282"/>
      <c r="J1294" s="282">
        <f t="shared" ref="J1294:L1294" si="471">SUM(J1284:J1292)</f>
        <v>264.93800000267191</v>
      </c>
      <c r="K1294" s="282">
        <f t="shared" si="471"/>
        <v>171.33500000163815</v>
      </c>
      <c r="L1294" s="282">
        <f t="shared" si="471"/>
        <v>436.27300000431012</v>
      </c>
      <c r="M1294" s="212"/>
      <c r="N1294" s="212"/>
    </row>
    <row r="1295" spans="1:14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6"/>
      <c r="M1295" s="212"/>
      <c r="N1295" s="212"/>
    </row>
  </sheetData>
  <mergeCells count="228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6"/>
  <cols>
    <col min="1" max="1" width="37.85546875" customWidth="1"/>
    <col min="2" max="2" width="6.7109375" bestFit="1" customWidth="1"/>
    <col min="3" max="4" width="5.7109375" bestFit="1" customWidth="1"/>
    <col min="5" max="5" width="6.7109375" bestFit="1" customWidth="1"/>
    <col min="6" max="6" width="4.7109375" customWidth="1"/>
    <col min="7" max="7" width="6.7109375" bestFit="1" customWidth="1"/>
    <col min="8" max="9" width="5.7109375" bestFit="1" customWidth="1"/>
    <col min="10" max="10" width="6.7109375" bestFit="1" customWidth="1"/>
    <col min="11" max="11" width="4.85546875" customWidth="1"/>
    <col min="12" max="12" width="6.7109375" bestFit="1" customWidth="1"/>
    <col min="13" max="14" width="5.7109375" bestFit="1" customWidth="1"/>
    <col min="15" max="15" width="6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6">
      <c r="A1" s="17" t="str">
        <f>CONCATENATE("Industry and Occupation Table 2  Occuptation composition (SOC2020) by employment status, ",B$6,"-",L$6,", ",Info!B5)</f>
        <v>Industry and Occupation Table 2  Occuptation composition (SOC2020) by employment status, 2015-2035, England</v>
      </c>
    </row>
    <row r="2" spans="1:23" ht="12.95">
      <c r="A2" s="234" t="s">
        <v>171</v>
      </c>
    </row>
    <row r="4" spans="1:23">
      <c r="O4" s="227" t="s">
        <v>114</v>
      </c>
    </row>
    <row r="5" spans="1:23" s="234" customFormat="1" ht="12.95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3" s="234" customFormat="1" ht="12.95">
      <c r="A6" s="217" t="s">
        <v>172</v>
      </c>
      <c r="B6" s="367">
        <v>2015</v>
      </c>
      <c r="C6" s="367"/>
      <c r="D6" s="367"/>
      <c r="E6" s="367"/>
      <c r="F6" s="222"/>
      <c r="G6" s="367">
        <v>2020</v>
      </c>
      <c r="H6" s="367"/>
      <c r="I6" s="367"/>
      <c r="J6" s="367"/>
      <c r="K6" s="254"/>
      <c r="L6" s="367">
        <v>2035</v>
      </c>
      <c r="M6" s="367"/>
      <c r="N6" s="367"/>
      <c r="O6" s="367"/>
      <c r="S6" s="255"/>
      <c r="T6" s="255"/>
      <c r="U6" s="255"/>
      <c r="V6" s="255"/>
      <c r="W6" s="255"/>
    </row>
    <row r="7" spans="1:23" s="234" customFormat="1" ht="12.95">
      <c r="A7" s="228"/>
      <c r="B7" s="244" t="str">
        <f>name!$J$5</f>
        <v>FT</v>
      </c>
      <c r="C7" s="244" t="str">
        <f>name!$J$6</f>
        <v>PT</v>
      </c>
      <c r="D7" s="244" t="str">
        <f>name!$J$4</f>
        <v>SE</v>
      </c>
      <c r="E7" s="244" t="s">
        <v>119</v>
      </c>
      <c r="F7" s="256"/>
      <c r="G7" s="244" t="str">
        <f>name!$J$5</f>
        <v>FT</v>
      </c>
      <c r="H7" s="244" t="str">
        <f>name!$J$6</f>
        <v>PT</v>
      </c>
      <c r="I7" s="244" t="str">
        <f>name!$J$4</f>
        <v>SE</v>
      </c>
      <c r="J7" s="244" t="s">
        <v>119</v>
      </c>
      <c r="K7" s="256"/>
      <c r="L7" s="244" t="str">
        <f>name!$J$5</f>
        <v>FT</v>
      </c>
      <c r="M7" s="244" t="str">
        <f>name!$J$6</f>
        <v>PT</v>
      </c>
      <c r="N7" s="244" t="str">
        <f>name!$J$4</f>
        <v>SE</v>
      </c>
      <c r="O7" s="244" t="s">
        <v>119</v>
      </c>
      <c r="T7" s="257"/>
      <c r="V7" s="257"/>
    </row>
    <row r="8" spans="1:23" s="212" customFormat="1"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T8" s="225"/>
      <c r="V8" s="225"/>
    </row>
    <row r="9" spans="1:23" s="212" customFormat="1">
      <c r="A9" s="213" t="str">
        <f>name!E$4</f>
        <v>Managers, directors and senior officials</v>
      </c>
      <c r="B9" s="225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2033.1336136421735</v>
      </c>
      <c r="C9" s="225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284.27968046921274</v>
      </c>
      <c r="D9" s="225">
        <f t="shared" si="0"/>
        <v>505.54167250934245</v>
      </c>
      <c r="E9" s="225">
        <f>SUM(B9:D9)</f>
        <v>2822.9549666207286</v>
      </c>
      <c r="F9" s="214"/>
      <c r="G9" s="225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2307.0394264447759</v>
      </c>
      <c r="H9" s="225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437.11863135363302</v>
      </c>
      <c r="I9" s="225">
        <f t="shared" si="1"/>
        <v>563.35570195266916</v>
      </c>
      <c r="J9" s="225">
        <f>SUM(G9:I9)</f>
        <v>3307.5137597510784</v>
      </c>
      <c r="K9" s="214"/>
      <c r="L9" s="225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2286.2016519510503</v>
      </c>
      <c r="M9" s="225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524.58961371648172</v>
      </c>
      <c r="N9" s="225">
        <f t="shared" si="2"/>
        <v>641.58195648650781</v>
      </c>
      <c r="O9" s="225">
        <f>SUM(L9:N9)</f>
        <v>3452.3732221540399</v>
      </c>
      <c r="T9" s="225"/>
      <c r="V9" s="225"/>
    </row>
    <row r="10" spans="1:23" s="212" customFormat="1">
      <c r="A10" s="213" t="str">
        <f>name!E$5</f>
        <v>Professional occupations</v>
      </c>
      <c r="B10" s="225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4123.1584970347039</v>
      </c>
      <c r="C10" s="225">
        <f t="shared" si="3"/>
        <v>1074.9351653229648</v>
      </c>
      <c r="D10" s="225">
        <f t="shared" si="3"/>
        <v>715.15011968548538</v>
      </c>
      <c r="E10" s="225">
        <f t="shared" ref="E10:E17" si="4">SUM(B10:D10)</f>
        <v>5913.2437820431542</v>
      </c>
      <c r="F10" s="214"/>
      <c r="G10" s="225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4960.2820809264304</v>
      </c>
      <c r="H10" s="225">
        <f t="shared" si="5"/>
        <v>1334.3806432547324</v>
      </c>
      <c r="I10" s="225">
        <f t="shared" si="5"/>
        <v>757.71611180594391</v>
      </c>
      <c r="J10" s="225">
        <f t="shared" ref="J10:J17" si="6">SUM(G10:I10)</f>
        <v>7052.3788359871069</v>
      </c>
      <c r="K10" s="214"/>
      <c r="L10" s="225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6017.0478366389871</v>
      </c>
      <c r="M10" s="225">
        <f t="shared" si="7"/>
        <v>1602.341415038102</v>
      </c>
      <c r="N10" s="225">
        <f t="shared" si="7"/>
        <v>767.76931690296203</v>
      </c>
      <c r="O10" s="225">
        <f t="shared" ref="O10:O17" si="8">SUM(L10:N10)</f>
        <v>8387.158568580051</v>
      </c>
      <c r="T10" s="225"/>
      <c r="V10" s="225"/>
    </row>
    <row r="11" spans="1:23" s="212" customFormat="1">
      <c r="A11" s="213" t="str">
        <f>name!E$6</f>
        <v>Associate professional occupations</v>
      </c>
      <c r="B11" s="225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2434.596295874805</v>
      </c>
      <c r="C11" s="225">
        <f t="shared" si="9"/>
        <v>667.45717460780054</v>
      </c>
      <c r="D11" s="225">
        <f t="shared" si="9"/>
        <v>571.02539290509105</v>
      </c>
      <c r="E11" s="225">
        <f t="shared" si="4"/>
        <v>3673.0788633876964</v>
      </c>
      <c r="F11" s="214"/>
      <c r="G11" s="225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2787.6072348872863</v>
      </c>
      <c r="H11" s="225">
        <f t="shared" si="10"/>
        <v>786.94974912634598</v>
      </c>
      <c r="I11" s="225">
        <f t="shared" si="10"/>
        <v>573.96293812207341</v>
      </c>
      <c r="J11" s="225">
        <f t="shared" si="6"/>
        <v>4148.5199221357052</v>
      </c>
      <c r="K11" s="214"/>
      <c r="L11" s="225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3158.1172148053465</v>
      </c>
      <c r="M11" s="225">
        <f t="shared" si="11"/>
        <v>992.2296745963605</v>
      </c>
      <c r="N11" s="225">
        <f t="shared" si="11"/>
        <v>622.78930575296056</v>
      </c>
      <c r="O11" s="225">
        <f t="shared" si="8"/>
        <v>4773.1361951546678</v>
      </c>
      <c r="T11" s="225"/>
      <c r="V11" s="225"/>
    </row>
    <row r="12" spans="1:23" s="212" customFormat="1">
      <c r="A12" s="213" t="str">
        <f>name!E$7</f>
        <v>Administrative and secretarial occupations</v>
      </c>
      <c r="B12" s="225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1782.1006477024639</v>
      </c>
      <c r="C12" s="225">
        <f t="shared" si="12"/>
        <v>1227.7272050259826</v>
      </c>
      <c r="D12" s="225">
        <f t="shared" si="12"/>
        <v>139.6659079183413</v>
      </c>
      <c r="E12" s="225">
        <f t="shared" si="4"/>
        <v>3149.4937606467879</v>
      </c>
      <c r="F12" s="214"/>
      <c r="G12" s="225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1783.2474036576607</v>
      </c>
      <c r="H12" s="225">
        <f t="shared" si="13"/>
        <v>1225.9787479466834</v>
      </c>
      <c r="I12" s="225">
        <f t="shared" si="13"/>
        <v>130.38033702607433</v>
      </c>
      <c r="J12" s="225">
        <f t="shared" si="6"/>
        <v>3139.6064886304184</v>
      </c>
      <c r="K12" s="214"/>
      <c r="L12" s="225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1771.3592191579407</v>
      </c>
      <c r="M12" s="225">
        <f t="shared" si="14"/>
        <v>1107.6941161225584</v>
      </c>
      <c r="N12" s="225">
        <f t="shared" si="14"/>
        <v>127.27087803918225</v>
      </c>
      <c r="O12" s="225">
        <f t="shared" si="8"/>
        <v>3006.3242133196813</v>
      </c>
      <c r="T12" s="225"/>
      <c r="V12" s="225"/>
    </row>
    <row r="13" spans="1:23" s="212" customFormat="1">
      <c r="A13" s="213" t="str">
        <f>name!E$8</f>
        <v>Skilled trades occupations</v>
      </c>
      <c r="B13" s="225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1686.4039679980376</v>
      </c>
      <c r="C13" s="225">
        <f t="shared" si="15"/>
        <v>270.45964396681126</v>
      </c>
      <c r="D13" s="225">
        <f t="shared" si="15"/>
        <v>932.82734433889368</v>
      </c>
      <c r="E13" s="225">
        <f t="shared" si="4"/>
        <v>2889.6909563037425</v>
      </c>
      <c r="F13" s="214"/>
      <c r="G13" s="225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1437.2948851970636</v>
      </c>
      <c r="H13" s="225">
        <f t="shared" si="16"/>
        <v>239.1777238397662</v>
      </c>
      <c r="I13" s="225">
        <f t="shared" si="16"/>
        <v>830.85959188787194</v>
      </c>
      <c r="J13" s="225">
        <f t="shared" si="6"/>
        <v>2507.3322009247017</v>
      </c>
      <c r="K13" s="214"/>
      <c r="L13" s="225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1241.0128280473602</v>
      </c>
      <c r="M13" s="225">
        <f t="shared" si="17"/>
        <v>297.18078516299488</v>
      </c>
      <c r="N13" s="225">
        <f t="shared" si="17"/>
        <v>931.56572628686695</v>
      </c>
      <c r="O13" s="225">
        <f t="shared" si="8"/>
        <v>2469.7593394972218</v>
      </c>
      <c r="T13" s="225"/>
      <c r="V13" s="225"/>
    </row>
    <row r="14" spans="1:23" s="212" customFormat="1">
      <c r="A14" s="213" t="str">
        <f>name!E$9</f>
        <v>Caring, leisure and other service occupations</v>
      </c>
      <c r="B14" s="225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1258.4272347785191</v>
      </c>
      <c r="C14" s="225">
        <f t="shared" si="18"/>
        <v>1161.0224353982608</v>
      </c>
      <c r="D14" s="225">
        <f t="shared" si="18"/>
        <v>267.02727518948564</v>
      </c>
      <c r="E14" s="225">
        <f t="shared" si="4"/>
        <v>2686.4769453662657</v>
      </c>
      <c r="F14" s="214"/>
      <c r="G14" s="225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1232.4581491823615</v>
      </c>
      <c r="H14" s="225">
        <f t="shared" si="19"/>
        <v>1146.5522382644485</v>
      </c>
      <c r="I14" s="225">
        <f t="shared" si="19"/>
        <v>299.49424069128429</v>
      </c>
      <c r="J14" s="225">
        <f t="shared" si="6"/>
        <v>2678.5046281380942</v>
      </c>
      <c r="K14" s="214"/>
      <c r="L14" s="225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1413.5027814669622</v>
      </c>
      <c r="M14" s="225">
        <f t="shared" si="20"/>
        <v>1151.7550169808178</v>
      </c>
      <c r="N14" s="225">
        <f t="shared" si="20"/>
        <v>354.6995500886793</v>
      </c>
      <c r="O14" s="225">
        <f t="shared" si="8"/>
        <v>2919.9573485364594</v>
      </c>
      <c r="T14" s="225"/>
      <c r="V14" s="225"/>
    </row>
    <row r="15" spans="1:23" s="212" customFormat="1">
      <c r="A15" s="213" t="str">
        <f>name!E$10</f>
        <v>Sales and customer service occupations</v>
      </c>
      <c r="B15" s="225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905.4239826372177</v>
      </c>
      <c r="C15" s="225">
        <f t="shared" si="21"/>
        <v>1380.2188956005593</v>
      </c>
      <c r="D15" s="225">
        <f t="shared" si="21"/>
        <v>166.07178003324972</v>
      </c>
      <c r="E15" s="225">
        <f t="shared" si="4"/>
        <v>2451.7146582710266</v>
      </c>
      <c r="F15" s="214"/>
      <c r="G15" s="225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860.17066150979406</v>
      </c>
      <c r="H15" s="225">
        <f t="shared" si="22"/>
        <v>1385.6747046109008</v>
      </c>
      <c r="I15" s="225">
        <f t="shared" si="22"/>
        <v>118.00342227361412</v>
      </c>
      <c r="J15" s="225">
        <f t="shared" si="6"/>
        <v>2363.8487883943089</v>
      </c>
      <c r="K15" s="214"/>
      <c r="L15" s="225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859.29613828899403</v>
      </c>
      <c r="M15" s="225">
        <f t="shared" si="23"/>
        <v>1452.0958024495385</v>
      </c>
      <c r="N15" s="225">
        <f t="shared" si="23"/>
        <v>96.854672642897285</v>
      </c>
      <c r="O15" s="225">
        <f t="shared" si="8"/>
        <v>2408.2466133814296</v>
      </c>
      <c r="T15" s="225"/>
      <c r="V15" s="225"/>
    </row>
    <row r="16" spans="1:23" s="212" customFormat="1">
      <c r="A16" s="213" t="str">
        <f>name!E$11</f>
        <v>Process, plant and machine operatives</v>
      </c>
      <c r="B16" s="225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1258.8497473739837</v>
      </c>
      <c r="C16" s="225">
        <f t="shared" si="24"/>
        <v>232.12683497411226</v>
      </c>
      <c r="D16" s="225">
        <f t="shared" si="24"/>
        <v>276.34912201602521</v>
      </c>
      <c r="E16" s="225">
        <f t="shared" si="4"/>
        <v>1767.3257043641211</v>
      </c>
      <c r="F16" s="214"/>
      <c r="G16" s="225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1092.855627554952</v>
      </c>
      <c r="H16" s="225">
        <f t="shared" si="25"/>
        <v>276.26162923983401</v>
      </c>
      <c r="I16" s="225">
        <f t="shared" si="25"/>
        <v>296.67204378362476</v>
      </c>
      <c r="J16" s="225">
        <f t="shared" si="6"/>
        <v>1665.7893005784108</v>
      </c>
      <c r="K16" s="214"/>
      <c r="L16" s="225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956.08898264984998</v>
      </c>
      <c r="M16" s="225">
        <f t="shared" si="26"/>
        <v>343.64599234544067</v>
      </c>
      <c r="N16" s="225">
        <f t="shared" si="26"/>
        <v>365.23013543066736</v>
      </c>
      <c r="O16" s="225">
        <f t="shared" si="8"/>
        <v>1664.9651104259581</v>
      </c>
      <c r="T16" s="225"/>
      <c r="V16" s="225"/>
    </row>
    <row r="17" spans="1:15" s="212" customFormat="1">
      <c r="A17" s="213" t="str">
        <f>name!E$12</f>
        <v>Elementary occupations</v>
      </c>
      <c r="B17" s="225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1386.9090129201275</v>
      </c>
      <c r="C17" s="225">
        <f t="shared" si="27"/>
        <v>1691.0079646697457</v>
      </c>
      <c r="D17" s="225">
        <f t="shared" si="27"/>
        <v>224.27538540436643</v>
      </c>
      <c r="E17" s="225">
        <f t="shared" si="4"/>
        <v>3302.1923629942394</v>
      </c>
      <c r="F17" s="214"/>
      <c r="G17" s="225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1202.2745306265952</v>
      </c>
      <c r="H17" s="225">
        <f t="shared" si="28"/>
        <v>1601.6509323726173</v>
      </c>
      <c r="I17" s="225">
        <f t="shared" si="28"/>
        <v>192.2616124561707</v>
      </c>
      <c r="J17" s="225">
        <f t="shared" si="6"/>
        <v>2996.1870754553829</v>
      </c>
      <c r="K17" s="214"/>
      <c r="L17" s="225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1312.4363470136614</v>
      </c>
      <c r="M17" s="225">
        <f t="shared" si="29"/>
        <v>1413.3565835710422</v>
      </c>
      <c r="N17" s="225">
        <f t="shared" si="29"/>
        <v>262.37745837832284</v>
      </c>
      <c r="O17" s="225">
        <f t="shared" si="8"/>
        <v>2988.1703889630267</v>
      </c>
    </row>
    <row r="18" spans="1:15" s="212" customFormat="1">
      <c r="A18" s="213"/>
      <c r="B18" s="225"/>
      <c r="C18" s="225"/>
      <c r="D18" s="225"/>
      <c r="E18" s="225"/>
      <c r="F18" s="214"/>
      <c r="G18" s="225"/>
      <c r="H18" s="225"/>
      <c r="I18" s="225"/>
      <c r="J18" s="225"/>
      <c r="K18" s="214"/>
      <c r="L18" s="225"/>
      <c r="M18" s="225"/>
      <c r="N18" s="225"/>
      <c r="O18" s="225"/>
    </row>
    <row r="19" spans="1:15" s="212" customFormat="1">
      <c r="A19" s="220" t="s">
        <v>119</v>
      </c>
      <c r="B19" s="223">
        <f>SUM(B9:B17)</f>
        <v>16869.002999962035</v>
      </c>
      <c r="C19" s="223">
        <f t="shared" ref="C19:O19" si="30">SUM(C9:C17)</f>
        <v>7989.23500003545</v>
      </c>
      <c r="D19" s="223">
        <f t="shared" si="30"/>
        <v>3797.9340000002803</v>
      </c>
      <c r="E19" s="223">
        <f t="shared" si="30"/>
        <v>28656.171999997765</v>
      </c>
      <c r="F19" s="223"/>
      <c r="G19" s="223">
        <f t="shared" si="30"/>
        <v>17663.229999986921</v>
      </c>
      <c r="H19" s="223">
        <f t="shared" si="30"/>
        <v>8433.7450000089611</v>
      </c>
      <c r="I19" s="223">
        <f t="shared" si="30"/>
        <v>3762.7059999993262</v>
      </c>
      <c r="J19" s="223">
        <f t="shared" si="30"/>
        <v>29859.680999995206</v>
      </c>
      <c r="K19" s="223"/>
      <c r="L19" s="223">
        <f t="shared" si="30"/>
        <v>19015.063000020156</v>
      </c>
      <c r="M19" s="223">
        <f t="shared" si="30"/>
        <v>8884.8889999833355</v>
      </c>
      <c r="N19" s="223">
        <f t="shared" si="30"/>
        <v>4170.139000009046</v>
      </c>
      <c r="O19" s="223">
        <f t="shared" si="30"/>
        <v>32070.091000012533</v>
      </c>
    </row>
    <row r="20" spans="1:15" s="212" customFormat="1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214"/>
      <c r="N20" s="215"/>
    </row>
    <row r="21" spans="1:15" s="212" customFormat="1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6"/>
      <c r="O21" s="227" t="s">
        <v>114</v>
      </c>
    </row>
    <row r="22" spans="1:15" s="212" customFormat="1" ht="12.95">
      <c r="A22" s="21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</row>
    <row r="23" spans="1:15" s="212" customFormat="1" ht="12.95">
      <c r="A23" s="217" t="str">
        <f>name!A4</f>
        <v>Agriculture, etc</v>
      </c>
      <c r="B23" s="369">
        <f>$B$6</f>
        <v>2015</v>
      </c>
      <c r="C23" s="369"/>
      <c r="D23" s="369"/>
      <c r="E23" s="369"/>
      <c r="F23" s="239"/>
      <c r="G23" s="369">
        <f>$G$6</f>
        <v>2020</v>
      </c>
      <c r="H23" s="369"/>
      <c r="I23" s="369"/>
      <c r="J23" s="369"/>
      <c r="K23" s="239"/>
      <c r="L23" s="369">
        <f>$L$6</f>
        <v>2035</v>
      </c>
      <c r="M23" s="369"/>
      <c r="N23" s="369"/>
      <c r="O23" s="369"/>
    </row>
    <row r="24" spans="1:15" s="212" customFormat="1" ht="12.95">
      <c r="A24" s="230"/>
      <c r="B24" s="244" t="str">
        <f>$B$7</f>
        <v>FT</v>
      </c>
      <c r="C24" s="244" t="str">
        <f>$C$7</f>
        <v>PT</v>
      </c>
      <c r="D24" s="244" t="str">
        <f>$D$7</f>
        <v>SE</v>
      </c>
      <c r="E24" s="244" t="str">
        <f>$E$7</f>
        <v>Total</v>
      </c>
      <c r="F24" s="244"/>
      <c r="G24" s="244" t="str">
        <f>$G$7</f>
        <v>FT</v>
      </c>
      <c r="H24" s="244" t="str">
        <f>$H$7</f>
        <v>PT</v>
      </c>
      <c r="I24" s="244" t="str">
        <f>$I$7</f>
        <v>SE</v>
      </c>
      <c r="J24" s="244" t="str">
        <f>$J$7</f>
        <v>Total</v>
      </c>
      <c r="K24" s="244"/>
      <c r="L24" s="244" t="str">
        <f>$L$7</f>
        <v>FT</v>
      </c>
      <c r="M24" s="244" t="str">
        <f>$M$7</f>
        <v>PT</v>
      </c>
      <c r="N24" s="244" t="str">
        <f>$N$7</f>
        <v>SE</v>
      </c>
      <c r="O24" s="244" t="str">
        <f>$O$7</f>
        <v>Total</v>
      </c>
    </row>
    <row r="25" spans="1:15" s="212" customFormat="1" ht="12.95">
      <c r="A25" s="234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</row>
    <row r="26" spans="1:15" s="212" customFormat="1">
      <c r="A26" s="213" t="str">
        <f>name!E$4</f>
        <v>Managers, directors and senior officials</v>
      </c>
      <c r="B26" s="278">
        <v>10.870848843570842</v>
      </c>
      <c r="C26" s="278">
        <v>1.8224946320149307</v>
      </c>
      <c r="D26" s="278">
        <v>2.5607095049562631</v>
      </c>
      <c r="E26" s="278">
        <f>SUM(B26:D26)</f>
        <v>15.254052980542035</v>
      </c>
      <c r="F26" s="279"/>
      <c r="G26" s="278">
        <v>13.217662607995589</v>
      </c>
      <c r="H26" s="278">
        <v>2.5494105327894654</v>
      </c>
      <c r="I26" s="278">
        <v>2.443517123141663</v>
      </c>
      <c r="J26" s="278">
        <f>SUM(G26:I26)</f>
        <v>18.210590263926719</v>
      </c>
      <c r="K26" s="279"/>
      <c r="L26" s="278">
        <v>16.653777388050816</v>
      </c>
      <c r="M26" s="278">
        <v>2.0844219330922522</v>
      </c>
      <c r="N26" s="278">
        <v>2.3254539468719049</v>
      </c>
      <c r="O26" s="278">
        <f>SUM(L26:N26)</f>
        <v>21.063653268014974</v>
      </c>
    </row>
    <row r="27" spans="1:15" s="212" customFormat="1">
      <c r="A27" s="213" t="str">
        <f>name!E$5</f>
        <v>Professional occupations</v>
      </c>
      <c r="B27" s="278">
        <v>9.9183086349412726</v>
      </c>
      <c r="C27" s="278">
        <v>1.6371635472059067</v>
      </c>
      <c r="D27" s="278">
        <v>1.2353607530206785</v>
      </c>
      <c r="E27" s="278">
        <f t="shared" ref="E27:E34" si="31">SUM(B27:D27)</f>
        <v>12.790832935167858</v>
      </c>
      <c r="F27" s="279"/>
      <c r="G27" s="278">
        <v>13.967171352057393</v>
      </c>
      <c r="H27" s="278">
        <v>2.7750592516428552</v>
      </c>
      <c r="I27" s="278">
        <v>1.6435282508823743</v>
      </c>
      <c r="J27" s="278">
        <f t="shared" ref="J27:J34" si="32">SUM(G27:I27)</f>
        <v>18.385758854582626</v>
      </c>
      <c r="K27" s="279"/>
      <c r="L27" s="278">
        <v>21.028121216147717</v>
      </c>
      <c r="M27" s="278">
        <v>3.3845569869459022</v>
      </c>
      <c r="N27" s="278">
        <v>1.8549653227153269</v>
      </c>
      <c r="O27" s="278">
        <f t="shared" ref="O27:O34" si="33">SUM(L27:N27)</f>
        <v>26.267643525808946</v>
      </c>
    </row>
    <row r="28" spans="1:15" s="212" customFormat="1">
      <c r="A28" s="213" t="str">
        <f>name!E$6</f>
        <v>Associate professional occupations</v>
      </c>
      <c r="B28" s="278">
        <v>6.6687825441064614</v>
      </c>
      <c r="C28" s="278">
        <v>1.508068044122072</v>
      </c>
      <c r="D28" s="278">
        <v>0.71717091711221637</v>
      </c>
      <c r="E28" s="278">
        <f t="shared" si="31"/>
        <v>8.8940215053407492</v>
      </c>
      <c r="F28" s="279"/>
      <c r="G28" s="278">
        <v>8.199280624056728</v>
      </c>
      <c r="H28" s="278">
        <v>2.2053251378365442</v>
      </c>
      <c r="I28" s="278">
        <v>1.0236453670868164</v>
      </c>
      <c r="J28" s="278">
        <f t="shared" si="32"/>
        <v>11.428251128980088</v>
      </c>
      <c r="K28" s="279"/>
      <c r="L28" s="278">
        <v>9.7885226483803098</v>
      </c>
      <c r="M28" s="278">
        <v>2.1287101491909737</v>
      </c>
      <c r="N28" s="278">
        <v>1.2112943903928182</v>
      </c>
      <c r="O28" s="278">
        <f t="shared" si="33"/>
        <v>13.128527187964103</v>
      </c>
    </row>
    <row r="29" spans="1:15" s="212" customFormat="1">
      <c r="A29" s="213" t="str">
        <f>name!E$7</f>
        <v>Administrative and secretarial occupations</v>
      </c>
      <c r="B29" s="278">
        <v>6.8361225112623201</v>
      </c>
      <c r="C29" s="278">
        <v>6.3316356788884951</v>
      </c>
      <c r="D29" s="278">
        <v>0.72963845041806075</v>
      </c>
      <c r="E29" s="278">
        <f t="shared" si="31"/>
        <v>13.897396640568877</v>
      </c>
      <c r="F29" s="279"/>
      <c r="G29" s="278">
        <v>7.0463953919962501</v>
      </c>
      <c r="H29" s="278">
        <v>5.8464245901857952</v>
      </c>
      <c r="I29" s="278">
        <v>1.0121983609214471</v>
      </c>
      <c r="J29" s="278">
        <f t="shared" si="32"/>
        <v>13.905018343103492</v>
      </c>
      <c r="K29" s="279"/>
      <c r="L29" s="278">
        <v>5.8084879396266746</v>
      </c>
      <c r="M29" s="278">
        <v>3.8793798434305957</v>
      </c>
      <c r="N29" s="278">
        <v>0.5218602472547057</v>
      </c>
      <c r="O29" s="278">
        <f t="shared" si="33"/>
        <v>10.209728030311977</v>
      </c>
    </row>
    <row r="30" spans="1:15" s="212" customFormat="1">
      <c r="A30" s="213" t="str">
        <f>name!E$8</f>
        <v>Skilled trades occupations</v>
      </c>
      <c r="B30" s="278">
        <v>48.645480158056166</v>
      </c>
      <c r="C30" s="278">
        <v>8.9121659794682841</v>
      </c>
      <c r="D30" s="278">
        <v>81.9253218424914</v>
      </c>
      <c r="E30" s="278">
        <f t="shared" si="31"/>
        <v>139.48296798001584</v>
      </c>
      <c r="F30" s="279"/>
      <c r="G30" s="278">
        <v>47.606984819630433</v>
      </c>
      <c r="H30" s="278">
        <v>4.3129078841738844</v>
      </c>
      <c r="I30" s="278">
        <v>67.167290457571056</v>
      </c>
      <c r="J30" s="278">
        <f>SUM(G30:I30)</f>
        <v>119.08718316137538</v>
      </c>
      <c r="K30" s="279"/>
      <c r="L30" s="278">
        <v>51.816620595658648</v>
      </c>
      <c r="M30" s="278">
        <v>4.1856988168610778</v>
      </c>
      <c r="N30" s="278">
        <v>56.470883453945582</v>
      </c>
      <c r="O30" s="278">
        <f t="shared" si="33"/>
        <v>112.4732028664653</v>
      </c>
    </row>
    <row r="31" spans="1:15" s="212" customFormat="1">
      <c r="A31" s="213" t="str">
        <f>name!E$9</f>
        <v>Caring, leisure and other service occupations</v>
      </c>
      <c r="B31" s="278">
        <v>6.2610503357826861</v>
      </c>
      <c r="C31" s="278">
        <v>2.5427673212918842</v>
      </c>
      <c r="D31" s="278">
        <v>1.8421110744249181</v>
      </c>
      <c r="E31" s="278">
        <f t="shared" si="31"/>
        <v>10.64592873149949</v>
      </c>
      <c r="F31" s="279"/>
      <c r="G31" s="278">
        <v>5.782608052275366</v>
      </c>
      <c r="H31" s="278">
        <v>1.7891591901746073</v>
      </c>
      <c r="I31" s="278">
        <v>3.0224468993953706</v>
      </c>
      <c r="J31" s="278">
        <f t="shared" si="32"/>
        <v>10.594214141845343</v>
      </c>
      <c r="K31" s="279"/>
      <c r="L31" s="278">
        <v>5.9427606946463465</v>
      </c>
      <c r="M31" s="278">
        <v>0.86933636383784896</v>
      </c>
      <c r="N31" s="278">
        <v>2.981156484182121</v>
      </c>
      <c r="O31" s="278">
        <f t="shared" si="33"/>
        <v>9.7932535426663172</v>
      </c>
    </row>
    <row r="32" spans="1:15" s="212" customFormat="1">
      <c r="A32" s="213" t="str">
        <f>name!E$10</f>
        <v>Sales and customer service occupations</v>
      </c>
      <c r="B32" s="278">
        <v>2.9267113940460296</v>
      </c>
      <c r="C32" s="278">
        <v>1.7465549466917956</v>
      </c>
      <c r="D32" s="278">
        <v>0.89931519723024023</v>
      </c>
      <c r="E32" s="278">
        <f t="shared" si="31"/>
        <v>5.5725815379680661</v>
      </c>
      <c r="F32" s="279"/>
      <c r="G32" s="278">
        <v>3.0854284241431569</v>
      </c>
      <c r="H32" s="278">
        <v>1.6140418199166418</v>
      </c>
      <c r="I32" s="278">
        <v>0.72895159632920681</v>
      </c>
      <c r="J32" s="278">
        <f t="shared" si="32"/>
        <v>5.4284218403890057</v>
      </c>
      <c r="K32" s="279"/>
      <c r="L32" s="278">
        <v>3.4507710668615021</v>
      </c>
      <c r="M32" s="278">
        <v>1.3690303189527249</v>
      </c>
      <c r="N32" s="278">
        <v>0.49316085047736352</v>
      </c>
      <c r="O32" s="278">
        <f t="shared" si="33"/>
        <v>5.3129622362915905</v>
      </c>
    </row>
    <row r="33" spans="1:15" s="212" customFormat="1">
      <c r="A33" s="213" t="str">
        <f>name!E$11</f>
        <v>Process, plant and machine operatives</v>
      </c>
      <c r="B33" s="278">
        <v>9.8763653798169351</v>
      </c>
      <c r="C33" s="278">
        <v>1.7149499198711542</v>
      </c>
      <c r="D33" s="278">
        <v>1.1446435685226581</v>
      </c>
      <c r="E33" s="278">
        <f t="shared" si="31"/>
        <v>12.735958868210748</v>
      </c>
      <c r="F33" s="279"/>
      <c r="G33" s="278">
        <v>7.2235250902896118</v>
      </c>
      <c r="H33" s="278">
        <v>1.0603697263595937</v>
      </c>
      <c r="I33" s="278">
        <v>1.810505595735709</v>
      </c>
      <c r="J33" s="278">
        <f t="shared" si="32"/>
        <v>10.094400412384914</v>
      </c>
      <c r="K33" s="279"/>
      <c r="L33" s="278">
        <v>5.3789373297581369</v>
      </c>
      <c r="M33" s="278">
        <v>1.1537277921416407</v>
      </c>
      <c r="N33" s="278">
        <v>3.3025685854130598</v>
      </c>
      <c r="O33" s="278">
        <f t="shared" si="33"/>
        <v>9.8352337073128364</v>
      </c>
    </row>
    <row r="34" spans="1:15" s="212" customFormat="1">
      <c r="A34" s="213" t="str">
        <f>name!E$12</f>
        <v>Elementary occupations</v>
      </c>
      <c r="B34" s="278">
        <v>24.798330198337712</v>
      </c>
      <c r="C34" s="278">
        <v>7.1861999306784332</v>
      </c>
      <c r="D34" s="278">
        <v>11.405728692547394</v>
      </c>
      <c r="E34" s="278">
        <f t="shared" si="31"/>
        <v>43.390258821563542</v>
      </c>
      <c r="F34" s="279"/>
      <c r="G34" s="278">
        <v>16.46294363767095</v>
      </c>
      <c r="H34" s="278">
        <v>4.2723018670958712</v>
      </c>
      <c r="I34" s="278">
        <v>11.824916347319595</v>
      </c>
      <c r="J34" s="278">
        <f t="shared" si="32"/>
        <v>32.560161852086416</v>
      </c>
      <c r="K34" s="279"/>
      <c r="L34" s="278">
        <v>15.279001122152264</v>
      </c>
      <c r="M34" s="278">
        <v>6.395137795873266</v>
      </c>
      <c r="N34" s="278">
        <v>19.390656715287804</v>
      </c>
      <c r="O34" s="278">
        <f t="shared" si="33"/>
        <v>41.064795633313338</v>
      </c>
    </row>
    <row r="35" spans="1:15" s="212" customFormat="1">
      <c r="A35" s="213"/>
      <c r="B35" s="278"/>
      <c r="C35" s="278"/>
      <c r="D35" s="278"/>
      <c r="E35" s="278"/>
      <c r="F35" s="279"/>
      <c r="G35" s="278"/>
      <c r="H35" s="278"/>
      <c r="I35" s="278"/>
      <c r="J35" s="278"/>
      <c r="K35" s="279"/>
      <c r="L35" s="278"/>
      <c r="M35" s="278"/>
      <c r="N35" s="278"/>
      <c r="O35" s="278"/>
    </row>
    <row r="36" spans="1:15" s="212" customFormat="1">
      <c r="A36" s="220" t="s">
        <v>119</v>
      </c>
      <c r="B36" s="282">
        <f>SUM(B26:B34)</f>
        <v>126.80199999992041</v>
      </c>
      <c r="C36" s="282">
        <f t="shared" ref="C36:O36" si="34">SUM(C26:C34)</f>
        <v>33.402000000232952</v>
      </c>
      <c r="D36" s="282">
        <f t="shared" si="34"/>
        <v>102.46000000072382</v>
      </c>
      <c r="E36" s="282">
        <f t="shared" si="34"/>
        <v>262.66400000087719</v>
      </c>
      <c r="F36" s="282"/>
      <c r="G36" s="282">
        <f t="shared" si="34"/>
        <v>122.59200000011548</v>
      </c>
      <c r="H36" s="282">
        <f t="shared" si="34"/>
        <v>26.42500000017526</v>
      </c>
      <c r="I36" s="282">
        <f t="shared" si="34"/>
        <v>90.676999998383252</v>
      </c>
      <c r="J36" s="282">
        <f t="shared" si="34"/>
        <v>239.693999998674</v>
      </c>
      <c r="K36" s="282"/>
      <c r="L36" s="282">
        <f t="shared" si="34"/>
        <v>135.14700000128241</v>
      </c>
      <c r="M36" s="282">
        <f t="shared" si="34"/>
        <v>25.450000000326284</v>
      </c>
      <c r="N36" s="282">
        <f t="shared" si="34"/>
        <v>88.551999996540687</v>
      </c>
      <c r="O36" s="282">
        <f t="shared" si="34"/>
        <v>249.14899999814938</v>
      </c>
    </row>
    <row r="37" spans="1:15" s="212" customFormat="1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6"/>
    </row>
    <row r="38" spans="1:15" s="212" customFormat="1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6"/>
      <c r="O38" s="227" t="s">
        <v>114</v>
      </c>
    </row>
    <row r="39" spans="1:15" s="212" customFormat="1" ht="12.95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</row>
    <row r="40" spans="1:15" s="212" customFormat="1" ht="12.95">
      <c r="A40" s="217" t="str">
        <f>name!A5</f>
        <v>Coal, oil &amp; gas; Mining &amp; related</v>
      </c>
      <c r="B40" s="369">
        <f>$B$6</f>
        <v>2015</v>
      </c>
      <c r="C40" s="369"/>
      <c r="D40" s="369"/>
      <c r="E40" s="369"/>
      <c r="F40" s="239"/>
      <c r="G40" s="369">
        <f>$G$6</f>
        <v>2020</v>
      </c>
      <c r="H40" s="369"/>
      <c r="I40" s="369"/>
      <c r="J40" s="369"/>
      <c r="K40" s="239"/>
      <c r="L40" s="369">
        <f>$L$6</f>
        <v>2035</v>
      </c>
      <c r="M40" s="369"/>
      <c r="N40" s="369"/>
      <c r="O40" s="369"/>
    </row>
    <row r="41" spans="1:15" s="212" customFormat="1" ht="12.95">
      <c r="A41" s="230"/>
      <c r="B41" s="244" t="str">
        <f>$B$7</f>
        <v>FT</v>
      </c>
      <c r="C41" s="244" t="str">
        <f>$C$7</f>
        <v>PT</v>
      </c>
      <c r="D41" s="244" t="str">
        <f>$D$7</f>
        <v>SE</v>
      </c>
      <c r="E41" s="244" t="str">
        <f>$E$7</f>
        <v>Total</v>
      </c>
      <c r="F41" s="244"/>
      <c r="G41" s="244" t="str">
        <f>$G$7</f>
        <v>FT</v>
      </c>
      <c r="H41" s="244" t="str">
        <f>$H$7</f>
        <v>PT</v>
      </c>
      <c r="I41" s="244" t="str">
        <f>$I$7</f>
        <v>SE</v>
      </c>
      <c r="J41" s="244" t="str">
        <f>$J$7</f>
        <v>Total</v>
      </c>
      <c r="K41" s="244"/>
      <c r="L41" s="244" t="str">
        <f>$L$7</f>
        <v>FT</v>
      </c>
      <c r="M41" s="244" t="str">
        <f>$M$7</f>
        <v>PT</v>
      </c>
      <c r="N41" s="244" t="str">
        <f>$N$7</f>
        <v>SE</v>
      </c>
      <c r="O41" s="244" t="str">
        <f>$O$7</f>
        <v>Total</v>
      </c>
    </row>
    <row r="42" spans="1:15" s="212" customFormat="1" ht="12.95">
      <c r="A42" s="234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</row>
    <row r="43" spans="1:15" s="212" customFormat="1">
      <c r="A43" s="213" t="str">
        <f>name!E$4</f>
        <v>Managers, directors and senior officials</v>
      </c>
      <c r="B43" s="278">
        <v>2.83324381503287</v>
      </c>
      <c r="C43" s="278">
        <v>5.5769144878552668E-2</v>
      </c>
      <c r="D43" s="278">
        <v>0.7700359414120348</v>
      </c>
      <c r="E43" s="278">
        <f>SUM(B43:D43)</f>
        <v>3.6590489013234571</v>
      </c>
      <c r="F43" s="279"/>
      <c r="G43" s="278">
        <v>3.0147481393338369</v>
      </c>
      <c r="H43" s="278">
        <v>0.15550357292248276</v>
      </c>
      <c r="I43" s="278">
        <v>0.47443364226212942</v>
      </c>
      <c r="J43" s="278">
        <f>SUM(G43:I43)</f>
        <v>3.6446853545184492</v>
      </c>
      <c r="K43" s="279"/>
      <c r="L43" s="278">
        <v>1.8558249433760601</v>
      </c>
      <c r="M43" s="278">
        <v>0.10893828983683614</v>
      </c>
      <c r="N43" s="278">
        <v>0.37043723069924767</v>
      </c>
      <c r="O43" s="278">
        <f>SUM(L43:N43)</f>
        <v>2.3352004639121438</v>
      </c>
    </row>
    <row r="44" spans="1:15" s="212" customFormat="1">
      <c r="A44" s="213" t="str">
        <f>name!E$5</f>
        <v>Professional occupations</v>
      </c>
      <c r="B44" s="278">
        <v>3.817242740608866</v>
      </c>
      <c r="C44" s="278">
        <v>0.15245232095694047</v>
      </c>
      <c r="D44" s="278">
        <v>0.51877013046834708</v>
      </c>
      <c r="E44" s="278">
        <f t="shared" ref="E44:E51" si="35">SUM(B44:D44)</f>
        <v>4.4884651920341536</v>
      </c>
      <c r="F44" s="279"/>
      <c r="G44" s="278">
        <v>4.3660294760341971</v>
      </c>
      <c r="H44" s="278">
        <v>0.1923546073853388</v>
      </c>
      <c r="I44" s="278">
        <v>0.20448298240555424</v>
      </c>
      <c r="J44" s="278">
        <f t="shared" ref="J44:J46" si="36">SUM(G44:I44)</f>
        <v>4.7628670658250893</v>
      </c>
      <c r="K44" s="279"/>
      <c r="L44" s="278">
        <v>3.2362028796501501</v>
      </c>
      <c r="M44" s="278">
        <v>0.13235975162788374</v>
      </c>
      <c r="N44" s="278">
        <v>4.382448025223664E-2</v>
      </c>
      <c r="O44" s="278">
        <f t="shared" ref="O44:O51" si="37">SUM(L44:N44)</f>
        <v>3.4123871115302702</v>
      </c>
    </row>
    <row r="45" spans="1:15" s="212" customFormat="1">
      <c r="A45" s="213" t="str">
        <f>name!E$6</f>
        <v>Associate professional occupations</v>
      </c>
      <c r="B45" s="278">
        <v>2.8608812524286664</v>
      </c>
      <c r="C45" s="278">
        <v>9.7438230133915088E-2</v>
      </c>
      <c r="D45" s="278">
        <v>0.36965016006925244</v>
      </c>
      <c r="E45" s="278">
        <f t="shared" si="35"/>
        <v>3.3279696426318339</v>
      </c>
      <c r="F45" s="279"/>
      <c r="G45" s="278">
        <v>3.1834633979084672</v>
      </c>
      <c r="H45" s="278">
        <v>0.11745079111554432</v>
      </c>
      <c r="I45" s="278">
        <v>0.10168406335796118</v>
      </c>
      <c r="J45" s="278">
        <f t="shared" si="36"/>
        <v>3.4025982523819729</v>
      </c>
      <c r="K45" s="279"/>
      <c r="L45" s="278">
        <v>1.9586208162649106</v>
      </c>
      <c r="M45" s="278">
        <v>7.503876283327969E-2</v>
      </c>
      <c r="N45" s="278">
        <v>4.046784028188833E-2</v>
      </c>
      <c r="O45" s="278">
        <f t="shared" si="37"/>
        <v>2.0741274193800789</v>
      </c>
    </row>
    <row r="46" spans="1:15" s="212" customFormat="1">
      <c r="A46" s="213" t="str">
        <f>name!E$7</f>
        <v>Administrative and secretarial occupations</v>
      </c>
      <c r="B46" s="278">
        <v>1.4838420632842699</v>
      </c>
      <c r="C46" s="278">
        <v>0.17140664467302935</v>
      </c>
      <c r="D46" s="278">
        <v>0.41349364544612921</v>
      </c>
      <c r="E46" s="278">
        <f t="shared" si="35"/>
        <v>2.0687423534034286</v>
      </c>
      <c r="F46" s="279"/>
      <c r="G46" s="278">
        <v>1.4509239544914942</v>
      </c>
      <c r="H46" s="278">
        <v>0.28157604349261678</v>
      </c>
      <c r="I46" s="278">
        <v>5.1064682968459361E-2</v>
      </c>
      <c r="J46" s="278">
        <f t="shared" si="36"/>
        <v>1.7835646809525705</v>
      </c>
      <c r="K46" s="279"/>
      <c r="L46" s="278">
        <v>0.82944158563410653</v>
      </c>
      <c r="M46" s="278">
        <v>0.177498638726133</v>
      </c>
      <c r="N46" s="278">
        <v>4.1087093487883704E-2</v>
      </c>
      <c r="O46" s="278">
        <f t="shared" si="37"/>
        <v>1.0480273178481232</v>
      </c>
    </row>
    <row r="47" spans="1:15" s="212" customFormat="1">
      <c r="A47" s="213" t="str">
        <f>name!E$8</f>
        <v>Skilled trades occupations</v>
      </c>
      <c r="B47" s="278">
        <v>5.2207135439183006</v>
      </c>
      <c r="C47" s="278">
        <v>0.11647116303627468</v>
      </c>
      <c r="D47" s="278">
        <v>1.1747062498887928</v>
      </c>
      <c r="E47" s="278">
        <f t="shared" si="35"/>
        <v>6.5118909568433683</v>
      </c>
      <c r="F47" s="279"/>
      <c r="G47" s="278">
        <v>3.9116232131039519</v>
      </c>
      <c r="H47" s="278">
        <v>6.1157386289434595E-2</v>
      </c>
      <c r="I47" s="278">
        <v>0.34754498488630309</v>
      </c>
      <c r="J47" s="278">
        <f>SUM(G47:I47)</f>
        <v>4.3203255842796899</v>
      </c>
      <c r="K47" s="279"/>
      <c r="L47" s="278">
        <v>1.9045270430565582</v>
      </c>
      <c r="M47" s="278">
        <v>5.7819164140678503E-2</v>
      </c>
      <c r="N47" s="278">
        <v>0.13112546651999574</v>
      </c>
      <c r="O47" s="278">
        <f t="shared" si="37"/>
        <v>2.0934716737172323</v>
      </c>
    </row>
    <row r="48" spans="1:15" s="212" customFormat="1">
      <c r="A48" s="213" t="str">
        <f>name!E$9</f>
        <v>Caring, leisure and other service occupations</v>
      </c>
      <c r="B48" s="278">
        <v>0.38316882140626934</v>
      </c>
      <c r="C48" s="278">
        <v>0.2453367002109319</v>
      </c>
      <c r="D48" s="278">
        <v>7.3692425839659112E-2</v>
      </c>
      <c r="E48" s="278">
        <f t="shared" si="35"/>
        <v>0.70219794745686037</v>
      </c>
      <c r="F48" s="279"/>
      <c r="G48" s="278">
        <v>0.38476189513502435</v>
      </c>
      <c r="H48" s="278">
        <v>0.20383296702812836</v>
      </c>
      <c r="I48" s="278">
        <v>1.5037230641278173E-2</v>
      </c>
      <c r="J48" s="278">
        <f t="shared" ref="J48:J51" si="38">SUM(G48:I48)</f>
        <v>0.60363209280443086</v>
      </c>
      <c r="K48" s="279"/>
      <c r="L48" s="278">
        <v>0.21783839069912356</v>
      </c>
      <c r="M48" s="278">
        <v>0.12560551252863075</v>
      </c>
      <c r="N48" s="278">
        <v>1.4129709977362738E-2</v>
      </c>
      <c r="O48" s="278">
        <f t="shared" si="37"/>
        <v>0.35757361320511705</v>
      </c>
    </row>
    <row r="49" spans="1:15" s="212" customFormat="1">
      <c r="A49" s="213" t="str">
        <f>name!E$10</f>
        <v>Sales and customer service occupations</v>
      </c>
      <c r="B49" s="278">
        <v>0.49424132539540699</v>
      </c>
      <c r="C49" s="278">
        <v>0.19634394487364401</v>
      </c>
      <c r="D49" s="278">
        <v>0.15333026561753671</v>
      </c>
      <c r="E49" s="278">
        <f t="shared" si="35"/>
        <v>0.84391553588658774</v>
      </c>
      <c r="F49" s="279"/>
      <c r="G49" s="278">
        <v>0.45774245791202522</v>
      </c>
      <c r="H49" s="278">
        <v>0.16065950320444852</v>
      </c>
      <c r="I49" s="278">
        <v>2.7544625698577664E-2</v>
      </c>
      <c r="J49" s="278">
        <f t="shared" si="38"/>
        <v>0.64594658681505135</v>
      </c>
      <c r="K49" s="279"/>
      <c r="L49" s="278">
        <v>0.27117294966461858</v>
      </c>
      <c r="M49" s="278">
        <v>9.557987747344561E-2</v>
      </c>
      <c r="N49" s="278">
        <v>1.888644403069957E-2</v>
      </c>
      <c r="O49" s="278">
        <f t="shared" si="37"/>
        <v>0.38563927116876373</v>
      </c>
    </row>
    <row r="50" spans="1:15" s="212" customFormat="1">
      <c r="A50" s="213" t="str">
        <f>name!E$11</f>
        <v>Process, plant and machine operatives</v>
      </c>
      <c r="B50" s="278">
        <v>5.0862933125720131</v>
      </c>
      <c r="C50" s="278">
        <v>0.17824582001142994</v>
      </c>
      <c r="D50" s="278">
        <v>0.74172390130182497</v>
      </c>
      <c r="E50" s="278">
        <f t="shared" si="35"/>
        <v>6.0062630338852676</v>
      </c>
      <c r="F50" s="279"/>
      <c r="G50" s="278">
        <v>4.0031323147876519</v>
      </c>
      <c r="H50" s="278">
        <v>0.11457419558896344</v>
      </c>
      <c r="I50" s="278">
        <v>0.34771571621402375</v>
      </c>
      <c r="J50" s="278">
        <f t="shared" si="38"/>
        <v>4.4654222265906398</v>
      </c>
      <c r="K50" s="279"/>
      <c r="L50" s="278">
        <v>2.0299365613122902</v>
      </c>
      <c r="M50" s="278">
        <v>7.5671388467634992E-2</v>
      </c>
      <c r="N50" s="278">
        <v>0.34269683161273462</v>
      </c>
      <c r="O50" s="278">
        <f t="shared" si="37"/>
        <v>2.4483047813926597</v>
      </c>
    </row>
    <row r="51" spans="1:15" s="212" customFormat="1">
      <c r="A51" s="213" t="str">
        <f>name!E$12</f>
        <v>Elementary occupations</v>
      </c>
      <c r="B51" s="278">
        <v>0.67137312523465631</v>
      </c>
      <c r="C51" s="278">
        <v>0.2175360312237703</v>
      </c>
      <c r="D51" s="278">
        <v>1.897597279934391</v>
      </c>
      <c r="E51" s="278">
        <f t="shared" si="35"/>
        <v>2.7865064363928176</v>
      </c>
      <c r="F51" s="279"/>
      <c r="G51" s="278">
        <v>0.44057515130333524</v>
      </c>
      <c r="H51" s="278">
        <v>0.11589093297434913</v>
      </c>
      <c r="I51" s="278">
        <v>0.32049207155154713</v>
      </c>
      <c r="J51" s="278">
        <f t="shared" si="38"/>
        <v>0.87695815582923153</v>
      </c>
      <c r="K51" s="279"/>
      <c r="L51" s="278">
        <v>0.25043483042784448</v>
      </c>
      <c r="M51" s="278">
        <v>8.5488614368186139E-2</v>
      </c>
      <c r="N51" s="278">
        <v>0.20734490311759265</v>
      </c>
      <c r="O51" s="278">
        <f t="shared" si="37"/>
        <v>0.54326834791362333</v>
      </c>
    </row>
    <row r="52" spans="1:15" s="212" customFormat="1">
      <c r="A52" s="213"/>
      <c r="B52" s="278"/>
      <c r="C52" s="278"/>
      <c r="D52" s="278"/>
      <c r="E52" s="278"/>
      <c r="F52" s="279"/>
      <c r="G52" s="278"/>
      <c r="H52" s="278"/>
      <c r="I52" s="278"/>
      <c r="J52" s="278"/>
      <c r="K52" s="279"/>
      <c r="L52" s="278"/>
      <c r="M52" s="278"/>
      <c r="N52" s="278"/>
      <c r="O52" s="278"/>
    </row>
    <row r="53" spans="1:15" s="212" customFormat="1">
      <c r="A53" s="220" t="s">
        <v>119</v>
      </c>
      <c r="B53" s="282">
        <f>SUM(B43:B51)</f>
        <v>22.850999999881321</v>
      </c>
      <c r="C53" s="282">
        <f t="shared" ref="C53:E53" si="39">SUM(C43:C51)</f>
        <v>1.4309999999984884</v>
      </c>
      <c r="D53" s="282">
        <f t="shared" si="39"/>
        <v>6.1129999999779674</v>
      </c>
      <c r="E53" s="282">
        <f t="shared" si="39"/>
        <v>30.39499999985777</v>
      </c>
      <c r="F53" s="282"/>
      <c r="G53" s="282">
        <f t="shared" ref="G53:J53" si="40">SUM(G43:G51)</f>
        <v>21.213000000009984</v>
      </c>
      <c r="H53" s="282">
        <f t="shared" si="40"/>
        <v>1.4030000000013068</v>
      </c>
      <c r="I53" s="282">
        <f t="shared" si="40"/>
        <v>1.8899999999858341</v>
      </c>
      <c r="J53" s="282">
        <f t="shared" si="40"/>
        <v>24.505999999997126</v>
      </c>
      <c r="K53" s="282"/>
      <c r="L53" s="282">
        <f t="shared" ref="L53:O53" si="41">SUM(L43:L51)</f>
        <v>12.554000000085663</v>
      </c>
      <c r="M53" s="282">
        <f t="shared" si="41"/>
        <v>0.93400000000270866</v>
      </c>
      <c r="N53" s="282">
        <f t="shared" si="41"/>
        <v>1.2099999999796418</v>
      </c>
      <c r="O53" s="282">
        <f t="shared" si="41"/>
        <v>14.698000000068012</v>
      </c>
    </row>
    <row r="54" spans="1:15" s="212" customFormat="1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6"/>
    </row>
    <row r="55" spans="1:15" s="212" customFormat="1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6"/>
      <c r="O55" s="227" t="s">
        <v>114</v>
      </c>
    </row>
    <row r="56" spans="1:15" s="212" customFormat="1" ht="12.95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</row>
    <row r="57" spans="1:15" s="212" customFormat="1" ht="12.95">
      <c r="A57" s="217" t="str">
        <f>name!A6</f>
        <v>Food products</v>
      </c>
      <c r="B57" s="369">
        <f>$B$6</f>
        <v>2015</v>
      </c>
      <c r="C57" s="369"/>
      <c r="D57" s="369"/>
      <c r="E57" s="369"/>
      <c r="F57" s="239"/>
      <c r="G57" s="369">
        <f>$G$6</f>
        <v>2020</v>
      </c>
      <c r="H57" s="369"/>
      <c r="I57" s="369"/>
      <c r="J57" s="369"/>
      <c r="K57" s="239"/>
      <c r="L57" s="369">
        <f>$L$6</f>
        <v>2035</v>
      </c>
      <c r="M57" s="369"/>
      <c r="N57" s="369"/>
      <c r="O57" s="369"/>
    </row>
    <row r="58" spans="1:15" s="212" customFormat="1" ht="12.95">
      <c r="A58" s="230"/>
      <c r="B58" s="244" t="str">
        <f>$B$7</f>
        <v>FT</v>
      </c>
      <c r="C58" s="244" t="str">
        <f>$C$7</f>
        <v>PT</v>
      </c>
      <c r="D58" s="244" t="str">
        <f>$D$7</f>
        <v>SE</v>
      </c>
      <c r="E58" s="244" t="str">
        <f>$E$7</f>
        <v>Total</v>
      </c>
      <c r="F58" s="244"/>
      <c r="G58" s="244" t="str">
        <f>$G$7</f>
        <v>FT</v>
      </c>
      <c r="H58" s="244" t="str">
        <f>$H$7</f>
        <v>PT</v>
      </c>
      <c r="I58" s="244" t="str">
        <f>$I$7</f>
        <v>SE</v>
      </c>
      <c r="J58" s="244" t="str">
        <f>$J$7</f>
        <v>Total</v>
      </c>
      <c r="K58" s="244"/>
      <c r="L58" s="244" t="str">
        <f>$L$7</f>
        <v>FT</v>
      </c>
      <c r="M58" s="244" t="str">
        <f>$M$7</f>
        <v>PT</v>
      </c>
      <c r="N58" s="244" t="str">
        <f>$N$7</f>
        <v>SE</v>
      </c>
      <c r="O58" s="244" t="str">
        <f>$O$7</f>
        <v>Total</v>
      </c>
    </row>
    <row r="59" spans="1:15" s="212" customFormat="1" ht="12.95">
      <c r="A59" s="234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</row>
    <row r="60" spans="1:15" s="212" customFormat="1">
      <c r="A60" s="213" t="str">
        <f>name!E$4</f>
        <v>Managers, directors and senior officials</v>
      </c>
      <c r="B60" s="278">
        <v>20.939665013767765</v>
      </c>
      <c r="C60" s="278">
        <v>1.6023323088838772</v>
      </c>
      <c r="D60" s="278">
        <v>2.0054341248044154</v>
      </c>
      <c r="E60" s="278">
        <f>SUM(B60:D60)</f>
        <v>24.547431447456059</v>
      </c>
      <c r="F60" s="279"/>
      <c r="G60" s="278">
        <v>28.934932797132493</v>
      </c>
      <c r="H60" s="278">
        <v>2.6627531689849202</v>
      </c>
      <c r="I60" s="278">
        <v>1.8016810789761457</v>
      </c>
      <c r="J60" s="278">
        <f>SUM(G60:I60)</f>
        <v>33.399367045093562</v>
      </c>
      <c r="K60" s="279"/>
      <c r="L60" s="278">
        <v>27.209635337048656</v>
      </c>
      <c r="M60" s="278">
        <v>2.0626845363246593</v>
      </c>
      <c r="N60" s="278">
        <v>1.7212675780708078</v>
      </c>
      <c r="O60" s="278">
        <f>SUM(L60:N60)</f>
        <v>30.993587451444125</v>
      </c>
    </row>
    <row r="61" spans="1:15" s="212" customFormat="1">
      <c r="A61" s="213" t="str">
        <f>name!E$5</f>
        <v>Professional occupations</v>
      </c>
      <c r="B61" s="278">
        <v>18.008838419608669</v>
      </c>
      <c r="C61" s="278">
        <v>0.90672505048074459</v>
      </c>
      <c r="D61" s="278">
        <v>0.81055104890459462</v>
      </c>
      <c r="E61" s="278">
        <f t="shared" ref="E61:E68" si="42">SUM(B61:D61)</f>
        <v>19.726114518994009</v>
      </c>
      <c r="F61" s="279"/>
      <c r="G61" s="278">
        <v>27.334848397854966</v>
      </c>
      <c r="H61" s="278">
        <v>1.4334679950096887</v>
      </c>
      <c r="I61" s="278">
        <v>0.77028657525398181</v>
      </c>
      <c r="J61" s="278">
        <f t="shared" ref="J61:J63" si="43">SUM(G61:I61)</f>
        <v>29.538602968118639</v>
      </c>
      <c r="K61" s="279"/>
      <c r="L61" s="278">
        <v>38.332720410447756</v>
      </c>
      <c r="M61" s="278">
        <v>1.2977281270581991</v>
      </c>
      <c r="N61" s="278">
        <v>0.46986626013026828</v>
      </c>
      <c r="O61" s="278">
        <f t="shared" ref="O61:O68" si="44">SUM(L61:N61)</f>
        <v>40.100314797636223</v>
      </c>
    </row>
    <row r="62" spans="1:15" s="212" customFormat="1">
      <c r="A62" s="213" t="str">
        <f>name!E$6</f>
        <v>Associate professional occupations</v>
      </c>
      <c r="B62" s="278">
        <v>25.356848881267105</v>
      </c>
      <c r="C62" s="278">
        <v>1.9321221788513625</v>
      </c>
      <c r="D62" s="278">
        <v>0.60236771096500796</v>
      </c>
      <c r="E62" s="278">
        <f t="shared" si="42"/>
        <v>27.891338771083475</v>
      </c>
      <c r="F62" s="279"/>
      <c r="G62" s="278">
        <v>35.790041561930835</v>
      </c>
      <c r="H62" s="278">
        <v>2.4632494561902214</v>
      </c>
      <c r="I62" s="278">
        <v>0.48485309688819189</v>
      </c>
      <c r="J62" s="278">
        <f t="shared" si="43"/>
        <v>38.738144115009248</v>
      </c>
      <c r="K62" s="279"/>
      <c r="L62" s="278">
        <v>38.966547417965948</v>
      </c>
      <c r="M62" s="278">
        <v>1.72054580514088</v>
      </c>
      <c r="N62" s="278">
        <v>0.33301125212603555</v>
      </c>
      <c r="O62" s="278">
        <f t="shared" si="44"/>
        <v>41.020104475232863</v>
      </c>
    </row>
    <row r="63" spans="1:15" s="212" customFormat="1">
      <c r="A63" s="213" t="str">
        <f>name!E$7</f>
        <v>Administrative and secretarial occupations</v>
      </c>
      <c r="B63" s="278">
        <v>15.74271890872393</v>
      </c>
      <c r="C63" s="278">
        <v>6.5182190525627961</v>
      </c>
      <c r="D63" s="278">
        <v>0.69212492215185295</v>
      </c>
      <c r="E63" s="278">
        <f t="shared" si="42"/>
        <v>22.953062883438577</v>
      </c>
      <c r="F63" s="279"/>
      <c r="G63" s="278">
        <v>19.983370284020513</v>
      </c>
      <c r="H63" s="278">
        <v>6.4993877428960438</v>
      </c>
      <c r="I63" s="278">
        <v>0.4336276768673466</v>
      </c>
      <c r="J63" s="278">
        <f t="shared" si="43"/>
        <v>26.916385703783902</v>
      </c>
      <c r="K63" s="279"/>
      <c r="L63" s="278">
        <v>21.580524570993056</v>
      </c>
      <c r="M63" s="278">
        <v>3.589062383539293</v>
      </c>
      <c r="N63" s="278">
        <v>0.32087248530980977</v>
      </c>
      <c r="O63" s="278">
        <f t="shared" si="44"/>
        <v>25.490459439842159</v>
      </c>
    </row>
    <row r="64" spans="1:15" s="212" customFormat="1">
      <c r="A64" s="213" t="str">
        <f>name!E$8</f>
        <v>Skilled trades occupations</v>
      </c>
      <c r="B64" s="278">
        <v>40.009537320036721</v>
      </c>
      <c r="C64" s="278">
        <v>2.1693852075221551</v>
      </c>
      <c r="D64" s="278">
        <v>4.8709969577167085</v>
      </c>
      <c r="E64" s="278">
        <f t="shared" si="42"/>
        <v>47.049919485275581</v>
      </c>
      <c r="F64" s="279"/>
      <c r="G64" s="278">
        <v>36.891964016611517</v>
      </c>
      <c r="H64" s="278">
        <v>1.7950669131165322</v>
      </c>
      <c r="I64" s="278">
        <v>3.6421690359710301</v>
      </c>
      <c r="J64" s="278">
        <f>SUM(G64:I64)</f>
        <v>42.329199965699082</v>
      </c>
      <c r="K64" s="279"/>
      <c r="L64" s="278">
        <v>31.620206733784055</v>
      </c>
      <c r="M64" s="278">
        <v>1.1182962437584356</v>
      </c>
      <c r="N64" s="278">
        <v>2.7465065416842251</v>
      </c>
      <c r="O64" s="278">
        <f t="shared" si="44"/>
        <v>35.485009519226715</v>
      </c>
    </row>
    <row r="65" spans="1:15" s="212" customFormat="1">
      <c r="A65" s="213" t="str">
        <f>name!E$9</f>
        <v>Caring, leisure and other service occupations</v>
      </c>
      <c r="B65" s="278">
        <v>1.6560435055444069</v>
      </c>
      <c r="C65" s="278">
        <v>0.43418298225057994</v>
      </c>
      <c r="D65" s="278">
        <v>0.1974007668869282</v>
      </c>
      <c r="E65" s="278">
        <f t="shared" si="42"/>
        <v>2.2876272546819152</v>
      </c>
      <c r="F65" s="279"/>
      <c r="G65" s="278">
        <v>2.0383573348329072</v>
      </c>
      <c r="H65" s="278">
        <v>0.43011516700575442</v>
      </c>
      <c r="I65" s="278">
        <v>0.22800177860654294</v>
      </c>
      <c r="J65" s="278">
        <f t="shared" ref="J65:J68" si="45">SUM(G65:I65)</f>
        <v>2.6964742804452047</v>
      </c>
      <c r="K65" s="279"/>
      <c r="L65" s="278">
        <v>1.7353236047756646</v>
      </c>
      <c r="M65" s="278">
        <v>0.22716676388405127</v>
      </c>
      <c r="N65" s="278">
        <v>0.22212193770878882</v>
      </c>
      <c r="O65" s="278">
        <f t="shared" si="44"/>
        <v>2.1846123063685048</v>
      </c>
    </row>
    <row r="66" spans="1:15" s="212" customFormat="1">
      <c r="A66" s="213" t="str">
        <f>name!E$10</f>
        <v>Sales and customer service occupations</v>
      </c>
      <c r="B66" s="278">
        <v>6.6311654423322999</v>
      </c>
      <c r="C66" s="278">
        <v>5.6056249257583231</v>
      </c>
      <c r="D66" s="278">
        <v>0.53084116095982303</v>
      </c>
      <c r="E66" s="278">
        <f t="shared" si="42"/>
        <v>12.767631529050448</v>
      </c>
      <c r="F66" s="279"/>
      <c r="G66" s="278">
        <v>7.5567992225753997</v>
      </c>
      <c r="H66" s="278">
        <v>5.584113247606072</v>
      </c>
      <c r="I66" s="278">
        <v>0.35070404168540281</v>
      </c>
      <c r="J66" s="278">
        <f t="shared" si="45"/>
        <v>13.491616511866875</v>
      </c>
      <c r="K66" s="279"/>
      <c r="L66" s="278">
        <v>8.1984599036381312</v>
      </c>
      <c r="M66" s="278">
        <v>4.3692914169195971</v>
      </c>
      <c r="N66" s="278">
        <v>0.27143919197281319</v>
      </c>
      <c r="O66" s="278">
        <f t="shared" si="44"/>
        <v>12.839190512530543</v>
      </c>
    </row>
    <row r="67" spans="1:15" s="212" customFormat="1">
      <c r="A67" s="213" t="str">
        <f>name!E$11</f>
        <v>Process, plant and machine operatives</v>
      </c>
      <c r="B67" s="278">
        <v>89.549966881166725</v>
      </c>
      <c r="C67" s="278">
        <v>8.822487221797811</v>
      </c>
      <c r="D67" s="278">
        <v>1.6953910761813895</v>
      </c>
      <c r="E67" s="278">
        <f t="shared" si="42"/>
        <v>100.06784517914593</v>
      </c>
      <c r="F67" s="279"/>
      <c r="G67" s="278">
        <v>83.281895480272368</v>
      </c>
      <c r="H67" s="278">
        <v>8.8551408195089572</v>
      </c>
      <c r="I67" s="278">
        <v>2.2026049691503835</v>
      </c>
      <c r="J67" s="278">
        <f t="shared" si="45"/>
        <v>94.339641268931715</v>
      </c>
      <c r="K67" s="279"/>
      <c r="L67" s="278">
        <v>67.582894580858451</v>
      </c>
      <c r="M67" s="278">
        <v>8.6011547098541641</v>
      </c>
      <c r="N67" s="278">
        <v>2.9428552655145594</v>
      </c>
      <c r="O67" s="278">
        <f t="shared" si="44"/>
        <v>79.126904556227174</v>
      </c>
    </row>
    <row r="68" spans="1:15" s="212" customFormat="1">
      <c r="A68" s="213" t="str">
        <f>name!E$12</f>
        <v>Elementary occupations</v>
      </c>
      <c r="B68" s="278">
        <v>43.923215627919255</v>
      </c>
      <c r="C68" s="278">
        <v>9.9979210727098522</v>
      </c>
      <c r="D68" s="278">
        <v>0.8718922315316765</v>
      </c>
      <c r="E68" s="278">
        <f t="shared" si="42"/>
        <v>54.79302893216078</v>
      </c>
      <c r="F68" s="279"/>
      <c r="G68" s="278">
        <v>40.27079090479441</v>
      </c>
      <c r="H68" s="278">
        <v>10.057705490126152</v>
      </c>
      <c r="I68" s="278">
        <v>0.5160717464587754</v>
      </c>
      <c r="J68" s="278">
        <f t="shared" si="45"/>
        <v>50.844568141379341</v>
      </c>
      <c r="K68" s="279"/>
      <c r="L68" s="278">
        <v>42.689687443759759</v>
      </c>
      <c r="M68" s="278">
        <v>16.753070014551383</v>
      </c>
      <c r="N68" s="278">
        <v>1.365059487415516</v>
      </c>
      <c r="O68" s="278">
        <f t="shared" si="44"/>
        <v>60.807816945726657</v>
      </c>
    </row>
    <row r="69" spans="1:15" s="212" customFormat="1">
      <c r="A69" s="213"/>
      <c r="B69" s="278"/>
      <c r="C69" s="278"/>
      <c r="D69" s="278"/>
      <c r="E69" s="278"/>
      <c r="F69" s="279"/>
      <c r="G69" s="278"/>
      <c r="H69" s="278"/>
      <c r="I69" s="278"/>
      <c r="J69" s="278"/>
      <c r="K69" s="279"/>
      <c r="L69" s="278"/>
      <c r="M69" s="278"/>
      <c r="N69" s="278"/>
      <c r="O69" s="278"/>
    </row>
    <row r="70" spans="1:15" s="212" customFormat="1">
      <c r="A70" s="220" t="s">
        <v>119</v>
      </c>
      <c r="B70" s="282">
        <f>SUM(B60:B68)</f>
        <v>261.81800000036685</v>
      </c>
      <c r="C70" s="282">
        <f t="shared" ref="C70:E70" si="46">SUM(C60:C68)</f>
        <v>37.989000000817505</v>
      </c>
      <c r="D70" s="282">
        <f t="shared" si="46"/>
        <v>12.277000000102397</v>
      </c>
      <c r="E70" s="282">
        <f t="shared" si="46"/>
        <v>312.08400000128682</v>
      </c>
      <c r="F70" s="282"/>
      <c r="G70" s="282">
        <f t="shared" ref="G70:J70" si="47">SUM(G60:G68)</f>
        <v>282.08300000002544</v>
      </c>
      <c r="H70" s="282">
        <f t="shared" si="47"/>
        <v>39.781000000444344</v>
      </c>
      <c r="I70" s="282">
        <f t="shared" si="47"/>
        <v>10.429999999857802</v>
      </c>
      <c r="J70" s="282">
        <f t="shared" si="47"/>
        <v>332.29400000032757</v>
      </c>
      <c r="K70" s="282"/>
      <c r="L70" s="282">
        <f t="shared" ref="L70:O70" si="48">SUM(L60:L68)</f>
        <v>277.91600000327145</v>
      </c>
      <c r="M70" s="282">
        <f t="shared" si="48"/>
        <v>39.739000001030661</v>
      </c>
      <c r="N70" s="282">
        <f t="shared" si="48"/>
        <v>10.392999999932824</v>
      </c>
      <c r="O70" s="282">
        <f t="shared" si="48"/>
        <v>328.04800000423495</v>
      </c>
    </row>
    <row r="71" spans="1:15" s="212" customFormat="1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6"/>
    </row>
    <row r="72" spans="1:15" s="212" customFormat="1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6"/>
      <c r="O72" s="227" t="s">
        <v>114</v>
      </c>
    </row>
    <row r="73" spans="1:15" s="212" customFormat="1" ht="12.95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</row>
    <row r="74" spans="1:15" s="212" customFormat="1" ht="12.95">
      <c r="A74" s="217" t="str">
        <f>name!A7</f>
        <v>Beverages and tobacco</v>
      </c>
      <c r="B74" s="369">
        <f>$B$6</f>
        <v>2015</v>
      </c>
      <c r="C74" s="369"/>
      <c r="D74" s="369"/>
      <c r="E74" s="369"/>
      <c r="F74" s="239"/>
      <c r="G74" s="369">
        <f>$G$6</f>
        <v>2020</v>
      </c>
      <c r="H74" s="369"/>
      <c r="I74" s="369"/>
      <c r="J74" s="369"/>
      <c r="K74" s="239"/>
      <c r="L74" s="369">
        <f>$L$6</f>
        <v>2035</v>
      </c>
      <c r="M74" s="369"/>
      <c r="N74" s="369"/>
      <c r="O74" s="369"/>
    </row>
    <row r="75" spans="1:15" s="212" customFormat="1" ht="12.95">
      <c r="A75" s="230"/>
      <c r="B75" s="244" t="str">
        <f>$B$7</f>
        <v>FT</v>
      </c>
      <c r="C75" s="244" t="str">
        <f>$C$7</f>
        <v>PT</v>
      </c>
      <c r="D75" s="244" t="str">
        <f>$D$7</f>
        <v>SE</v>
      </c>
      <c r="E75" s="244" t="str">
        <f>$E$7</f>
        <v>Total</v>
      </c>
      <c r="F75" s="244"/>
      <c r="G75" s="244" t="str">
        <f>$G$7</f>
        <v>FT</v>
      </c>
      <c r="H75" s="244" t="str">
        <f>$H$7</f>
        <v>PT</v>
      </c>
      <c r="I75" s="244" t="str">
        <f>$I$7</f>
        <v>SE</v>
      </c>
      <c r="J75" s="244" t="str">
        <f>$J$7</f>
        <v>Total</v>
      </c>
      <c r="K75" s="244"/>
      <c r="L75" s="244" t="str">
        <f>$L$7</f>
        <v>FT</v>
      </c>
      <c r="M75" s="244" t="str">
        <f>$M$7</f>
        <v>PT</v>
      </c>
      <c r="N75" s="244" t="str">
        <f>$N$7</f>
        <v>SE</v>
      </c>
      <c r="O75" s="244" t="str">
        <f>$O$7</f>
        <v>Total</v>
      </c>
    </row>
    <row r="76" spans="1:15" s="212" customFormat="1" ht="12.95">
      <c r="A76" s="234"/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</row>
    <row r="77" spans="1:15" s="212" customFormat="1">
      <c r="A77" s="213" t="str">
        <f>name!E$4</f>
        <v>Managers, directors and senior officials</v>
      </c>
      <c r="B77" s="278">
        <v>2.9883322503940408</v>
      </c>
      <c r="C77" s="278">
        <v>0.22661781137007292</v>
      </c>
      <c r="D77" s="278">
        <v>0.12085115517932907</v>
      </c>
      <c r="E77" s="278">
        <f>SUM(B77:D77)</f>
        <v>3.3358012169434428</v>
      </c>
      <c r="F77" s="279"/>
      <c r="G77" s="278">
        <v>4.1897343425650186</v>
      </c>
      <c r="H77" s="278">
        <v>0.56148948496230577</v>
      </c>
      <c r="I77" s="278">
        <v>0.31694743139229953</v>
      </c>
      <c r="J77" s="278">
        <f>SUM(G77:I77)</f>
        <v>5.0681712589196239</v>
      </c>
      <c r="K77" s="279"/>
      <c r="L77" s="278">
        <v>3.7542433735693903</v>
      </c>
      <c r="M77" s="278">
        <v>0.63676729764723672</v>
      </c>
      <c r="N77" s="278">
        <v>0.3886170219884359</v>
      </c>
      <c r="O77" s="278">
        <f>SUM(L77:N77)</f>
        <v>4.7796276932050628</v>
      </c>
    </row>
    <row r="78" spans="1:15" s="212" customFormat="1">
      <c r="A78" s="213" t="str">
        <f>name!E$5</f>
        <v>Professional occupations</v>
      </c>
      <c r="B78" s="278">
        <v>3.3192799425658466</v>
      </c>
      <c r="C78" s="278">
        <v>0.3073500390747369</v>
      </c>
      <c r="D78" s="278">
        <v>0.24371606439708562</v>
      </c>
      <c r="E78" s="278">
        <f t="shared" ref="E78:E85" si="49">SUM(B78:D78)</f>
        <v>3.8703460460376689</v>
      </c>
      <c r="F78" s="279"/>
      <c r="G78" s="278">
        <v>5.1313976016682679</v>
      </c>
      <c r="H78" s="278">
        <v>0.6158637971614529</v>
      </c>
      <c r="I78" s="278">
        <v>0.44630179541688741</v>
      </c>
      <c r="J78" s="278">
        <f t="shared" ref="J78:J80" si="50">SUM(G78:I78)</f>
        <v>6.1935631942466083</v>
      </c>
      <c r="K78" s="279"/>
      <c r="L78" s="278">
        <v>6.5465729291532231</v>
      </c>
      <c r="M78" s="278">
        <v>0.62262507356371222</v>
      </c>
      <c r="N78" s="278">
        <v>0.40345217010807249</v>
      </c>
      <c r="O78" s="278">
        <f t="shared" ref="O78:O85" si="51">SUM(L78:N78)</f>
        <v>7.572650172825008</v>
      </c>
    </row>
    <row r="79" spans="1:15" s="212" customFormat="1">
      <c r="A79" s="213" t="str">
        <f>name!E$6</f>
        <v>Associate professional occupations</v>
      </c>
      <c r="B79" s="278">
        <v>3.6968126658039857</v>
      </c>
      <c r="C79" s="278">
        <v>0.54008549286660246</v>
      </c>
      <c r="D79" s="278">
        <v>0.10103183190724702</v>
      </c>
      <c r="E79" s="278">
        <f t="shared" si="49"/>
        <v>4.3379299905778348</v>
      </c>
      <c r="F79" s="279"/>
      <c r="G79" s="278">
        <v>5.2870902670213944</v>
      </c>
      <c r="H79" s="278">
        <v>1.0467277592656392</v>
      </c>
      <c r="I79" s="278">
        <v>0.18280363324554702</v>
      </c>
      <c r="J79" s="278">
        <f t="shared" si="50"/>
        <v>6.5166216595325812</v>
      </c>
      <c r="K79" s="279"/>
      <c r="L79" s="278">
        <v>5.2837898218770967</v>
      </c>
      <c r="M79" s="278">
        <v>0.95143025545933391</v>
      </c>
      <c r="N79" s="278">
        <v>0.1613387083255671</v>
      </c>
      <c r="O79" s="278">
        <f t="shared" si="51"/>
        <v>6.3965587856619974</v>
      </c>
    </row>
    <row r="80" spans="1:15" s="212" customFormat="1">
      <c r="A80" s="213" t="str">
        <f>name!E$7</f>
        <v>Administrative and secretarial occupations</v>
      </c>
      <c r="B80" s="278">
        <v>1.7090311733214028</v>
      </c>
      <c r="C80" s="278">
        <v>0.88261523574202916</v>
      </c>
      <c r="D80" s="278">
        <v>5.16491215244382E-2</v>
      </c>
      <c r="E80" s="278">
        <f t="shared" si="49"/>
        <v>2.6432955305878703</v>
      </c>
      <c r="F80" s="279"/>
      <c r="G80" s="278">
        <v>1.9720360146406886</v>
      </c>
      <c r="H80" s="278">
        <v>1.2946436285759082</v>
      </c>
      <c r="I80" s="278">
        <v>7.3107842100768913E-2</v>
      </c>
      <c r="J80" s="278">
        <f t="shared" si="50"/>
        <v>3.3397874853173657</v>
      </c>
      <c r="K80" s="279"/>
      <c r="L80" s="278">
        <v>1.5673582309183294</v>
      </c>
      <c r="M80" s="278">
        <v>1.19323694802035</v>
      </c>
      <c r="N80" s="278">
        <v>7.8487555184227106E-2</v>
      </c>
      <c r="O80" s="278">
        <f t="shared" si="51"/>
        <v>2.8390827341229063</v>
      </c>
    </row>
    <row r="81" spans="1:15" s="212" customFormat="1">
      <c r="A81" s="213" t="str">
        <f>name!E$8</f>
        <v>Skilled trades occupations</v>
      </c>
      <c r="B81" s="278">
        <v>1.836386785987622</v>
      </c>
      <c r="C81" s="278">
        <v>0.12247142398225491</v>
      </c>
      <c r="D81" s="278">
        <v>0.18782900428328669</v>
      </c>
      <c r="E81" s="278">
        <f t="shared" si="49"/>
        <v>2.1466872142531637</v>
      </c>
      <c r="F81" s="279"/>
      <c r="G81" s="278">
        <v>1.8849880199918554</v>
      </c>
      <c r="H81" s="278">
        <v>0.15528908623035387</v>
      </c>
      <c r="I81" s="278">
        <v>0.32849058165913608</v>
      </c>
      <c r="J81" s="278">
        <f>SUM(G81:I81)</f>
        <v>2.3687676878813453</v>
      </c>
      <c r="K81" s="279"/>
      <c r="L81" s="278">
        <v>1.4812823547629035</v>
      </c>
      <c r="M81" s="278">
        <v>0.12626698372537162</v>
      </c>
      <c r="N81" s="278">
        <v>0.32025430516248959</v>
      </c>
      <c r="O81" s="278">
        <f t="shared" si="51"/>
        <v>1.9278036436507646</v>
      </c>
    </row>
    <row r="82" spans="1:15" s="212" customFormat="1">
      <c r="A82" s="213" t="str">
        <f>name!E$9</f>
        <v>Caring, leisure and other service occupations</v>
      </c>
      <c r="B82" s="278">
        <v>0.60919595063667875</v>
      </c>
      <c r="C82" s="278">
        <v>0.30879763877348687</v>
      </c>
      <c r="D82" s="278">
        <v>8.5313698501810017E-2</v>
      </c>
      <c r="E82" s="278">
        <f t="shared" si="49"/>
        <v>1.0033072879119755</v>
      </c>
      <c r="F82" s="279"/>
      <c r="G82" s="278">
        <v>0.75128804863476084</v>
      </c>
      <c r="H82" s="278">
        <v>0.35403488344678763</v>
      </c>
      <c r="I82" s="278">
        <v>0.18594541163729231</v>
      </c>
      <c r="J82" s="278">
        <f t="shared" ref="J82:J85" si="52">SUM(G82:I82)</f>
        <v>1.2912683437188408</v>
      </c>
      <c r="K82" s="279"/>
      <c r="L82" s="278">
        <v>0.81319278649866666</v>
      </c>
      <c r="M82" s="278">
        <v>0.25969519952228381</v>
      </c>
      <c r="N82" s="278">
        <v>0.21958779318141375</v>
      </c>
      <c r="O82" s="278">
        <f t="shared" si="51"/>
        <v>1.292475779202364</v>
      </c>
    </row>
    <row r="83" spans="1:15" s="212" customFormat="1">
      <c r="A83" s="213" t="str">
        <f>name!E$10</f>
        <v>Sales and customer service occupations</v>
      </c>
      <c r="B83" s="278">
        <v>0.86707554124780128</v>
      </c>
      <c r="C83" s="278">
        <v>0.47335430025287917</v>
      </c>
      <c r="D83" s="278">
        <v>9.73106381943665E-2</v>
      </c>
      <c r="E83" s="278">
        <f t="shared" si="49"/>
        <v>1.437740479695047</v>
      </c>
      <c r="F83" s="279"/>
      <c r="G83" s="278">
        <v>1.003085031695411</v>
      </c>
      <c r="H83" s="278">
        <v>0.75835221791694918</v>
      </c>
      <c r="I83" s="278">
        <v>0.17171536511721447</v>
      </c>
      <c r="J83" s="278">
        <f t="shared" si="52"/>
        <v>1.9331526147295746</v>
      </c>
      <c r="K83" s="279"/>
      <c r="L83" s="278">
        <v>0.96612134759452528</v>
      </c>
      <c r="M83" s="278">
        <v>0.83036709333286352</v>
      </c>
      <c r="N83" s="278">
        <v>0.21064497530991799</v>
      </c>
      <c r="O83" s="278">
        <f t="shared" si="51"/>
        <v>2.0071334162373069</v>
      </c>
    </row>
    <row r="84" spans="1:15" s="212" customFormat="1">
      <c r="A84" s="213" t="str">
        <f>name!E$11</f>
        <v>Process, plant and machine operatives</v>
      </c>
      <c r="B84" s="278">
        <v>4.8291733007832738</v>
      </c>
      <c r="C84" s="278">
        <v>0.3058021662818422</v>
      </c>
      <c r="D84" s="278">
        <v>9.7746279312006731E-2</v>
      </c>
      <c r="E84" s="278">
        <f t="shared" si="49"/>
        <v>5.2327217463771225</v>
      </c>
      <c r="F84" s="279"/>
      <c r="G84" s="278">
        <v>4.7990684727528627</v>
      </c>
      <c r="H84" s="278">
        <v>0.49958915237241086</v>
      </c>
      <c r="I84" s="278">
        <v>0.19692158346967056</v>
      </c>
      <c r="J84" s="278">
        <f t="shared" si="52"/>
        <v>5.4955792085949442</v>
      </c>
      <c r="K84" s="279"/>
      <c r="L84" s="278">
        <v>3.8848001762374871</v>
      </c>
      <c r="M84" s="278">
        <v>0.60109965393799192</v>
      </c>
      <c r="N84" s="278">
        <v>0.20427835980876527</v>
      </c>
      <c r="O84" s="278">
        <f t="shared" si="51"/>
        <v>4.6901781899842447</v>
      </c>
    </row>
    <row r="85" spans="1:15" s="212" customFormat="1">
      <c r="A85" s="213" t="str">
        <f>name!E$12</f>
        <v>Elementary occupations</v>
      </c>
      <c r="B85" s="278">
        <v>2.0377123892433437</v>
      </c>
      <c r="C85" s="278">
        <v>0.70990589168341456</v>
      </c>
      <c r="D85" s="278">
        <v>8.8552206704564748E-2</v>
      </c>
      <c r="E85" s="278">
        <f t="shared" si="49"/>
        <v>2.836170487631323</v>
      </c>
      <c r="F85" s="279"/>
      <c r="G85" s="278">
        <v>1.9903122009112026</v>
      </c>
      <c r="H85" s="278">
        <v>0.71100999008394505</v>
      </c>
      <c r="I85" s="278">
        <v>0.10676635596102008</v>
      </c>
      <c r="J85" s="278">
        <f t="shared" si="52"/>
        <v>2.8080885469561681</v>
      </c>
      <c r="K85" s="279"/>
      <c r="L85" s="278">
        <v>1.8326389794642637</v>
      </c>
      <c r="M85" s="278">
        <v>0.5435114948172336</v>
      </c>
      <c r="N85" s="278">
        <v>0.16333911094048398</v>
      </c>
      <c r="O85" s="278">
        <f t="shared" si="51"/>
        <v>2.5394895852219812</v>
      </c>
    </row>
    <row r="86" spans="1:15" s="212" customFormat="1">
      <c r="A86" s="213"/>
      <c r="B86" s="278"/>
      <c r="C86" s="278"/>
      <c r="D86" s="278"/>
      <c r="E86" s="278"/>
      <c r="F86" s="279"/>
      <c r="G86" s="278"/>
      <c r="H86" s="278"/>
      <c r="I86" s="278"/>
      <c r="J86" s="278"/>
      <c r="K86" s="279"/>
      <c r="L86" s="278"/>
      <c r="M86" s="278"/>
      <c r="N86" s="278"/>
      <c r="O86" s="278"/>
    </row>
    <row r="87" spans="1:15" s="212" customFormat="1">
      <c r="A87" s="220" t="s">
        <v>119</v>
      </c>
      <c r="B87" s="282">
        <f>SUM(B77:B85)</f>
        <v>21.892999999983996</v>
      </c>
      <c r="C87" s="282">
        <f t="shared" ref="C87:E87" si="53">SUM(C77:C85)</f>
        <v>3.8770000000273188</v>
      </c>
      <c r="D87" s="282">
        <f t="shared" si="53"/>
        <v>1.0740000000041345</v>
      </c>
      <c r="E87" s="282">
        <f t="shared" si="53"/>
        <v>26.844000000015448</v>
      </c>
      <c r="F87" s="282"/>
      <c r="G87" s="282">
        <f t="shared" ref="G87:J87" si="54">SUM(G77:G85)</f>
        <v>27.008999999881457</v>
      </c>
      <c r="H87" s="282">
        <f t="shared" si="54"/>
        <v>5.9970000000157526</v>
      </c>
      <c r="I87" s="282">
        <f t="shared" si="54"/>
        <v>2.0089999999998365</v>
      </c>
      <c r="J87" s="282">
        <f t="shared" si="54"/>
        <v>35.014999999897057</v>
      </c>
      <c r="K87" s="282"/>
      <c r="L87" s="282">
        <f t="shared" ref="L87:O87" si="55">SUM(L77:L85)</f>
        <v>26.130000000075889</v>
      </c>
      <c r="M87" s="282">
        <f t="shared" si="55"/>
        <v>5.7650000000263777</v>
      </c>
      <c r="N87" s="282">
        <f t="shared" si="55"/>
        <v>2.1500000000093729</v>
      </c>
      <c r="O87" s="282">
        <f t="shared" si="55"/>
        <v>34.045000000111635</v>
      </c>
    </row>
    <row r="88" spans="1:15" s="212" customFormat="1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6"/>
    </row>
    <row r="89" spans="1:15" s="212" customFormat="1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6"/>
      <c r="O89" s="227" t="s">
        <v>114</v>
      </c>
    </row>
    <row r="90" spans="1:15" s="212" customFormat="1" ht="12.9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</row>
    <row r="91" spans="1:15" s="212" customFormat="1" ht="12.95">
      <c r="A91" s="217" t="str">
        <f>name!A8</f>
        <v>Textiles</v>
      </c>
      <c r="B91" s="369">
        <f>$B$6</f>
        <v>2015</v>
      </c>
      <c r="C91" s="369"/>
      <c r="D91" s="369"/>
      <c r="E91" s="369"/>
      <c r="F91" s="239"/>
      <c r="G91" s="369">
        <f>$G$6</f>
        <v>2020</v>
      </c>
      <c r="H91" s="369"/>
      <c r="I91" s="369"/>
      <c r="J91" s="369"/>
      <c r="K91" s="239"/>
      <c r="L91" s="369">
        <f>$L$6</f>
        <v>2035</v>
      </c>
      <c r="M91" s="369"/>
      <c r="N91" s="369"/>
      <c r="O91" s="369"/>
    </row>
    <row r="92" spans="1:15" s="212" customFormat="1" ht="12.95">
      <c r="A92" s="230"/>
      <c r="B92" s="244" t="str">
        <f>$B$7</f>
        <v>FT</v>
      </c>
      <c r="C92" s="244" t="str">
        <f>$C$7</f>
        <v>PT</v>
      </c>
      <c r="D92" s="244" t="str">
        <f>$D$7</f>
        <v>SE</v>
      </c>
      <c r="E92" s="244" t="str">
        <f>$E$7</f>
        <v>Total</v>
      </c>
      <c r="F92" s="244"/>
      <c r="G92" s="244" t="str">
        <f>$G$7</f>
        <v>FT</v>
      </c>
      <c r="H92" s="244" t="str">
        <f>$H$7</f>
        <v>PT</v>
      </c>
      <c r="I92" s="244" t="str">
        <f>$I$7</f>
        <v>SE</v>
      </c>
      <c r="J92" s="244" t="str">
        <f>$J$7</f>
        <v>Total</v>
      </c>
      <c r="K92" s="244"/>
      <c r="L92" s="244" t="str">
        <f>$L$7</f>
        <v>FT</v>
      </c>
      <c r="M92" s="244" t="str">
        <f>$M$7</f>
        <v>PT</v>
      </c>
      <c r="N92" s="244" t="str">
        <f>$N$7</f>
        <v>SE</v>
      </c>
      <c r="O92" s="244" t="str">
        <f>$O$7</f>
        <v>Total</v>
      </c>
    </row>
    <row r="93" spans="1:15" s="212" customFormat="1" ht="12.95">
      <c r="A93" s="234"/>
      <c r="B93" s="215"/>
      <c r="C93" s="215"/>
      <c r="D93" s="215"/>
      <c r="E93" s="215"/>
      <c r="F93" s="215"/>
      <c r="G93" s="215"/>
      <c r="H93" s="215"/>
      <c r="I93" s="215"/>
      <c r="J93" s="215"/>
      <c r="K93" s="215"/>
      <c r="L93" s="215"/>
      <c r="M93" s="215"/>
      <c r="N93" s="215"/>
      <c r="O93" s="215"/>
    </row>
    <row r="94" spans="1:15" s="212" customFormat="1">
      <c r="A94" s="213" t="str">
        <f>name!E$4</f>
        <v>Managers, directors and senior officials</v>
      </c>
      <c r="B94" s="278">
        <v>4.0051465798650865</v>
      </c>
      <c r="C94" s="278">
        <v>0.2019419002432313</v>
      </c>
      <c r="D94" s="278">
        <v>1.9428037949193786</v>
      </c>
      <c r="E94" s="278">
        <f>SUM(B94:D94)</f>
        <v>6.149892275027697</v>
      </c>
      <c r="F94" s="279"/>
      <c r="G94" s="278">
        <v>5.4481361666137298</v>
      </c>
      <c r="H94" s="278">
        <v>0.625567466342698</v>
      </c>
      <c r="I94" s="278">
        <v>2.4999368353245521</v>
      </c>
      <c r="J94" s="278">
        <f>SUM(G94:I94)</f>
        <v>8.5736404682809795</v>
      </c>
      <c r="K94" s="279"/>
      <c r="L94" s="278">
        <v>3.982387438657466</v>
      </c>
      <c r="M94" s="278">
        <v>0.42307489641143387</v>
      </c>
      <c r="N94" s="278">
        <v>1.9127736494173471</v>
      </c>
      <c r="O94" s="278">
        <f>SUM(L94:N94)</f>
        <v>6.3182359844862468</v>
      </c>
    </row>
    <row r="95" spans="1:15" s="212" customFormat="1">
      <c r="A95" s="213" t="str">
        <f>name!E$5</f>
        <v>Professional occupations</v>
      </c>
      <c r="B95" s="278">
        <v>3.0416372348712328</v>
      </c>
      <c r="C95" s="278">
        <v>0.20603830619071192</v>
      </c>
      <c r="D95" s="278">
        <v>0.73348086193190176</v>
      </c>
      <c r="E95" s="278">
        <f t="shared" ref="E95:E102" si="56">SUM(B95:D95)</f>
        <v>3.9811564029938467</v>
      </c>
      <c r="F95" s="279"/>
      <c r="G95" s="278">
        <v>4.5033555306756705</v>
      </c>
      <c r="H95" s="278">
        <v>0.54845894519343852</v>
      </c>
      <c r="I95" s="278">
        <v>0.74229660102862249</v>
      </c>
      <c r="J95" s="278">
        <f t="shared" ref="J95:J97" si="57">SUM(G95:I95)</f>
        <v>5.7941110768977317</v>
      </c>
      <c r="K95" s="279"/>
      <c r="L95" s="278">
        <v>4.5819423626222804</v>
      </c>
      <c r="M95" s="278">
        <v>0.41240729618346034</v>
      </c>
      <c r="N95" s="278">
        <v>0.46980251869097445</v>
      </c>
      <c r="O95" s="278">
        <f t="shared" ref="O95:O102" si="58">SUM(L95:N95)</f>
        <v>5.4641521774967146</v>
      </c>
    </row>
    <row r="96" spans="1:15" s="212" customFormat="1">
      <c r="A96" s="213" t="str">
        <f>name!E$6</f>
        <v>Associate professional occupations</v>
      </c>
      <c r="B96" s="278">
        <v>2.8708126562208558</v>
      </c>
      <c r="C96" s="278">
        <v>0.38751346367698991</v>
      </c>
      <c r="D96" s="278">
        <v>1.1487859042772124</v>
      </c>
      <c r="E96" s="278">
        <f t="shared" si="56"/>
        <v>4.4071120241750581</v>
      </c>
      <c r="F96" s="279"/>
      <c r="G96" s="278">
        <v>3.8406771551645655</v>
      </c>
      <c r="H96" s="278">
        <v>0.79644558710410973</v>
      </c>
      <c r="I96" s="278">
        <v>1.3110194158943189</v>
      </c>
      <c r="J96" s="278">
        <f t="shared" si="57"/>
        <v>5.9481421581629945</v>
      </c>
      <c r="K96" s="279"/>
      <c r="L96" s="278">
        <v>3.1200472676106554</v>
      </c>
      <c r="M96" s="278">
        <v>0.43428094303526021</v>
      </c>
      <c r="N96" s="278">
        <v>0.97449240753955069</v>
      </c>
      <c r="O96" s="278">
        <f t="shared" si="58"/>
        <v>4.5288206181854669</v>
      </c>
    </row>
    <row r="97" spans="1:15" s="212" customFormat="1">
      <c r="A97" s="213" t="str">
        <f>name!E$7</f>
        <v>Administrative and secretarial occupations</v>
      </c>
      <c r="B97" s="278">
        <v>3.0741562609875777</v>
      </c>
      <c r="C97" s="278">
        <v>0.57247478157665543</v>
      </c>
      <c r="D97" s="278">
        <v>0.19132305948390307</v>
      </c>
      <c r="E97" s="278">
        <f t="shared" si="56"/>
        <v>3.8379541020481365</v>
      </c>
      <c r="F97" s="279"/>
      <c r="G97" s="278">
        <v>3.6862167187830588</v>
      </c>
      <c r="H97" s="278">
        <v>0.89343106712950626</v>
      </c>
      <c r="I97" s="278">
        <v>0.19759518903582471</v>
      </c>
      <c r="J97" s="278">
        <f t="shared" si="57"/>
        <v>4.7772429749483898</v>
      </c>
      <c r="K97" s="279"/>
      <c r="L97" s="278">
        <v>3.0961310830870215</v>
      </c>
      <c r="M97" s="278">
        <v>0.50346779706056677</v>
      </c>
      <c r="N97" s="278">
        <v>0.12489469111792494</v>
      </c>
      <c r="O97" s="278">
        <f t="shared" si="58"/>
        <v>3.7244935712655129</v>
      </c>
    </row>
    <row r="98" spans="1:15" s="212" customFormat="1">
      <c r="A98" s="213" t="str">
        <f>name!E$8</f>
        <v>Skilled trades occupations</v>
      </c>
      <c r="B98" s="278">
        <v>6.3209351032726149</v>
      </c>
      <c r="C98" s="278">
        <v>0.56534787565059741</v>
      </c>
      <c r="D98" s="278">
        <v>2.3129114074704105</v>
      </c>
      <c r="E98" s="278">
        <f t="shared" si="56"/>
        <v>9.1991943863936232</v>
      </c>
      <c r="F98" s="279"/>
      <c r="G98" s="278">
        <v>5.7841568042797862</v>
      </c>
      <c r="H98" s="278">
        <v>0.74311404850631357</v>
      </c>
      <c r="I98" s="278">
        <v>2.5290395706854323</v>
      </c>
      <c r="J98" s="278">
        <f>SUM(G98:I98)</f>
        <v>9.0563104234715333</v>
      </c>
      <c r="K98" s="279"/>
      <c r="L98" s="278">
        <v>3.6490427019347806</v>
      </c>
      <c r="M98" s="278">
        <v>0.48370272833767514</v>
      </c>
      <c r="N98" s="278">
        <v>1.4492956017542986</v>
      </c>
      <c r="O98" s="278">
        <f t="shared" si="58"/>
        <v>5.5820410320267548</v>
      </c>
    </row>
    <row r="99" spans="1:15" s="212" customFormat="1">
      <c r="A99" s="213" t="str">
        <f>name!E$9</f>
        <v>Caring, leisure and other service occupations</v>
      </c>
      <c r="B99" s="278">
        <v>0.43115548876652948</v>
      </c>
      <c r="C99" s="278">
        <v>4.4375626707390023E-2</v>
      </c>
      <c r="D99" s="278">
        <v>0.46234507186942131</v>
      </c>
      <c r="E99" s="278">
        <f t="shared" si="56"/>
        <v>0.93787618734334077</v>
      </c>
      <c r="F99" s="279"/>
      <c r="G99" s="278">
        <v>0.41505745739600858</v>
      </c>
      <c r="H99" s="278">
        <v>0.13672868028635174</v>
      </c>
      <c r="I99" s="278">
        <v>0.94413489212707458</v>
      </c>
      <c r="J99" s="278">
        <f t="shared" ref="J99:J102" si="59">SUM(G99:I99)</f>
        <v>1.495921029809435</v>
      </c>
      <c r="K99" s="279"/>
      <c r="L99" s="278">
        <v>0.2770843059368604</v>
      </c>
      <c r="M99" s="278">
        <v>0.13625268320069403</v>
      </c>
      <c r="N99" s="278">
        <v>0.6754717009953779</v>
      </c>
      <c r="O99" s="278">
        <f t="shared" si="58"/>
        <v>1.0888086901329324</v>
      </c>
    </row>
    <row r="100" spans="1:15" s="212" customFormat="1">
      <c r="A100" s="213" t="str">
        <f>name!E$10</f>
        <v>Sales and customer service occupations</v>
      </c>
      <c r="B100" s="278">
        <v>1.1833287189940862</v>
      </c>
      <c r="C100" s="278">
        <v>0.54732937599314446</v>
      </c>
      <c r="D100" s="278">
        <v>0.85352989185128825</v>
      </c>
      <c r="E100" s="278">
        <f t="shared" si="56"/>
        <v>2.5841879868385189</v>
      </c>
      <c r="F100" s="279"/>
      <c r="G100" s="278">
        <v>1.2574662944312174</v>
      </c>
      <c r="H100" s="278">
        <v>0.93776062863345244</v>
      </c>
      <c r="I100" s="278">
        <v>0.80170234262849105</v>
      </c>
      <c r="J100" s="278">
        <f t="shared" si="59"/>
        <v>2.996929265693161</v>
      </c>
      <c r="K100" s="279"/>
      <c r="L100" s="278">
        <v>1.0582157375620327</v>
      </c>
      <c r="M100" s="278">
        <v>0.64604811859562783</v>
      </c>
      <c r="N100" s="278">
        <v>0.49063897482451874</v>
      </c>
      <c r="O100" s="278">
        <f t="shared" si="58"/>
        <v>2.194902830982179</v>
      </c>
    </row>
    <row r="101" spans="1:15" s="212" customFormat="1">
      <c r="A101" s="213" t="str">
        <f>name!E$11</f>
        <v>Process, plant and machine operatives</v>
      </c>
      <c r="B101" s="278">
        <v>9.3947667973878914</v>
      </c>
      <c r="C101" s="278">
        <v>1.8345339294597152</v>
      </c>
      <c r="D101" s="278">
        <v>2.0238052091201006</v>
      </c>
      <c r="E101" s="278">
        <f t="shared" si="56"/>
        <v>13.253105935967707</v>
      </c>
      <c r="F101" s="279"/>
      <c r="G101" s="278">
        <v>8.2899260309224001</v>
      </c>
      <c r="H101" s="278">
        <v>2.7392158046339157</v>
      </c>
      <c r="I101" s="278">
        <v>2.0578946238796521</v>
      </c>
      <c r="J101" s="278">
        <f t="shared" si="59"/>
        <v>13.087036459435968</v>
      </c>
      <c r="K101" s="279"/>
      <c r="L101" s="278">
        <v>5.6992875830887266</v>
      </c>
      <c r="M101" s="278">
        <v>2.118426197180113</v>
      </c>
      <c r="N101" s="278">
        <v>1.4591888981813388</v>
      </c>
      <c r="O101" s="278">
        <f t="shared" si="58"/>
        <v>9.2769026784501776</v>
      </c>
    </row>
    <row r="102" spans="1:15" s="212" customFormat="1">
      <c r="A102" s="213" t="str">
        <f>name!E$12</f>
        <v>Elementary occupations</v>
      </c>
      <c r="B102" s="278">
        <v>2.6540611595827661</v>
      </c>
      <c r="C102" s="278">
        <v>0.79744474061372539</v>
      </c>
      <c r="D102" s="278">
        <v>1.6560147991988965</v>
      </c>
      <c r="E102" s="278">
        <f t="shared" si="56"/>
        <v>5.1075206993953879</v>
      </c>
      <c r="F102" s="279"/>
      <c r="G102" s="278">
        <v>2.466007841680208</v>
      </c>
      <c r="H102" s="278">
        <v>1.3102777722730437</v>
      </c>
      <c r="I102" s="278">
        <v>1.3153805293455934</v>
      </c>
      <c r="J102" s="278">
        <f t="shared" si="59"/>
        <v>5.0916661432988448</v>
      </c>
      <c r="K102" s="279"/>
      <c r="L102" s="278">
        <v>1.8398615197778527</v>
      </c>
      <c r="M102" s="278">
        <v>1.4083393401556719</v>
      </c>
      <c r="N102" s="278">
        <v>1.5574415575519509</v>
      </c>
      <c r="O102" s="278">
        <f t="shared" si="58"/>
        <v>4.8056424174854753</v>
      </c>
    </row>
    <row r="103" spans="1:15" s="212" customFormat="1">
      <c r="A103" s="213"/>
      <c r="B103" s="278"/>
      <c r="C103" s="278"/>
      <c r="D103" s="278"/>
      <c r="E103" s="278"/>
      <c r="F103" s="279"/>
      <c r="G103" s="278"/>
      <c r="H103" s="278"/>
      <c r="I103" s="278"/>
      <c r="J103" s="278"/>
      <c r="K103" s="279"/>
      <c r="L103" s="278"/>
      <c r="M103" s="278"/>
      <c r="N103" s="278"/>
      <c r="O103" s="278"/>
    </row>
    <row r="104" spans="1:15" s="212" customFormat="1">
      <c r="A104" s="220" t="s">
        <v>119</v>
      </c>
      <c r="B104" s="282">
        <f>SUM(B94:B102)</f>
        <v>32.975999999948641</v>
      </c>
      <c r="C104" s="282">
        <f t="shared" ref="C104:E104" si="60">SUM(C94:C102)</f>
        <v>5.157000000112161</v>
      </c>
      <c r="D104" s="282">
        <f t="shared" si="60"/>
        <v>11.325000000122513</v>
      </c>
      <c r="E104" s="282">
        <f t="shared" si="60"/>
        <v>49.458000000183311</v>
      </c>
      <c r="F104" s="282"/>
      <c r="G104" s="282">
        <f t="shared" ref="G104:J104" si="61">SUM(G94:G102)</f>
        <v>35.690999999946648</v>
      </c>
      <c r="H104" s="282">
        <f t="shared" si="61"/>
        <v>8.7310000001028296</v>
      </c>
      <c r="I104" s="282">
        <f t="shared" si="61"/>
        <v>12.398999999949563</v>
      </c>
      <c r="J104" s="282">
        <f t="shared" si="61"/>
        <v>56.820999999999039</v>
      </c>
      <c r="K104" s="282"/>
      <c r="L104" s="282">
        <f t="shared" ref="L104:O104" si="62">SUM(L94:L102)</f>
        <v>27.304000000277675</v>
      </c>
      <c r="M104" s="282">
        <f t="shared" si="62"/>
        <v>6.5660000001605034</v>
      </c>
      <c r="N104" s="282">
        <f t="shared" si="62"/>
        <v>9.1140000000732808</v>
      </c>
      <c r="O104" s="282">
        <f t="shared" si="62"/>
        <v>42.984000000511458</v>
      </c>
    </row>
    <row r="105" spans="1:15" s="212" customFormat="1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6"/>
    </row>
    <row r="106" spans="1:15" s="212" customFormat="1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6"/>
      <c r="O106" s="227" t="s">
        <v>114</v>
      </c>
    </row>
    <row r="107" spans="1:15" s="212" customFormat="1" ht="12.95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</row>
    <row r="108" spans="1:15" s="212" customFormat="1" ht="12.95">
      <c r="A108" s="217" t="str">
        <f>name!A9</f>
        <v>Wearing apparel; Leather, etc</v>
      </c>
      <c r="B108" s="369">
        <f>$B$6</f>
        <v>2015</v>
      </c>
      <c r="C108" s="369"/>
      <c r="D108" s="369"/>
      <c r="E108" s="369"/>
      <c r="F108" s="239"/>
      <c r="G108" s="369">
        <f>$G$6</f>
        <v>2020</v>
      </c>
      <c r="H108" s="369"/>
      <c r="I108" s="369"/>
      <c r="J108" s="369"/>
      <c r="K108" s="239"/>
      <c r="L108" s="369">
        <f>$L$6</f>
        <v>2035</v>
      </c>
      <c r="M108" s="369"/>
      <c r="N108" s="369"/>
      <c r="O108" s="369"/>
    </row>
    <row r="109" spans="1:15" s="212" customFormat="1" ht="12.95">
      <c r="A109" s="230"/>
      <c r="B109" s="244" t="str">
        <f>$B$7</f>
        <v>FT</v>
      </c>
      <c r="C109" s="244" t="str">
        <f>$C$7</f>
        <v>PT</v>
      </c>
      <c r="D109" s="244" t="str">
        <f>$D$7</f>
        <v>SE</v>
      </c>
      <c r="E109" s="244" t="str">
        <f>$E$7</f>
        <v>Total</v>
      </c>
      <c r="F109" s="244"/>
      <c r="G109" s="244" t="str">
        <f>$G$7</f>
        <v>FT</v>
      </c>
      <c r="H109" s="244" t="str">
        <f>$H$7</f>
        <v>PT</v>
      </c>
      <c r="I109" s="244" t="str">
        <f>$I$7</f>
        <v>SE</v>
      </c>
      <c r="J109" s="244" t="str">
        <f>$J$7</f>
        <v>Total</v>
      </c>
      <c r="K109" s="244"/>
      <c r="L109" s="244" t="str">
        <f>$L$7</f>
        <v>FT</v>
      </c>
      <c r="M109" s="244" t="str">
        <f>$M$7</f>
        <v>PT</v>
      </c>
      <c r="N109" s="244" t="str">
        <f>$N$7</f>
        <v>SE</v>
      </c>
      <c r="O109" s="244" t="str">
        <f>$O$7</f>
        <v>Total</v>
      </c>
    </row>
    <row r="110" spans="1:15" s="212" customFormat="1" ht="12.95">
      <c r="A110" s="234"/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  <c r="N110" s="215"/>
      <c r="O110" s="215"/>
    </row>
    <row r="111" spans="1:15" s="212" customFormat="1">
      <c r="A111" s="213" t="str">
        <f>name!E$4</f>
        <v>Managers, directors and senior officials</v>
      </c>
      <c r="B111" s="278">
        <v>3.3750964007528319</v>
      </c>
      <c r="C111" s="278">
        <v>0.42074410472725132</v>
      </c>
      <c r="D111" s="278">
        <v>1.0219882883013971</v>
      </c>
      <c r="E111" s="278">
        <f>SUM(B111:D111)</f>
        <v>4.8178287937814801</v>
      </c>
      <c r="F111" s="279"/>
      <c r="G111" s="278">
        <v>3.4060097570054104</v>
      </c>
      <c r="H111" s="278">
        <v>0.53658699122023834</v>
      </c>
      <c r="I111" s="278">
        <v>1.9594208878187993</v>
      </c>
      <c r="J111" s="278">
        <f>SUM(G111:I111)</f>
        <v>5.9020176360444481</v>
      </c>
      <c r="K111" s="279"/>
      <c r="L111" s="278">
        <v>2.3001711204702922</v>
      </c>
      <c r="M111" s="278">
        <v>0.36625731301057796</v>
      </c>
      <c r="N111" s="278">
        <v>1.4936242397852062</v>
      </c>
      <c r="O111" s="278">
        <f>SUM(L111:N111)</f>
        <v>4.1600526732660761</v>
      </c>
    </row>
    <row r="112" spans="1:15" s="212" customFormat="1">
      <c r="A112" s="213" t="str">
        <f>name!E$5</f>
        <v>Professional occupations</v>
      </c>
      <c r="B112" s="278">
        <v>3.7621992057245426</v>
      </c>
      <c r="C112" s="278">
        <v>0.30609357557986855</v>
      </c>
      <c r="D112" s="278">
        <v>0.49766676645417407</v>
      </c>
      <c r="E112" s="278">
        <f t="shared" ref="E112:E119" si="63">SUM(B112:D112)</f>
        <v>4.5659595477585846</v>
      </c>
      <c r="F112" s="279"/>
      <c r="G112" s="278">
        <v>5.5889541941962033</v>
      </c>
      <c r="H112" s="278">
        <v>0.403629179134463</v>
      </c>
      <c r="I112" s="278">
        <v>0.70360336837121518</v>
      </c>
      <c r="J112" s="278">
        <f t="shared" ref="J112:J114" si="64">SUM(G112:I112)</f>
        <v>6.6961867417018821</v>
      </c>
      <c r="K112" s="279"/>
      <c r="L112" s="278">
        <v>5.2855479959903544</v>
      </c>
      <c r="M112" s="278">
        <v>0.27386498483494942</v>
      </c>
      <c r="N112" s="278">
        <v>0.43375184308831538</v>
      </c>
      <c r="O112" s="278">
        <f t="shared" ref="O112:O119" si="65">SUM(L112:N112)</f>
        <v>5.9931648239136193</v>
      </c>
    </row>
    <row r="113" spans="1:15" s="212" customFormat="1">
      <c r="A113" s="213" t="str">
        <f>name!E$6</f>
        <v>Associate professional occupations</v>
      </c>
      <c r="B113" s="278">
        <v>3.6608286077553966</v>
      </c>
      <c r="C113" s="278">
        <v>0.74310284990306175</v>
      </c>
      <c r="D113" s="278">
        <v>1.1651702077867703</v>
      </c>
      <c r="E113" s="278">
        <f t="shared" si="63"/>
        <v>5.5691016654452294</v>
      </c>
      <c r="F113" s="279"/>
      <c r="G113" s="278">
        <v>3.893418846829956</v>
      </c>
      <c r="H113" s="278">
        <v>0.78909852788697876</v>
      </c>
      <c r="I113" s="278">
        <v>1.5154054219486928</v>
      </c>
      <c r="J113" s="278">
        <f t="shared" si="64"/>
        <v>6.1979227966656278</v>
      </c>
      <c r="K113" s="279"/>
      <c r="L113" s="278">
        <v>3.1794083617459576</v>
      </c>
      <c r="M113" s="278">
        <v>0.38900844075047375</v>
      </c>
      <c r="N113" s="278">
        <v>0.95915303344094827</v>
      </c>
      <c r="O113" s="278">
        <f t="shared" si="65"/>
        <v>4.5275698359373795</v>
      </c>
    </row>
    <row r="114" spans="1:15" s="212" customFormat="1">
      <c r="A114" s="213" t="str">
        <f>name!E$7</f>
        <v>Administrative and secretarial occupations</v>
      </c>
      <c r="B114" s="278">
        <v>4.5760598132968848</v>
      </c>
      <c r="C114" s="278">
        <v>1.0400730244129512</v>
      </c>
      <c r="D114" s="278">
        <v>0.26728342088817153</v>
      </c>
      <c r="E114" s="278">
        <f t="shared" si="63"/>
        <v>5.8834162585980074</v>
      </c>
      <c r="F114" s="279"/>
      <c r="G114" s="278">
        <v>4.0788913078509124</v>
      </c>
      <c r="H114" s="278">
        <v>0.87120997785388976</v>
      </c>
      <c r="I114" s="278">
        <v>0.39799169005649082</v>
      </c>
      <c r="J114" s="278">
        <f t="shared" si="64"/>
        <v>5.3480929757612934</v>
      </c>
      <c r="K114" s="279"/>
      <c r="L114" s="278">
        <v>3.1041843039407322</v>
      </c>
      <c r="M114" s="278">
        <v>0.49946787445170499</v>
      </c>
      <c r="N114" s="278">
        <v>0.45712427737848577</v>
      </c>
      <c r="O114" s="278">
        <f t="shared" si="65"/>
        <v>4.0607764557709229</v>
      </c>
    </row>
    <row r="115" spans="1:15" s="212" customFormat="1">
      <c r="A115" s="213" t="str">
        <f>name!E$8</f>
        <v>Skilled trades occupations</v>
      </c>
      <c r="B115" s="278">
        <v>3.4224418465485478</v>
      </c>
      <c r="C115" s="278">
        <v>1.0860166580861583</v>
      </c>
      <c r="D115" s="278">
        <v>2.496524304503418</v>
      </c>
      <c r="E115" s="278">
        <f t="shared" si="63"/>
        <v>7.0049828091381245</v>
      </c>
      <c r="F115" s="279"/>
      <c r="G115" s="278">
        <v>2.7293257877051911</v>
      </c>
      <c r="H115" s="278">
        <v>0.83169113185701093</v>
      </c>
      <c r="I115" s="278">
        <v>3.3717501766579314</v>
      </c>
      <c r="J115" s="278">
        <f>SUM(G115:I115)</f>
        <v>6.9327670962201333</v>
      </c>
      <c r="K115" s="279"/>
      <c r="L115" s="278">
        <v>1.7167601176150233</v>
      </c>
      <c r="M115" s="278">
        <v>0.56616751019284672</v>
      </c>
      <c r="N115" s="278">
        <v>2.4287923311179198</v>
      </c>
      <c r="O115" s="278">
        <f t="shared" si="65"/>
        <v>4.7117199589257899</v>
      </c>
    </row>
    <row r="116" spans="1:15" s="212" customFormat="1">
      <c r="A116" s="213" t="str">
        <f>name!E$9</f>
        <v>Caring, leisure and other service occupations</v>
      </c>
      <c r="B116" s="278">
        <v>1.0677572678944813</v>
      </c>
      <c r="C116" s="278">
        <v>0.29807106686303331</v>
      </c>
      <c r="D116" s="278">
        <v>0.21919075983417594</v>
      </c>
      <c r="E116" s="278">
        <f t="shared" si="63"/>
        <v>1.5850190945916907</v>
      </c>
      <c r="F116" s="279"/>
      <c r="G116" s="278">
        <v>1.5911709064929902</v>
      </c>
      <c r="H116" s="278">
        <v>0.21320480358273367</v>
      </c>
      <c r="I116" s="278">
        <v>0.38559107603435561</v>
      </c>
      <c r="J116" s="278">
        <f t="shared" ref="J116:J119" si="66">SUM(G116:I116)</f>
        <v>2.1899667861100793</v>
      </c>
      <c r="K116" s="279"/>
      <c r="L116" s="278">
        <v>1.5154854125394686</v>
      </c>
      <c r="M116" s="278">
        <v>0.14411759324774431</v>
      </c>
      <c r="N116" s="278">
        <v>0.38807405763649455</v>
      </c>
      <c r="O116" s="278">
        <f t="shared" si="65"/>
        <v>2.0476770634237074</v>
      </c>
    </row>
    <row r="117" spans="1:15" s="212" customFormat="1">
      <c r="A117" s="213" t="str">
        <f>name!E$10</f>
        <v>Sales and customer service occupations</v>
      </c>
      <c r="B117" s="278">
        <v>1.2202712822441955</v>
      </c>
      <c r="C117" s="278">
        <v>1.0291073501724977</v>
      </c>
      <c r="D117" s="278">
        <v>0.18837708830286523</v>
      </c>
      <c r="E117" s="278">
        <f t="shared" si="63"/>
        <v>2.4377557207195584</v>
      </c>
      <c r="F117" s="279"/>
      <c r="G117" s="278">
        <v>1.1706665825291558</v>
      </c>
      <c r="H117" s="278">
        <v>0.70772866704961068</v>
      </c>
      <c r="I117" s="278">
        <v>0.21384685127770053</v>
      </c>
      <c r="J117" s="278">
        <f t="shared" si="66"/>
        <v>2.0922421008564669</v>
      </c>
      <c r="K117" s="279"/>
      <c r="L117" s="278">
        <v>0.99193992853314417</v>
      </c>
      <c r="M117" s="278">
        <v>0.46785690287294812</v>
      </c>
      <c r="N117" s="278">
        <v>0.12955461668690493</v>
      </c>
      <c r="O117" s="278">
        <f t="shared" si="65"/>
        <v>1.5893514480929971</v>
      </c>
    </row>
    <row r="118" spans="1:15" s="212" customFormat="1">
      <c r="A118" s="213" t="str">
        <f>name!E$11</f>
        <v>Process, plant and machine operatives</v>
      </c>
      <c r="B118" s="278">
        <v>5.9966411643148074</v>
      </c>
      <c r="C118" s="278">
        <v>2.8928707279545089</v>
      </c>
      <c r="D118" s="278">
        <v>0.87599050888825092</v>
      </c>
      <c r="E118" s="278">
        <f t="shared" si="63"/>
        <v>9.7655024011575673</v>
      </c>
      <c r="F118" s="279"/>
      <c r="G118" s="278">
        <v>3.565158302500874</v>
      </c>
      <c r="H118" s="278">
        <v>3.0506805176614424</v>
      </c>
      <c r="I118" s="278">
        <v>1.3008288115129134</v>
      </c>
      <c r="J118" s="278">
        <f t="shared" si="66"/>
        <v>7.9166676316752298</v>
      </c>
      <c r="K118" s="279"/>
      <c r="L118" s="278">
        <v>2.025154827937651</v>
      </c>
      <c r="M118" s="278">
        <v>2.1890126144812148</v>
      </c>
      <c r="N118" s="278">
        <v>1.2329912585111789</v>
      </c>
      <c r="O118" s="278">
        <f t="shared" si="65"/>
        <v>5.4471587009300446</v>
      </c>
    </row>
    <row r="119" spans="1:15" s="212" customFormat="1">
      <c r="A119" s="213" t="str">
        <f>name!E$12</f>
        <v>Elementary occupations</v>
      </c>
      <c r="B119" s="278">
        <v>4.4427044114743444</v>
      </c>
      <c r="C119" s="278">
        <v>1.3019206425593683</v>
      </c>
      <c r="D119" s="278">
        <v>1.0468086551465703</v>
      </c>
      <c r="E119" s="278">
        <f t="shared" si="63"/>
        <v>6.791433709180283</v>
      </c>
      <c r="F119" s="279"/>
      <c r="G119" s="278">
        <v>3.4874043148800777</v>
      </c>
      <c r="H119" s="278">
        <v>1.3991702039134506</v>
      </c>
      <c r="I119" s="278">
        <v>1.1165617161831254</v>
      </c>
      <c r="J119" s="278">
        <f t="shared" si="66"/>
        <v>6.0031362349766537</v>
      </c>
      <c r="K119" s="279"/>
      <c r="L119" s="278">
        <v>2.5603479313458473</v>
      </c>
      <c r="M119" s="278">
        <v>1.6442467662786495</v>
      </c>
      <c r="N119" s="278">
        <v>0.88793434239098401</v>
      </c>
      <c r="O119" s="278">
        <f t="shared" si="65"/>
        <v>5.0925290400154815</v>
      </c>
    </row>
    <row r="120" spans="1:15" s="212" customFormat="1">
      <c r="A120" s="213"/>
      <c r="B120" s="278"/>
      <c r="C120" s="278"/>
      <c r="D120" s="278"/>
      <c r="E120" s="278"/>
      <c r="F120" s="279"/>
      <c r="G120" s="278"/>
      <c r="H120" s="278"/>
      <c r="I120" s="278"/>
      <c r="J120" s="278"/>
      <c r="K120" s="279"/>
      <c r="L120" s="278"/>
      <c r="M120" s="278"/>
      <c r="N120" s="278"/>
      <c r="O120" s="278"/>
    </row>
    <row r="121" spans="1:15" s="212" customFormat="1">
      <c r="A121" s="220" t="s">
        <v>119</v>
      </c>
      <c r="B121" s="282">
        <f>SUM(B111:B119)</f>
        <v>31.524000000006033</v>
      </c>
      <c r="C121" s="282">
        <f t="shared" ref="C121:E121" si="67">SUM(C111:C119)</f>
        <v>9.1180000002587001</v>
      </c>
      <c r="D121" s="282">
        <f t="shared" si="67"/>
        <v>7.7790000001057944</v>
      </c>
      <c r="E121" s="282">
        <f t="shared" si="67"/>
        <v>48.421000000370526</v>
      </c>
      <c r="F121" s="282"/>
      <c r="G121" s="282">
        <f t="shared" ref="G121:J121" si="68">SUM(G111:G119)</f>
        <v>29.510999999990769</v>
      </c>
      <c r="H121" s="282">
        <f t="shared" si="68"/>
        <v>8.8030000001598179</v>
      </c>
      <c r="I121" s="282">
        <f t="shared" si="68"/>
        <v>10.964999999861226</v>
      </c>
      <c r="J121" s="282">
        <f t="shared" si="68"/>
        <v>49.279000000011813</v>
      </c>
      <c r="K121" s="282"/>
      <c r="L121" s="282">
        <f t="shared" ref="L121:O121" si="69">SUM(L111:L119)</f>
        <v>22.679000000118474</v>
      </c>
      <c r="M121" s="282">
        <f t="shared" si="69"/>
        <v>6.5400000001211094</v>
      </c>
      <c r="N121" s="282">
        <f t="shared" si="69"/>
        <v>8.411000000036438</v>
      </c>
      <c r="O121" s="282">
        <f t="shared" si="69"/>
        <v>37.630000000276027</v>
      </c>
    </row>
    <row r="122" spans="1:15" s="212" customFormat="1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3"/>
      <c r="M122" s="213"/>
      <c r="N122" s="216"/>
    </row>
    <row r="123" spans="1:15" s="212" customFormat="1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6"/>
      <c r="O123" s="227" t="s">
        <v>114</v>
      </c>
    </row>
    <row r="124" spans="1:15" s="212" customFormat="1" ht="12.95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</row>
    <row r="125" spans="1:15" s="212" customFormat="1" ht="12.95">
      <c r="A125" s="217" t="str">
        <f>name!A10</f>
        <v xml:space="preserve">Wood and cork </v>
      </c>
      <c r="B125" s="369">
        <f>$B$6</f>
        <v>2015</v>
      </c>
      <c r="C125" s="369"/>
      <c r="D125" s="369"/>
      <c r="E125" s="369"/>
      <c r="F125" s="239"/>
      <c r="G125" s="369">
        <f>$G$6</f>
        <v>2020</v>
      </c>
      <c r="H125" s="369"/>
      <c r="I125" s="369"/>
      <c r="J125" s="369"/>
      <c r="K125" s="239"/>
      <c r="L125" s="369">
        <f>$L$6</f>
        <v>2035</v>
      </c>
      <c r="M125" s="369"/>
      <c r="N125" s="369"/>
      <c r="O125" s="369"/>
    </row>
    <row r="126" spans="1:15" s="212" customFormat="1" ht="12.95">
      <c r="A126" s="230"/>
      <c r="B126" s="244" t="str">
        <f>$B$7</f>
        <v>FT</v>
      </c>
      <c r="C126" s="244" t="str">
        <f>$C$7</f>
        <v>PT</v>
      </c>
      <c r="D126" s="244" t="str">
        <f>$D$7</f>
        <v>SE</v>
      </c>
      <c r="E126" s="244" t="str">
        <f>$E$7</f>
        <v>Total</v>
      </c>
      <c r="F126" s="244"/>
      <c r="G126" s="244" t="str">
        <f>$G$7</f>
        <v>FT</v>
      </c>
      <c r="H126" s="244" t="str">
        <f>$H$7</f>
        <v>PT</v>
      </c>
      <c r="I126" s="244" t="str">
        <f>$I$7</f>
        <v>SE</v>
      </c>
      <c r="J126" s="244" t="str">
        <f>$J$7</f>
        <v>Total</v>
      </c>
      <c r="K126" s="244"/>
      <c r="L126" s="244" t="str">
        <f>$L$7</f>
        <v>FT</v>
      </c>
      <c r="M126" s="244" t="str">
        <f>$M$7</f>
        <v>PT</v>
      </c>
      <c r="N126" s="244" t="str">
        <f>$N$7</f>
        <v>SE</v>
      </c>
      <c r="O126" s="244" t="str">
        <f>$O$7</f>
        <v>Total</v>
      </c>
    </row>
    <row r="127" spans="1:15" s="212" customFormat="1" ht="12.95">
      <c r="A127" s="234"/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  <c r="N127" s="215"/>
      <c r="O127" s="215"/>
    </row>
    <row r="128" spans="1:15" s="212" customFormat="1">
      <c r="A128" s="213" t="str">
        <f>name!E$4</f>
        <v>Managers, directors and senior officials</v>
      </c>
      <c r="B128" s="278">
        <v>4.189126553470043</v>
      </c>
      <c r="C128" s="278">
        <v>0.35394854540402926</v>
      </c>
      <c r="D128" s="278">
        <v>0.87721403177015567</v>
      </c>
      <c r="E128" s="278">
        <f>SUM(B128:D128)</f>
        <v>5.4202891306442282</v>
      </c>
      <c r="F128" s="279"/>
      <c r="G128" s="278">
        <v>6.3037226287749109</v>
      </c>
      <c r="H128" s="278">
        <v>0.66883799351232098</v>
      </c>
      <c r="I128" s="278">
        <v>1.9506875545511286</v>
      </c>
      <c r="J128" s="278">
        <f>SUM(G128:I128)</f>
        <v>8.92324817683836</v>
      </c>
      <c r="K128" s="279"/>
      <c r="L128" s="278">
        <v>5.9261682859495801</v>
      </c>
      <c r="M128" s="278">
        <v>0.78640648159148696</v>
      </c>
      <c r="N128" s="278">
        <v>1.8336418553769458</v>
      </c>
      <c r="O128" s="278">
        <f>SUM(L128:N128)</f>
        <v>8.5462166229180134</v>
      </c>
    </row>
    <row r="129" spans="1:15" s="212" customFormat="1">
      <c r="A129" s="213" t="str">
        <f>name!E$5</f>
        <v>Professional occupations</v>
      </c>
      <c r="B129" s="278">
        <v>3.1262937465203624</v>
      </c>
      <c r="C129" s="278">
        <v>0.25190387348561244</v>
      </c>
      <c r="D129" s="278">
        <v>0.27858355822327896</v>
      </c>
      <c r="E129" s="278">
        <f t="shared" ref="E129:E136" si="70">SUM(B129:D129)</f>
        <v>3.6567811782292536</v>
      </c>
      <c r="F129" s="279"/>
      <c r="G129" s="278">
        <v>5.4058134697463274</v>
      </c>
      <c r="H129" s="278">
        <v>0.36557151025918039</v>
      </c>
      <c r="I129" s="278">
        <v>0.52431172178028784</v>
      </c>
      <c r="J129" s="278">
        <f t="shared" ref="J129:J131" si="71">SUM(G129:I129)</f>
        <v>6.2956967017857961</v>
      </c>
      <c r="K129" s="279"/>
      <c r="L129" s="278">
        <v>6.7908713907934182</v>
      </c>
      <c r="M129" s="278">
        <v>0.38601991441777078</v>
      </c>
      <c r="N129" s="278">
        <v>0.38236131534562573</v>
      </c>
      <c r="O129" s="278">
        <f t="shared" ref="O129:O136" si="72">SUM(L129:N129)</f>
        <v>7.5592526205568147</v>
      </c>
    </row>
    <row r="130" spans="1:15" s="212" customFormat="1">
      <c r="A130" s="213" t="str">
        <f>name!E$6</f>
        <v>Associate professional occupations</v>
      </c>
      <c r="B130" s="278">
        <v>4.3602791805632553</v>
      </c>
      <c r="C130" s="278">
        <v>0.35047803726462068</v>
      </c>
      <c r="D130" s="278">
        <v>0.23293455564987528</v>
      </c>
      <c r="E130" s="278">
        <f t="shared" si="70"/>
        <v>4.9436917734777515</v>
      </c>
      <c r="F130" s="279"/>
      <c r="G130" s="278">
        <v>6.7334482226468886</v>
      </c>
      <c r="H130" s="278">
        <v>0.46829166667083472</v>
      </c>
      <c r="I130" s="278">
        <v>0.45280233487749255</v>
      </c>
      <c r="J130" s="278">
        <f t="shared" si="71"/>
        <v>7.6545422241952163</v>
      </c>
      <c r="K130" s="279"/>
      <c r="L130" s="278">
        <v>7.0520529477732454</v>
      </c>
      <c r="M130" s="278">
        <v>0.41809156951663962</v>
      </c>
      <c r="N130" s="278">
        <v>0.45342202000984672</v>
      </c>
      <c r="O130" s="278">
        <f t="shared" si="72"/>
        <v>7.9235665372997319</v>
      </c>
    </row>
    <row r="131" spans="1:15" s="212" customFormat="1">
      <c r="A131" s="213" t="str">
        <f>name!E$7</f>
        <v>Administrative and secretarial occupations</v>
      </c>
      <c r="B131" s="278">
        <v>2.26933213434152</v>
      </c>
      <c r="C131" s="278">
        <v>2.9531382492763756</v>
      </c>
      <c r="D131" s="278">
        <v>9.9546760127898537E-2</v>
      </c>
      <c r="E131" s="278">
        <f t="shared" si="70"/>
        <v>5.3220171437457946</v>
      </c>
      <c r="F131" s="279"/>
      <c r="G131" s="278">
        <v>2.918600030384856</v>
      </c>
      <c r="H131" s="278">
        <v>1.8064615228165313</v>
      </c>
      <c r="I131" s="278">
        <v>0.1475406382053924</v>
      </c>
      <c r="J131" s="278">
        <f t="shared" si="71"/>
        <v>4.8726021914067799</v>
      </c>
      <c r="K131" s="279"/>
      <c r="L131" s="278">
        <v>2.9812602509281536</v>
      </c>
      <c r="M131" s="278">
        <v>1.3358813765422619</v>
      </c>
      <c r="N131" s="278">
        <v>0.12382040731515326</v>
      </c>
      <c r="O131" s="278">
        <f t="shared" si="72"/>
        <v>4.4409620347855689</v>
      </c>
    </row>
    <row r="132" spans="1:15" s="212" customFormat="1">
      <c r="A132" s="213" t="str">
        <f>name!E$8</f>
        <v>Skilled trades occupations</v>
      </c>
      <c r="B132" s="278">
        <v>16.344283206938179</v>
      </c>
      <c r="C132" s="278">
        <v>0.89311626683351875</v>
      </c>
      <c r="D132" s="278">
        <v>6.003864215916928</v>
      </c>
      <c r="E132" s="278">
        <f t="shared" si="70"/>
        <v>23.241263689688626</v>
      </c>
      <c r="F132" s="279"/>
      <c r="G132" s="278">
        <v>15.359535527166994</v>
      </c>
      <c r="H132" s="278">
        <v>0.88992579685179041</v>
      </c>
      <c r="I132" s="278">
        <v>7.3296027613330716</v>
      </c>
      <c r="J132" s="278">
        <f>SUM(G132:I132)</f>
        <v>23.579064085351856</v>
      </c>
      <c r="K132" s="279"/>
      <c r="L132" s="278">
        <v>13.59380049277177</v>
      </c>
      <c r="M132" s="278">
        <v>1.0685519481762891</v>
      </c>
      <c r="N132" s="278">
        <v>6.1765221714814382</v>
      </c>
      <c r="O132" s="278">
        <f t="shared" si="72"/>
        <v>20.838874612429496</v>
      </c>
    </row>
    <row r="133" spans="1:15" s="212" customFormat="1">
      <c r="A133" s="213" t="str">
        <f>name!E$9</f>
        <v>Caring, leisure and other service occupations</v>
      </c>
      <c r="B133" s="278">
        <v>0.5778503572393402</v>
      </c>
      <c r="C133" s="278">
        <v>0.29943683626386169</v>
      </c>
      <c r="D133" s="278">
        <v>0.18262379410989626</v>
      </c>
      <c r="E133" s="278">
        <f t="shared" si="70"/>
        <v>1.0599109876130981</v>
      </c>
      <c r="F133" s="279"/>
      <c r="G133" s="278">
        <v>0.72110650338365267</v>
      </c>
      <c r="H133" s="278">
        <v>0.43057582328032173</v>
      </c>
      <c r="I133" s="278">
        <v>0.31495139538822403</v>
      </c>
      <c r="J133" s="278">
        <f t="shared" ref="J133:J136" si="73">SUM(G133:I133)</f>
        <v>1.4666337220521983</v>
      </c>
      <c r="K133" s="279"/>
      <c r="L133" s="278">
        <v>0.79269881179045054</v>
      </c>
      <c r="M133" s="278">
        <v>0.41565638742148597</v>
      </c>
      <c r="N133" s="278">
        <v>0.46206080566801849</v>
      </c>
      <c r="O133" s="278">
        <f t="shared" si="72"/>
        <v>1.670416004879955</v>
      </c>
    </row>
    <row r="134" spans="1:15" s="212" customFormat="1">
      <c r="A134" s="213" t="str">
        <f>name!E$10</f>
        <v>Sales and customer service occupations</v>
      </c>
      <c r="B134" s="278">
        <v>1.1513714151619987</v>
      </c>
      <c r="C134" s="278">
        <v>0.63432805868017772</v>
      </c>
      <c r="D134" s="278">
        <v>0.15690164247379965</v>
      </c>
      <c r="E134" s="278">
        <f t="shared" si="70"/>
        <v>1.942601116315976</v>
      </c>
      <c r="F134" s="279"/>
      <c r="G134" s="278">
        <v>1.2556889354058354</v>
      </c>
      <c r="H134" s="278">
        <v>0.48928546989416694</v>
      </c>
      <c r="I134" s="278">
        <v>0.22729239605135215</v>
      </c>
      <c r="J134" s="278">
        <f t="shared" si="73"/>
        <v>1.9722668013513545</v>
      </c>
      <c r="K134" s="279"/>
      <c r="L134" s="278">
        <v>1.342930646093071</v>
      </c>
      <c r="M134" s="278">
        <v>0.50002098377042614</v>
      </c>
      <c r="N134" s="278">
        <v>0.14061644900618908</v>
      </c>
      <c r="O134" s="278">
        <f t="shared" si="72"/>
        <v>1.9835680788696863</v>
      </c>
    </row>
    <row r="135" spans="1:15" s="212" customFormat="1">
      <c r="A135" s="213" t="str">
        <f>name!E$11</f>
        <v>Process, plant and machine operatives</v>
      </c>
      <c r="B135" s="278">
        <v>13.542460112269946</v>
      </c>
      <c r="C135" s="278">
        <v>0.83871384242609681</v>
      </c>
      <c r="D135" s="278">
        <v>0.74413560505178311</v>
      </c>
      <c r="E135" s="278">
        <f t="shared" si="70"/>
        <v>15.125309559747826</v>
      </c>
      <c r="F135" s="279"/>
      <c r="G135" s="278">
        <v>13.176715973873655</v>
      </c>
      <c r="H135" s="278">
        <v>1.1231448051947521</v>
      </c>
      <c r="I135" s="278">
        <v>1.4549827391683943</v>
      </c>
      <c r="J135" s="278">
        <f t="shared" si="73"/>
        <v>15.7548435182368</v>
      </c>
      <c r="K135" s="279"/>
      <c r="L135" s="278">
        <v>11.662866987977694</v>
      </c>
      <c r="M135" s="278">
        <v>1.148364019987173</v>
      </c>
      <c r="N135" s="278">
        <v>1.5339412333751576</v>
      </c>
      <c r="O135" s="278">
        <f t="shared" si="72"/>
        <v>14.345172241340025</v>
      </c>
    </row>
    <row r="136" spans="1:15" s="212" customFormat="1">
      <c r="A136" s="213" t="str">
        <f>name!E$12</f>
        <v>Elementary occupations</v>
      </c>
      <c r="B136" s="278">
        <v>3.1320032934444617</v>
      </c>
      <c r="C136" s="278">
        <v>0.82493629046055539</v>
      </c>
      <c r="D136" s="278">
        <v>1.6891958365148052</v>
      </c>
      <c r="E136" s="278">
        <f t="shared" si="70"/>
        <v>5.6461354204198226</v>
      </c>
      <c r="F136" s="279"/>
      <c r="G136" s="278">
        <v>3.0073687087242522</v>
      </c>
      <c r="H136" s="278">
        <v>0.75890541156235081</v>
      </c>
      <c r="I136" s="278">
        <v>2.4268284583711832</v>
      </c>
      <c r="J136" s="278">
        <f t="shared" si="73"/>
        <v>6.1931025786577862</v>
      </c>
      <c r="K136" s="279"/>
      <c r="L136" s="278">
        <v>2.8823501864625447</v>
      </c>
      <c r="M136" s="278">
        <v>1.0130073186690325</v>
      </c>
      <c r="N136" s="278">
        <v>2.2986137417969417</v>
      </c>
      <c r="O136" s="278">
        <f t="shared" si="72"/>
        <v>6.1939712469285189</v>
      </c>
    </row>
    <row r="137" spans="1:15" s="212" customFormat="1">
      <c r="A137" s="213"/>
      <c r="B137" s="278"/>
      <c r="C137" s="278"/>
      <c r="D137" s="278"/>
      <c r="E137" s="278"/>
      <c r="F137" s="279"/>
      <c r="G137" s="278"/>
      <c r="H137" s="278"/>
      <c r="I137" s="278"/>
      <c r="J137" s="278"/>
      <c r="K137" s="279"/>
      <c r="L137" s="278"/>
      <c r="M137" s="278"/>
      <c r="N137" s="278"/>
      <c r="O137" s="278"/>
    </row>
    <row r="138" spans="1:15" s="212" customFormat="1">
      <c r="A138" s="220" t="s">
        <v>119</v>
      </c>
      <c r="B138" s="282">
        <f>SUM(B128:B136)</f>
        <v>48.692999999949102</v>
      </c>
      <c r="C138" s="282">
        <f t="shared" ref="C138:E138" si="74">SUM(C128:C136)</f>
        <v>7.4000000000948489</v>
      </c>
      <c r="D138" s="282">
        <f t="shared" si="74"/>
        <v>10.264999999838421</v>
      </c>
      <c r="E138" s="282">
        <f t="shared" si="74"/>
        <v>66.357999999882381</v>
      </c>
      <c r="F138" s="282"/>
      <c r="G138" s="282">
        <f t="shared" ref="G138:J138" si="75">SUM(G128:G136)</f>
        <v>54.882000000107368</v>
      </c>
      <c r="H138" s="282">
        <f t="shared" si="75"/>
        <v>7.0010000000422483</v>
      </c>
      <c r="I138" s="282">
        <f t="shared" si="75"/>
        <v>14.828999999726527</v>
      </c>
      <c r="J138" s="282">
        <f t="shared" si="75"/>
        <v>76.711999999876156</v>
      </c>
      <c r="K138" s="282"/>
      <c r="L138" s="282">
        <f t="shared" ref="L138:O138" si="76">SUM(L128:L136)</f>
        <v>53.025000000539933</v>
      </c>
      <c r="M138" s="282">
        <f t="shared" si="76"/>
        <v>7.072000000092566</v>
      </c>
      <c r="N138" s="282">
        <f t="shared" si="76"/>
        <v>13.404999999375317</v>
      </c>
      <c r="O138" s="282">
        <f t="shared" si="76"/>
        <v>73.502000000007811</v>
      </c>
    </row>
    <row r="139" spans="1:15" s="212" customFormat="1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3"/>
      <c r="M139" s="213"/>
      <c r="N139" s="216"/>
    </row>
    <row r="140" spans="1:15" s="212" customFormat="1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6"/>
      <c r="O140" s="227" t="s">
        <v>114</v>
      </c>
    </row>
    <row r="141" spans="1:15" s="212" customFormat="1" ht="12.95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</row>
    <row r="142" spans="1:15" s="212" customFormat="1" ht="12.95">
      <c r="A142" s="217" t="str">
        <f>name!A11</f>
        <v>Paper, etc</v>
      </c>
      <c r="B142" s="369">
        <f>$B$6</f>
        <v>2015</v>
      </c>
      <c r="C142" s="369"/>
      <c r="D142" s="369"/>
      <c r="E142" s="369"/>
      <c r="F142" s="239"/>
      <c r="G142" s="369">
        <f>$G$6</f>
        <v>2020</v>
      </c>
      <c r="H142" s="369"/>
      <c r="I142" s="369"/>
      <c r="J142" s="369"/>
      <c r="K142" s="239"/>
      <c r="L142" s="369">
        <f>$L$6</f>
        <v>2035</v>
      </c>
      <c r="M142" s="369"/>
      <c r="N142" s="369"/>
      <c r="O142" s="369"/>
    </row>
    <row r="143" spans="1:15" s="212" customFormat="1" ht="12.95">
      <c r="A143" s="230"/>
      <c r="B143" s="244" t="str">
        <f>$B$7</f>
        <v>FT</v>
      </c>
      <c r="C143" s="244" t="str">
        <f>$C$7</f>
        <v>PT</v>
      </c>
      <c r="D143" s="244" t="str">
        <f>$D$7</f>
        <v>SE</v>
      </c>
      <c r="E143" s="244" t="str">
        <f>$E$7</f>
        <v>Total</v>
      </c>
      <c r="F143" s="244"/>
      <c r="G143" s="244" t="str">
        <f>$G$7</f>
        <v>FT</v>
      </c>
      <c r="H143" s="244" t="str">
        <f>$H$7</f>
        <v>PT</v>
      </c>
      <c r="I143" s="244" t="str">
        <f>$I$7</f>
        <v>SE</v>
      </c>
      <c r="J143" s="244" t="str">
        <f>$J$7</f>
        <v>Total</v>
      </c>
      <c r="K143" s="244"/>
      <c r="L143" s="244" t="str">
        <f>$L$7</f>
        <v>FT</v>
      </c>
      <c r="M143" s="244" t="str">
        <f>$M$7</f>
        <v>PT</v>
      </c>
      <c r="N143" s="244" t="str">
        <f>$N$7</f>
        <v>SE</v>
      </c>
      <c r="O143" s="244" t="str">
        <f>$O$7</f>
        <v>Total</v>
      </c>
    </row>
    <row r="144" spans="1:15" s="212" customFormat="1" ht="12.95">
      <c r="A144" s="234"/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  <c r="N144" s="215"/>
      <c r="O144" s="215"/>
    </row>
    <row r="145" spans="1:15" s="212" customFormat="1">
      <c r="A145" s="213" t="str">
        <f>name!E$4</f>
        <v>Managers, directors and senior officials</v>
      </c>
      <c r="B145" s="278">
        <v>5.0033152407959331</v>
      </c>
      <c r="C145" s="278">
        <v>0.16991865969338199</v>
      </c>
      <c r="D145" s="278">
        <v>2.308302208690812</v>
      </c>
      <c r="E145" s="278">
        <f>SUM(B145:D145)</f>
        <v>7.4815361091801265</v>
      </c>
      <c r="F145" s="279"/>
      <c r="G145" s="278">
        <v>5.498334532775436</v>
      </c>
      <c r="H145" s="278">
        <v>0.19217046883411773</v>
      </c>
      <c r="I145" s="278">
        <v>0.2146363014162046</v>
      </c>
      <c r="J145" s="278">
        <f>SUM(G145:I145)</f>
        <v>5.9051413030257587</v>
      </c>
      <c r="K145" s="279"/>
      <c r="L145" s="278">
        <v>5.4481956223946133</v>
      </c>
      <c r="M145" s="278">
        <v>0.18749240231414299</v>
      </c>
      <c r="N145" s="278">
        <v>0.27047548174641334</v>
      </c>
      <c r="O145" s="278">
        <f>SUM(L145:N145)</f>
        <v>5.9061635064551696</v>
      </c>
    </row>
    <row r="146" spans="1:15" s="212" customFormat="1">
      <c r="A146" s="213" t="str">
        <f>name!E$5</f>
        <v>Professional occupations</v>
      </c>
      <c r="B146" s="278">
        <v>4.0987810832118168</v>
      </c>
      <c r="C146" s="278">
        <v>0.195807292468968</v>
      </c>
      <c r="D146" s="278">
        <v>0.93336554432514685</v>
      </c>
      <c r="E146" s="278">
        <f t="shared" ref="E146:E153" si="77">SUM(B146:D146)</f>
        <v>5.2279539200059322</v>
      </c>
      <c r="F146" s="279"/>
      <c r="G146" s="278">
        <v>4.9902694405910797</v>
      </c>
      <c r="H146" s="278">
        <v>0.19396419046240804</v>
      </c>
      <c r="I146" s="278">
        <v>0.10850503018170365</v>
      </c>
      <c r="J146" s="278">
        <f t="shared" ref="J146:J148" si="78">SUM(G146:I146)</f>
        <v>5.292738661235191</v>
      </c>
      <c r="K146" s="279"/>
      <c r="L146" s="278">
        <v>6.6059988810794765</v>
      </c>
      <c r="M146" s="278">
        <v>0.25697727311917573</v>
      </c>
      <c r="N146" s="278">
        <v>0.11917822829889599</v>
      </c>
      <c r="O146" s="278">
        <f t="shared" ref="O146:O153" si="79">SUM(L146:N146)</f>
        <v>6.9821543824975478</v>
      </c>
    </row>
    <row r="147" spans="1:15" s="212" customFormat="1">
      <c r="A147" s="213" t="str">
        <f>name!E$6</f>
        <v>Associate professional occupations</v>
      </c>
      <c r="B147" s="278">
        <v>4.3005070302641109</v>
      </c>
      <c r="C147" s="278">
        <v>0.47703438208412358</v>
      </c>
      <c r="D147" s="278">
        <v>1.2462064012523837</v>
      </c>
      <c r="E147" s="278">
        <f t="shared" si="77"/>
        <v>6.0237478136006182</v>
      </c>
      <c r="F147" s="279"/>
      <c r="G147" s="278">
        <v>4.9726909382128577</v>
      </c>
      <c r="H147" s="278">
        <v>0.38832706002745027</v>
      </c>
      <c r="I147" s="278">
        <v>0.2592919110817184</v>
      </c>
      <c r="J147" s="278">
        <f t="shared" si="78"/>
        <v>5.6203099093220263</v>
      </c>
      <c r="K147" s="279"/>
      <c r="L147" s="278">
        <v>4.9666266529054717</v>
      </c>
      <c r="M147" s="278">
        <v>0.32407318787646427</v>
      </c>
      <c r="N147" s="278">
        <v>0.30522214617463428</v>
      </c>
      <c r="O147" s="278">
        <f t="shared" si="79"/>
        <v>5.5959219869565704</v>
      </c>
    </row>
    <row r="148" spans="1:15" s="212" customFormat="1">
      <c r="A148" s="213" t="str">
        <f>name!E$7</f>
        <v>Administrative and secretarial occupations</v>
      </c>
      <c r="B148" s="278">
        <v>2.2080595424018012</v>
      </c>
      <c r="C148" s="278">
        <v>0.9299438523729926</v>
      </c>
      <c r="D148" s="278">
        <v>0.2443236907366825</v>
      </c>
      <c r="E148" s="278">
        <f t="shared" si="77"/>
        <v>3.3823270855114762</v>
      </c>
      <c r="F148" s="279"/>
      <c r="G148" s="278">
        <v>2.2625888688848055</v>
      </c>
      <c r="H148" s="278">
        <v>0.30089542685451598</v>
      </c>
      <c r="I148" s="278">
        <v>3.981952950673074E-2</v>
      </c>
      <c r="J148" s="278">
        <f t="shared" si="78"/>
        <v>2.6033038252460523</v>
      </c>
      <c r="K148" s="279"/>
      <c r="L148" s="278">
        <v>2.3264521248965857</v>
      </c>
      <c r="M148" s="278">
        <v>0.22550953985059674</v>
      </c>
      <c r="N148" s="278">
        <v>2.77224373677134E-2</v>
      </c>
      <c r="O148" s="278">
        <f t="shared" si="79"/>
        <v>2.579684102114896</v>
      </c>
    </row>
    <row r="149" spans="1:15" s="212" customFormat="1">
      <c r="A149" s="213" t="str">
        <f>name!E$8</f>
        <v>Skilled trades occupations</v>
      </c>
      <c r="B149" s="278">
        <v>8.2594811462733659</v>
      </c>
      <c r="C149" s="278">
        <v>0.21786884099385848</v>
      </c>
      <c r="D149" s="278">
        <v>2.0280258289986723</v>
      </c>
      <c r="E149" s="278">
        <f t="shared" si="77"/>
        <v>10.505375816265897</v>
      </c>
      <c r="F149" s="279"/>
      <c r="G149" s="278">
        <v>6.0418823564581574</v>
      </c>
      <c r="H149" s="278">
        <v>0.13660657227687367</v>
      </c>
      <c r="I149" s="278">
        <v>0.11243561012846229</v>
      </c>
      <c r="J149" s="278">
        <f>SUM(G149:I149)</f>
        <v>6.2909245388634929</v>
      </c>
      <c r="K149" s="279"/>
      <c r="L149" s="278">
        <v>5.0589816996004204</v>
      </c>
      <c r="M149" s="278">
        <v>0.12643335725251489</v>
      </c>
      <c r="N149" s="278">
        <v>0.14870582511960512</v>
      </c>
      <c r="O149" s="278">
        <f t="shared" si="79"/>
        <v>5.3341208819725408</v>
      </c>
    </row>
    <row r="150" spans="1:15" s="212" customFormat="1">
      <c r="A150" s="213" t="str">
        <f>name!E$9</f>
        <v>Caring, leisure and other service occupations</v>
      </c>
      <c r="B150" s="278">
        <v>0.48843247460546774</v>
      </c>
      <c r="C150" s="278">
        <v>0.16705743706656892</v>
      </c>
      <c r="D150" s="278">
        <v>5.301163524127641E-2</v>
      </c>
      <c r="E150" s="278">
        <f t="shared" si="77"/>
        <v>0.70850154691331302</v>
      </c>
      <c r="F150" s="279"/>
      <c r="G150" s="278">
        <v>0.46714936602032175</v>
      </c>
      <c r="H150" s="278">
        <v>5.5048102839899339E-2</v>
      </c>
      <c r="I150" s="278">
        <v>3.3896035208011412E-2</v>
      </c>
      <c r="J150" s="278">
        <f t="shared" ref="J150:J153" si="80">SUM(G150:I150)</f>
        <v>0.55609350406823255</v>
      </c>
      <c r="K150" s="279"/>
      <c r="L150" s="278">
        <v>0.42083437519356209</v>
      </c>
      <c r="M150" s="278">
        <v>4.2480392463556789E-2</v>
      </c>
      <c r="N150" s="278">
        <v>3.1503078303185814E-2</v>
      </c>
      <c r="O150" s="278">
        <f t="shared" si="79"/>
        <v>0.4948178459603047</v>
      </c>
    </row>
    <row r="151" spans="1:15" s="212" customFormat="1">
      <c r="A151" s="213" t="str">
        <f>name!E$10</f>
        <v>Sales and customer service occupations</v>
      </c>
      <c r="B151" s="278">
        <v>0.88587622952348355</v>
      </c>
      <c r="C151" s="278">
        <v>0.40360710222080964</v>
      </c>
      <c r="D151" s="278">
        <v>0.39626237587468949</v>
      </c>
      <c r="E151" s="278">
        <f t="shared" si="77"/>
        <v>1.6857457076189826</v>
      </c>
      <c r="F151" s="279"/>
      <c r="G151" s="278">
        <v>0.88045149387795874</v>
      </c>
      <c r="H151" s="278">
        <v>0.18423686840626788</v>
      </c>
      <c r="I151" s="278">
        <v>3.7195112793384916E-2</v>
      </c>
      <c r="J151" s="278">
        <f t="shared" si="80"/>
        <v>1.1018834750776116</v>
      </c>
      <c r="K151" s="279"/>
      <c r="L151" s="278">
        <v>0.99031569274223563</v>
      </c>
      <c r="M151" s="278">
        <v>0.17115921199062445</v>
      </c>
      <c r="N151" s="278">
        <v>3.557581320883467E-2</v>
      </c>
      <c r="O151" s="278">
        <f t="shared" si="79"/>
        <v>1.1970507179416947</v>
      </c>
    </row>
    <row r="152" spans="1:15" s="212" customFormat="1">
      <c r="A152" s="213" t="str">
        <f>name!E$11</f>
        <v>Process, plant and machine operatives</v>
      </c>
      <c r="B152" s="278">
        <v>12.890122197017284</v>
      </c>
      <c r="C152" s="278">
        <v>0.41809869421371831</v>
      </c>
      <c r="D152" s="278">
        <v>0.30218671710240641</v>
      </c>
      <c r="E152" s="278">
        <f t="shared" si="77"/>
        <v>13.610407608333409</v>
      </c>
      <c r="F152" s="279"/>
      <c r="G152" s="278">
        <v>9.3522725320836972</v>
      </c>
      <c r="H152" s="278">
        <v>0.29896381851822434</v>
      </c>
      <c r="I152" s="278">
        <v>5.3205587795763981E-2</v>
      </c>
      <c r="J152" s="278">
        <f t="shared" si="80"/>
        <v>9.7044419383976859</v>
      </c>
      <c r="K152" s="279"/>
      <c r="L152" s="278">
        <v>7.0877304407402608</v>
      </c>
      <c r="M152" s="278">
        <v>0.28824621447352144</v>
      </c>
      <c r="N152" s="278">
        <v>6.8674071269572923E-2</v>
      </c>
      <c r="O152" s="278">
        <f t="shared" si="79"/>
        <v>7.4446507264833555</v>
      </c>
    </row>
    <row r="153" spans="1:15" s="212" customFormat="1">
      <c r="A153" s="213" t="str">
        <f>name!E$12</f>
        <v>Elementary occupations</v>
      </c>
      <c r="B153" s="278">
        <v>4.5874250558563698</v>
      </c>
      <c r="C153" s="278">
        <v>1.1146637389589649</v>
      </c>
      <c r="D153" s="278">
        <v>0.55631559787828999</v>
      </c>
      <c r="E153" s="278">
        <f t="shared" si="77"/>
        <v>6.2584043926936248</v>
      </c>
      <c r="F153" s="279"/>
      <c r="G153" s="278">
        <v>3.5673604711573614</v>
      </c>
      <c r="H153" s="278">
        <v>0.6347874917958759</v>
      </c>
      <c r="I153" s="278">
        <v>0.12301488188414762</v>
      </c>
      <c r="J153" s="278">
        <f t="shared" si="80"/>
        <v>4.3251628448373847</v>
      </c>
      <c r="K153" s="279"/>
      <c r="L153" s="278">
        <v>3.333864510698902</v>
      </c>
      <c r="M153" s="278">
        <v>0.7756284206899644</v>
      </c>
      <c r="N153" s="278">
        <v>0.16494291852625331</v>
      </c>
      <c r="O153" s="278">
        <f t="shared" si="79"/>
        <v>4.2744358499151192</v>
      </c>
    </row>
    <row r="154" spans="1:15" s="212" customFormat="1">
      <c r="A154" s="213"/>
      <c r="B154" s="278"/>
      <c r="C154" s="278"/>
      <c r="D154" s="278"/>
      <c r="E154" s="278"/>
      <c r="F154" s="279"/>
      <c r="G154" s="278"/>
      <c r="H154" s="278"/>
      <c r="I154" s="278"/>
      <c r="J154" s="278"/>
      <c r="K154" s="279"/>
      <c r="L154" s="278"/>
      <c r="M154" s="278"/>
      <c r="N154" s="278"/>
      <c r="O154" s="278"/>
    </row>
    <row r="155" spans="1:15" s="212" customFormat="1">
      <c r="A155" s="220" t="s">
        <v>119</v>
      </c>
      <c r="B155" s="282">
        <f>SUM(B145:B153)</f>
        <v>42.721999999949631</v>
      </c>
      <c r="C155" s="282">
        <f t="shared" ref="C155:E155" si="81">SUM(C145:C153)</f>
        <v>4.094000000073386</v>
      </c>
      <c r="D155" s="282">
        <f t="shared" si="81"/>
        <v>8.0680000001003602</v>
      </c>
      <c r="E155" s="282">
        <f t="shared" si="81"/>
        <v>54.884000000123386</v>
      </c>
      <c r="F155" s="282"/>
      <c r="G155" s="282">
        <f t="shared" ref="G155:J155" si="82">SUM(G145:G153)</f>
        <v>38.033000000061676</v>
      </c>
      <c r="H155" s="282">
        <f t="shared" si="82"/>
        <v>2.3850000000156331</v>
      </c>
      <c r="I155" s="282">
        <f t="shared" si="82"/>
        <v>0.98199999999612764</v>
      </c>
      <c r="J155" s="282">
        <f t="shared" si="82"/>
        <v>41.400000000073433</v>
      </c>
      <c r="K155" s="282"/>
      <c r="L155" s="282">
        <f t="shared" ref="L155:O155" si="83">SUM(L145:L153)</f>
        <v>36.239000000251529</v>
      </c>
      <c r="M155" s="282">
        <f t="shared" si="83"/>
        <v>2.3980000000305619</v>
      </c>
      <c r="N155" s="282">
        <f t="shared" si="83"/>
        <v>1.1720000000151085</v>
      </c>
      <c r="O155" s="282">
        <f t="shared" si="83"/>
        <v>39.809000000297203</v>
      </c>
    </row>
    <row r="156" spans="1:15" s="212" customFormat="1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3"/>
      <c r="M156" s="213"/>
      <c r="N156" s="216"/>
    </row>
    <row r="157" spans="1:15" s="212" customFormat="1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13"/>
      <c r="M157" s="213"/>
      <c r="N157" s="216"/>
      <c r="O157" s="227" t="s">
        <v>114</v>
      </c>
    </row>
    <row r="158" spans="1:15" s="212" customFormat="1" ht="12.95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</row>
    <row r="159" spans="1:15" s="212" customFormat="1" ht="12.95">
      <c r="A159" s="217" t="str">
        <f>name!A12</f>
        <v>Printing and recording</v>
      </c>
      <c r="B159" s="369">
        <f>$B$6</f>
        <v>2015</v>
      </c>
      <c r="C159" s="369"/>
      <c r="D159" s="369"/>
      <c r="E159" s="369"/>
      <c r="F159" s="239"/>
      <c r="G159" s="369">
        <f>$G$6</f>
        <v>2020</v>
      </c>
      <c r="H159" s="369"/>
      <c r="I159" s="369"/>
      <c r="J159" s="369"/>
      <c r="K159" s="239"/>
      <c r="L159" s="369">
        <f>$L$6</f>
        <v>2035</v>
      </c>
      <c r="M159" s="369"/>
      <c r="N159" s="369"/>
      <c r="O159" s="369"/>
    </row>
    <row r="160" spans="1:15" s="212" customFormat="1" ht="12.95">
      <c r="A160" s="230"/>
      <c r="B160" s="244" t="str">
        <f>$B$7</f>
        <v>FT</v>
      </c>
      <c r="C160" s="244" t="str">
        <f>$C$7</f>
        <v>PT</v>
      </c>
      <c r="D160" s="244" t="str">
        <f>$D$7</f>
        <v>SE</v>
      </c>
      <c r="E160" s="244" t="str">
        <f>$E$7</f>
        <v>Total</v>
      </c>
      <c r="F160" s="244"/>
      <c r="G160" s="244" t="str">
        <f>$G$7</f>
        <v>FT</v>
      </c>
      <c r="H160" s="244" t="str">
        <f>$H$7</f>
        <v>PT</v>
      </c>
      <c r="I160" s="244" t="str">
        <f>$I$7</f>
        <v>SE</v>
      </c>
      <c r="J160" s="244" t="str">
        <f>$J$7</f>
        <v>Total</v>
      </c>
      <c r="K160" s="244"/>
      <c r="L160" s="244" t="str">
        <f>$L$7</f>
        <v>FT</v>
      </c>
      <c r="M160" s="244" t="str">
        <f>$M$7</f>
        <v>PT</v>
      </c>
      <c r="N160" s="244" t="str">
        <f>$N$7</f>
        <v>SE</v>
      </c>
      <c r="O160" s="244" t="str">
        <f>$O$7</f>
        <v>Total</v>
      </c>
    </row>
    <row r="161" spans="1:15" s="212" customFormat="1" ht="12.95">
      <c r="A161" s="234"/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  <c r="N161" s="215"/>
      <c r="O161" s="215"/>
    </row>
    <row r="162" spans="1:15" s="212" customFormat="1">
      <c r="A162" s="213" t="str">
        <f>name!E$4</f>
        <v>Managers, directors and senior officials</v>
      </c>
      <c r="B162" s="278">
        <v>16.438849172085973</v>
      </c>
      <c r="C162" s="278">
        <v>0.48808334268933906</v>
      </c>
      <c r="D162" s="278">
        <v>3.119210733217078</v>
      </c>
      <c r="E162" s="278">
        <f>SUM(B162:D162)</f>
        <v>20.04614324799239</v>
      </c>
      <c r="F162" s="279"/>
      <c r="G162" s="278">
        <v>12.951028496829858</v>
      </c>
      <c r="H162" s="278">
        <v>1.0570821961058505</v>
      </c>
      <c r="I162" s="278">
        <v>1.2844898508643037</v>
      </c>
      <c r="J162" s="278">
        <f>SUM(G162:I162)</f>
        <v>15.292600543800013</v>
      </c>
      <c r="K162" s="279"/>
      <c r="L162" s="278">
        <v>9.4281104468089278</v>
      </c>
      <c r="M162" s="278">
        <v>0.94731026489420089</v>
      </c>
      <c r="N162" s="278">
        <v>1.1548540788330279</v>
      </c>
      <c r="O162" s="278">
        <f>SUM(L162:N162)</f>
        <v>11.530274790536156</v>
      </c>
    </row>
    <row r="163" spans="1:15" s="212" customFormat="1">
      <c r="A163" s="213" t="str">
        <f>name!E$5</f>
        <v>Professional occupations</v>
      </c>
      <c r="B163" s="278">
        <v>13.448349333368817</v>
      </c>
      <c r="C163" s="278">
        <v>0.84578159725365221</v>
      </c>
      <c r="D163" s="278">
        <v>1.9043079579609703</v>
      </c>
      <c r="E163" s="278">
        <f t="shared" ref="E163:E170" si="84">SUM(B163:D163)</f>
        <v>16.198438888583439</v>
      </c>
      <c r="F163" s="279"/>
      <c r="G163" s="278">
        <v>11.81816287989605</v>
      </c>
      <c r="H163" s="278">
        <v>1.3043052857082493</v>
      </c>
      <c r="I163" s="278">
        <v>0.84840410975797875</v>
      </c>
      <c r="J163" s="278">
        <f t="shared" ref="J163:J165" si="85">SUM(G163:I163)</f>
        <v>13.970872275362279</v>
      </c>
      <c r="K163" s="279"/>
      <c r="L163" s="278">
        <v>11.420871151143597</v>
      </c>
      <c r="M163" s="278">
        <v>1.2986006255703459</v>
      </c>
      <c r="N163" s="278">
        <v>0.64448509184437031</v>
      </c>
      <c r="O163" s="278">
        <f t="shared" ref="O163:O170" si="86">SUM(L163:N163)</f>
        <v>13.363956868558313</v>
      </c>
    </row>
    <row r="164" spans="1:15" s="212" customFormat="1">
      <c r="A164" s="213" t="str">
        <f>name!E$6</f>
        <v>Associate professional occupations</v>
      </c>
      <c r="B164" s="278">
        <v>16.186292251312278</v>
      </c>
      <c r="C164" s="278">
        <v>2.1039231594165186</v>
      </c>
      <c r="D164" s="278">
        <v>4.8913902625451344</v>
      </c>
      <c r="E164" s="278">
        <f t="shared" si="84"/>
        <v>23.181605673273928</v>
      </c>
      <c r="F164" s="279"/>
      <c r="G164" s="278">
        <v>13.082028696303786</v>
      </c>
      <c r="H164" s="278">
        <v>2.6508371090370022</v>
      </c>
      <c r="I164" s="278">
        <v>2.5218472231514077</v>
      </c>
      <c r="J164" s="278">
        <f t="shared" si="85"/>
        <v>18.254713028492198</v>
      </c>
      <c r="K164" s="279"/>
      <c r="L164" s="278">
        <v>10.063044072677279</v>
      </c>
      <c r="M164" s="278">
        <v>1.8472910310741359</v>
      </c>
      <c r="N164" s="278">
        <v>2.0216402754678153</v>
      </c>
      <c r="O164" s="278">
        <f t="shared" si="86"/>
        <v>13.93197537921923</v>
      </c>
    </row>
    <row r="165" spans="1:15" s="212" customFormat="1">
      <c r="A165" s="213" t="str">
        <f>name!E$7</f>
        <v>Administrative and secretarial occupations</v>
      </c>
      <c r="B165" s="278">
        <v>6.297681540445053</v>
      </c>
      <c r="C165" s="278">
        <v>2.7920557175537266</v>
      </c>
      <c r="D165" s="278">
        <v>0.55438439764323311</v>
      </c>
      <c r="E165" s="278">
        <f t="shared" si="84"/>
        <v>9.644121655642012</v>
      </c>
      <c r="F165" s="279"/>
      <c r="G165" s="278">
        <v>4.4779257838874544</v>
      </c>
      <c r="H165" s="278">
        <v>2.4939354822664104</v>
      </c>
      <c r="I165" s="278">
        <v>0.20005845813206513</v>
      </c>
      <c r="J165" s="278">
        <f t="shared" si="85"/>
        <v>7.1719197242859298</v>
      </c>
      <c r="K165" s="279"/>
      <c r="L165" s="278">
        <v>3.4609848580213143</v>
      </c>
      <c r="M165" s="278">
        <v>1.395833827116594</v>
      </c>
      <c r="N165" s="278">
        <v>9.8577705226240805E-2</v>
      </c>
      <c r="O165" s="278">
        <f t="shared" si="86"/>
        <v>4.9553963903641485</v>
      </c>
    </row>
    <row r="166" spans="1:15" s="212" customFormat="1">
      <c r="A166" s="213" t="str">
        <f>name!E$8</f>
        <v>Skilled trades occupations</v>
      </c>
      <c r="B166" s="278">
        <v>14.544397707066317</v>
      </c>
      <c r="C166" s="278">
        <v>0.46555869900889213</v>
      </c>
      <c r="D166" s="278">
        <v>1.9268996025523448</v>
      </c>
      <c r="E166" s="278">
        <f t="shared" si="84"/>
        <v>16.936856008627554</v>
      </c>
      <c r="F166" s="279"/>
      <c r="G166" s="278">
        <v>8.4251788144257791</v>
      </c>
      <c r="H166" s="278">
        <v>0.70933774883269407</v>
      </c>
      <c r="I166" s="278">
        <v>0.58886747352422852</v>
      </c>
      <c r="J166" s="278">
        <f>SUM(G166:I166)</f>
        <v>9.7233840367827007</v>
      </c>
      <c r="K166" s="279"/>
      <c r="L166" s="278">
        <v>4.8741630146875456</v>
      </c>
      <c r="M166" s="278">
        <v>0.55510468397329915</v>
      </c>
      <c r="N166" s="278">
        <v>0.560111567160538</v>
      </c>
      <c r="O166" s="278">
        <f t="shared" si="86"/>
        <v>5.9893792658213831</v>
      </c>
    </row>
    <row r="167" spans="1:15" s="212" customFormat="1">
      <c r="A167" s="213" t="str">
        <f>name!E$9</f>
        <v>Caring, leisure and other service occupations</v>
      </c>
      <c r="B167" s="278">
        <v>0.34669540668399573</v>
      </c>
      <c r="C167" s="278">
        <v>0.14382435554131534</v>
      </c>
      <c r="D167" s="278">
        <v>0.15077170879845886</v>
      </c>
      <c r="E167" s="278">
        <f t="shared" si="84"/>
        <v>0.64129147102376993</v>
      </c>
      <c r="F167" s="279"/>
      <c r="G167" s="278">
        <v>0.25691053827449445</v>
      </c>
      <c r="H167" s="278">
        <v>0.18549833398229373</v>
      </c>
      <c r="I167" s="278">
        <v>9.4312183207500538E-2</v>
      </c>
      <c r="J167" s="278">
        <f t="shared" ref="J167:J170" si="87">SUM(G167:I167)</f>
        <v>0.53672105546428872</v>
      </c>
      <c r="K167" s="279"/>
      <c r="L167" s="278">
        <v>0.1864458036984743</v>
      </c>
      <c r="M167" s="278">
        <v>0.1374172774506818</v>
      </c>
      <c r="N167" s="278">
        <v>7.6078495000215976E-2</v>
      </c>
      <c r="O167" s="278">
        <f t="shared" si="86"/>
        <v>0.39994157614937204</v>
      </c>
    </row>
    <row r="168" spans="1:15" s="212" customFormat="1">
      <c r="A168" s="213" t="str">
        <f>name!E$10</f>
        <v>Sales and customer service occupations</v>
      </c>
      <c r="B168" s="278">
        <v>4.1675642250251403</v>
      </c>
      <c r="C168" s="278">
        <v>0.92166154896553953</v>
      </c>
      <c r="D168" s="278">
        <v>0.69093839276321367</v>
      </c>
      <c r="E168" s="278">
        <f t="shared" si="84"/>
        <v>5.7801641667538943</v>
      </c>
      <c r="F168" s="279"/>
      <c r="G168" s="278">
        <v>2.7837832417248873</v>
      </c>
      <c r="H168" s="278">
        <v>1.0238464143310979</v>
      </c>
      <c r="I168" s="278">
        <v>0.21559989496883561</v>
      </c>
      <c r="J168" s="278">
        <f t="shared" si="87"/>
        <v>4.023229551024821</v>
      </c>
      <c r="K168" s="279"/>
      <c r="L168" s="278">
        <v>2.2213906568199566</v>
      </c>
      <c r="M168" s="278">
        <v>0.80931189685994065</v>
      </c>
      <c r="N168" s="278">
        <v>0.13805063464994299</v>
      </c>
      <c r="O168" s="278">
        <f t="shared" si="86"/>
        <v>3.1687531883298403</v>
      </c>
    </row>
    <row r="169" spans="1:15" s="212" customFormat="1">
      <c r="A169" s="213" t="str">
        <f>name!E$11</f>
        <v>Process, plant and machine operatives</v>
      </c>
      <c r="B169" s="278">
        <v>4.9841902379945369</v>
      </c>
      <c r="C169" s="278">
        <v>0.38471178139904055</v>
      </c>
      <c r="D169" s="278">
        <v>0.37399619408421947</v>
      </c>
      <c r="E169" s="278">
        <f t="shared" si="84"/>
        <v>5.7428982134777975</v>
      </c>
      <c r="F169" s="279"/>
      <c r="G169" s="278">
        <v>2.8910048114538487</v>
      </c>
      <c r="H169" s="278">
        <v>1.1034531439030213</v>
      </c>
      <c r="I169" s="278">
        <v>0.19722584088810621</v>
      </c>
      <c r="J169" s="278">
        <f t="shared" si="87"/>
        <v>4.191683796244976</v>
      </c>
      <c r="K169" s="279"/>
      <c r="L169" s="278">
        <v>1.8825913164001444</v>
      </c>
      <c r="M169" s="278">
        <v>1.0193809850168325</v>
      </c>
      <c r="N169" s="278">
        <v>0.16724557378691582</v>
      </c>
      <c r="O169" s="278">
        <f t="shared" si="86"/>
        <v>3.0692178752038926</v>
      </c>
    </row>
    <row r="170" spans="1:15" s="212" customFormat="1">
      <c r="A170" s="213" t="str">
        <f>name!E$12</f>
        <v>Elementary occupations</v>
      </c>
      <c r="B170" s="278">
        <v>7.403980125558637</v>
      </c>
      <c r="C170" s="278">
        <v>2.4113997983066291</v>
      </c>
      <c r="D170" s="278">
        <v>0.79710075069709685</v>
      </c>
      <c r="E170" s="278">
        <f t="shared" si="84"/>
        <v>10.612480674562363</v>
      </c>
      <c r="F170" s="279"/>
      <c r="G170" s="278">
        <v>4.1439767369872529</v>
      </c>
      <c r="H170" s="278">
        <v>3.2817042859372383</v>
      </c>
      <c r="I170" s="278">
        <v>0.35319496554633539</v>
      </c>
      <c r="J170" s="278">
        <f t="shared" si="87"/>
        <v>7.7788759884708272</v>
      </c>
      <c r="K170" s="279"/>
      <c r="L170" s="278">
        <v>3.0873986801998319</v>
      </c>
      <c r="M170" s="278">
        <v>3.5397494081947762</v>
      </c>
      <c r="N170" s="278">
        <v>0.33095657818980068</v>
      </c>
      <c r="O170" s="278">
        <f t="shared" si="86"/>
        <v>6.9581046665844086</v>
      </c>
    </row>
    <row r="171" spans="1:15" s="212" customFormat="1">
      <c r="A171" s="213"/>
      <c r="B171" s="278"/>
      <c r="C171" s="278"/>
      <c r="D171" s="278"/>
      <c r="E171" s="278"/>
      <c r="F171" s="279"/>
      <c r="G171" s="278"/>
      <c r="H171" s="278"/>
      <c r="I171" s="278"/>
      <c r="J171" s="278"/>
      <c r="K171" s="279"/>
      <c r="L171" s="278"/>
      <c r="M171" s="278"/>
      <c r="N171" s="278"/>
      <c r="O171" s="278"/>
    </row>
    <row r="172" spans="1:15" s="212" customFormat="1">
      <c r="A172" s="220" t="s">
        <v>119</v>
      </c>
      <c r="B172" s="282">
        <f>SUM(B162:B170)</f>
        <v>83.817999999540746</v>
      </c>
      <c r="C172" s="282">
        <f t="shared" ref="C172:E172" si="88">SUM(C162:C170)</f>
        <v>10.557000000134654</v>
      </c>
      <c r="D172" s="282">
        <f t="shared" si="88"/>
        <v>14.409000000261749</v>
      </c>
      <c r="E172" s="282">
        <f t="shared" si="88"/>
        <v>108.78399999993715</v>
      </c>
      <c r="F172" s="282"/>
      <c r="G172" s="282">
        <f t="shared" ref="G172:J172" si="89">SUM(G162:G170)</f>
        <v>60.829999999783418</v>
      </c>
      <c r="H172" s="282">
        <f t="shared" si="89"/>
        <v>13.810000000103857</v>
      </c>
      <c r="I172" s="282">
        <f t="shared" si="89"/>
        <v>6.3040000000407614</v>
      </c>
      <c r="J172" s="282">
        <f t="shared" si="89"/>
        <v>80.943999999928039</v>
      </c>
      <c r="K172" s="282"/>
      <c r="L172" s="282">
        <f t="shared" ref="L172:O172" si="90">SUM(L162:L170)</f>
        <v>46.625000000457071</v>
      </c>
      <c r="M172" s="282">
        <f t="shared" si="90"/>
        <v>11.550000000150806</v>
      </c>
      <c r="N172" s="282">
        <f t="shared" si="90"/>
        <v>5.1920000001588678</v>
      </c>
      <c r="O172" s="282">
        <f t="shared" si="90"/>
        <v>63.367000000766744</v>
      </c>
    </row>
    <row r="173" spans="1:15" s="212" customFormat="1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6"/>
    </row>
    <row r="174" spans="1:15" s="212" customFormat="1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13"/>
      <c r="M174" s="213"/>
      <c r="N174" s="216"/>
      <c r="O174" s="227" t="s">
        <v>114</v>
      </c>
    </row>
    <row r="175" spans="1:15" s="212" customFormat="1" ht="12.95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</row>
    <row r="176" spans="1:15" s="212" customFormat="1" ht="12.95">
      <c r="A176" s="217" t="str">
        <f>name!A13</f>
        <v>Coke and petroleum; Chemicals, etc</v>
      </c>
      <c r="B176" s="369">
        <f>$B$6</f>
        <v>2015</v>
      </c>
      <c r="C176" s="369"/>
      <c r="D176" s="369"/>
      <c r="E176" s="369"/>
      <c r="F176" s="239"/>
      <c r="G176" s="369">
        <f>$G$6</f>
        <v>2020</v>
      </c>
      <c r="H176" s="369"/>
      <c r="I176" s="369"/>
      <c r="J176" s="369"/>
      <c r="K176" s="239"/>
      <c r="L176" s="369">
        <f>$L$6</f>
        <v>2035</v>
      </c>
      <c r="M176" s="369"/>
      <c r="N176" s="369"/>
      <c r="O176" s="369"/>
    </row>
    <row r="177" spans="1:15" s="212" customFormat="1" ht="12.95">
      <c r="A177" s="230"/>
      <c r="B177" s="244" t="str">
        <f>$B$7</f>
        <v>FT</v>
      </c>
      <c r="C177" s="244" t="str">
        <f>$C$7</f>
        <v>PT</v>
      </c>
      <c r="D177" s="244" t="str">
        <f>$D$7</f>
        <v>SE</v>
      </c>
      <c r="E177" s="244" t="str">
        <f>$E$7</f>
        <v>Total</v>
      </c>
      <c r="F177" s="244"/>
      <c r="G177" s="244" t="str">
        <f>$G$7</f>
        <v>FT</v>
      </c>
      <c r="H177" s="244" t="str">
        <f>$H$7</f>
        <v>PT</v>
      </c>
      <c r="I177" s="244" t="str">
        <f>$I$7</f>
        <v>SE</v>
      </c>
      <c r="J177" s="244" t="str">
        <f>$J$7</f>
        <v>Total</v>
      </c>
      <c r="K177" s="244"/>
      <c r="L177" s="244" t="str">
        <f>$L$7</f>
        <v>FT</v>
      </c>
      <c r="M177" s="244" t="str">
        <f>$M$7</f>
        <v>PT</v>
      </c>
      <c r="N177" s="244" t="str">
        <f>$N$7</f>
        <v>SE</v>
      </c>
      <c r="O177" s="244" t="str">
        <f>$O$7</f>
        <v>Total</v>
      </c>
    </row>
    <row r="178" spans="1:15" s="212" customFormat="1" ht="12.95">
      <c r="A178" s="234"/>
      <c r="B178" s="215"/>
      <c r="C178" s="215"/>
      <c r="D178" s="215"/>
      <c r="E178" s="215"/>
      <c r="F178" s="215"/>
      <c r="G178" s="215"/>
      <c r="H178" s="215"/>
      <c r="I178" s="215"/>
      <c r="J178" s="215"/>
      <c r="K178" s="215"/>
      <c r="L178" s="215"/>
      <c r="M178" s="215"/>
      <c r="N178" s="215"/>
      <c r="O178" s="215"/>
    </row>
    <row r="179" spans="1:15" s="212" customFormat="1">
      <c r="A179" s="213" t="str">
        <f>name!E$4</f>
        <v>Managers, directors and senior officials</v>
      </c>
      <c r="B179" s="278">
        <v>11.525416842235513</v>
      </c>
      <c r="C179" s="278">
        <v>0.27559257871375747</v>
      </c>
      <c r="D179" s="278">
        <v>0.59838623574079752</v>
      </c>
      <c r="E179" s="278">
        <f>SUM(B179:D179)</f>
        <v>12.399395656690068</v>
      </c>
      <c r="F179" s="279"/>
      <c r="G179" s="278">
        <v>13.047156132396939</v>
      </c>
      <c r="H179" s="278">
        <v>0.5502926565300994</v>
      </c>
      <c r="I179" s="278">
        <v>1.1453262863018423</v>
      </c>
      <c r="J179" s="278">
        <f>SUM(G179:I179)</f>
        <v>14.742775075228881</v>
      </c>
      <c r="K179" s="279"/>
      <c r="L179" s="278">
        <v>9.8634058340475015</v>
      </c>
      <c r="M179" s="278">
        <v>0.49858332166228642</v>
      </c>
      <c r="N179" s="278">
        <v>1.0432040986026283</v>
      </c>
      <c r="O179" s="278">
        <f>SUM(L179:N179)</f>
        <v>11.405193254312415</v>
      </c>
    </row>
    <row r="180" spans="1:15" s="212" customFormat="1">
      <c r="A180" s="213" t="str">
        <f>name!E$5</f>
        <v>Professional occupations</v>
      </c>
      <c r="B180" s="278">
        <v>19.810672957746675</v>
      </c>
      <c r="C180" s="278">
        <v>0.37010962732245684</v>
      </c>
      <c r="D180" s="278">
        <v>1.2518655281545661</v>
      </c>
      <c r="E180" s="278">
        <f t="shared" ref="E180:E187" si="91">SUM(B180:D180)</f>
        <v>21.432648113223699</v>
      </c>
      <c r="F180" s="279"/>
      <c r="G180" s="278">
        <v>24.479894275922536</v>
      </c>
      <c r="H180" s="278">
        <v>0.72691668735882931</v>
      </c>
      <c r="I180" s="278">
        <v>1.9267038768569746</v>
      </c>
      <c r="J180" s="278">
        <f t="shared" ref="J180:J182" si="92">SUM(G180:I180)</f>
        <v>27.133514840138343</v>
      </c>
      <c r="K180" s="279"/>
      <c r="L180" s="278">
        <v>25.722783977736739</v>
      </c>
      <c r="M180" s="278">
        <v>0.6561170516220185</v>
      </c>
      <c r="N180" s="278">
        <v>1.3301579360303664</v>
      </c>
      <c r="O180" s="278">
        <f t="shared" ref="O180:O187" si="93">SUM(L180:N180)</f>
        <v>27.709058965389126</v>
      </c>
    </row>
    <row r="181" spans="1:15" s="212" customFormat="1">
      <c r="A181" s="213" t="str">
        <f>name!E$6</f>
        <v>Associate professional occupations</v>
      </c>
      <c r="B181" s="278">
        <v>10.787011453804578</v>
      </c>
      <c r="C181" s="278">
        <v>0.4599715082366016</v>
      </c>
      <c r="D181" s="278">
        <v>0.69290942542942491</v>
      </c>
      <c r="E181" s="278">
        <f t="shared" si="91"/>
        <v>11.939892387470605</v>
      </c>
      <c r="F181" s="279"/>
      <c r="G181" s="278">
        <v>12.8070586090309</v>
      </c>
      <c r="H181" s="278">
        <v>0.78307004080270648</v>
      </c>
      <c r="I181" s="278">
        <v>0.97393344173190621</v>
      </c>
      <c r="J181" s="278">
        <f t="shared" si="92"/>
        <v>14.564062091565512</v>
      </c>
      <c r="K181" s="279"/>
      <c r="L181" s="278">
        <v>10.706661566689622</v>
      </c>
      <c r="M181" s="278">
        <v>0.52505571887170077</v>
      </c>
      <c r="N181" s="278">
        <v>0.88896349304867006</v>
      </c>
      <c r="O181" s="278">
        <f t="shared" si="93"/>
        <v>12.120680778609993</v>
      </c>
    </row>
    <row r="182" spans="1:15" s="212" customFormat="1">
      <c r="A182" s="213" t="str">
        <f>name!E$7</f>
        <v>Administrative and secretarial occupations</v>
      </c>
      <c r="B182" s="278">
        <v>6.4953725380423979</v>
      </c>
      <c r="C182" s="278">
        <v>0.9240288653361215</v>
      </c>
      <c r="D182" s="278">
        <v>0.28566538953212756</v>
      </c>
      <c r="E182" s="278">
        <f t="shared" si="91"/>
        <v>7.7050667929106469</v>
      </c>
      <c r="F182" s="279"/>
      <c r="G182" s="278">
        <v>6.957237399400455</v>
      </c>
      <c r="H182" s="278">
        <v>1.1261009906928379</v>
      </c>
      <c r="I182" s="278">
        <v>0.372295802720295</v>
      </c>
      <c r="J182" s="278">
        <f t="shared" si="92"/>
        <v>8.4556341928135872</v>
      </c>
      <c r="K182" s="279"/>
      <c r="L182" s="278">
        <v>6.4124130283822192</v>
      </c>
      <c r="M182" s="278">
        <v>0.59848982827146435</v>
      </c>
      <c r="N182" s="278">
        <v>0.27678009091518685</v>
      </c>
      <c r="O182" s="278">
        <f t="shared" si="93"/>
        <v>7.2876829475688707</v>
      </c>
    </row>
    <row r="183" spans="1:15" s="212" customFormat="1">
      <c r="A183" s="213" t="str">
        <f>name!E$8</f>
        <v>Skilled trades occupations</v>
      </c>
      <c r="B183" s="278">
        <v>4.9320152925917631</v>
      </c>
      <c r="C183" s="278">
        <v>0.33238165577148737</v>
      </c>
      <c r="D183" s="278">
        <v>0.84988652812732435</v>
      </c>
      <c r="E183" s="278">
        <f t="shared" si="91"/>
        <v>6.1142834764905754</v>
      </c>
      <c r="F183" s="279"/>
      <c r="G183" s="278">
        <v>3.8751692943600848</v>
      </c>
      <c r="H183" s="278">
        <v>0.36112166371928217</v>
      </c>
      <c r="I183" s="278">
        <v>0.92759120900641412</v>
      </c>
      <c r="J183" s="278">
        <f>SUM(G183:I183)</f>
        <v>5.1638821670857817</v>
      </c>
      <c r="K183" s="279"/>
      <c r="L183" s="278">
        <v>2.4822056034136621</v>
      </c>
      <c r="M183" s="278">
        <v>0.32279369416162662</v>
      </c>
      <c r="N183" s="278">
        <v>0.99908353868548039</v>
      </c>
      <c r="O183" s="278">
        <f t="shared" si="93"/>
        <v>3.8040828362607693</v>
      </c>
    </row>
    <row r="184" spans="1:15" s="212" customFormat="1">
      <c r="A184" s="213" t="str">
        <f>name!E$9</f>
        <v>Caring, leisure and other service occupations</v>
      </c>
      <c r="B184" s="278">
        <v>0.74463516136142305</v>
      </c>
      <c r="C184" s="278">
        <v>0.11107482740988356</v>
      </c>
      <c r="D184" s="278">
        <v>0.21828061423819459</v>
      </c>
      <c r="E184" s="278">
        <f t="shared" si="91"/>
        <v>1.0739906030095012</v>
      </c>
      <c r="F184" s="279"/>
      <c r="G184" s="278">
        <v>0.72423985696879312</v>
      </c>
      <c r="H184" s="278">
        <v>0.14695839811254724</v>
      </c>
      <c r="I184" s="278">
        <v>0.56512141743259281</v>
      </c>
      <c r="J184" s="278">
        <f t="shared" ref="J184:J187" si="94">SUM(G184:I184)</f>
        <v>1.4363196725139331</v>
      </c>
      <c r="K184" s="279"/>
      <c r="L184" s="278">
        <v>0.56377320571009437</v>
      </c>
      <c r="M184" s="278">
        <v>0.10358053952478376</v>
      </c>
      <c r="N184" s="278">
        <v>0.46605445715695831</v>
      </c>
      <c r="O184" s="278">
        <f t="shared" si="93"/>
        <v>1.1334082023918364</v>
      </c>
    </row>
    <row r="185" spans="1:15" s="212" customFormat="1">
      <c r="A185" s="213" t="str">
        <f>name!E$10</f>
        <v>Sales and customer service occupations</v>
      </c>
      <c r="B185" s="278">
        <v>2.2808616351270783</v>
      </c>
      <c r="C185" s="278">
        <v>0.59343937367765742</v>
      </c>
      <c r="D185" s="278">
        <v>0.15212266014098971</v>
      </c>
      <c r="E185" s="278">
        <f t="shared" si="91"/>
        <v>3.0264236689457253</v>
      </c>
      <c r="F185" s="279"/>
      <c r="G185" s="278">
        <v>2.1991448114170389</v>
      </c>
      <c r="H185" s="278">
        <v>0.70905115322016332</v>
      </c>
      <c r="I185" s="278">
        <v>0.21363822305422536</v>
      </c>
      <c r="J185" s="278">
        <f t="shared" si="94"/>
        <v>3.1218341876914275</v>
      </c>
      <c r="K185" s="279"/>
      <c r="L185" s="278">
        <v>1.9367757416582927</v>
      </c>
      <c r="M185" s="278">
        <v>0.53851223783057778</v>
      </c>
      <c r="N185" s="278">
        <v>0.153940723446303</v>
      </c>
      <c r="O185" s="278">
        <f t="shared" si="93"/>
        <v>2.6292287029351731</v>
      </c>
    </row>
    <row r="186" spans="1:15" s="212" customFormat="1">
      <c r="A186" s="213" t="str">
        <f>name!E$11</f>
        <v>Process, plant and machine operatives</v>
      </c>
      <c r="B186" s="278">
        <v>16.603272025123054</v>
      </c>
      <c r="C186" s="278">
        <v>0.74028592573870133</v>
      </c>
      <c r="D186" s="278">
        <v>0.3259269322753417</v>
      </c>
      <c r="E186" s="278">
        <f t="shared" si="91"/>
        <v>17.669484883137095</v>
      </c>
      <c r="F186" s="279"/>
      <c r="G186" s="278">
        <v>12.6615064998741</v>
      </c>
      <c r="H186" s="278">
        <v>1.0224661686765626</v>
      </c>
      <c r="I186" s="278">
        <v>0.75467577808363129</v>
      </c>
      <c r="J186" s="278">
        <f t="shared" si="94"/>
        <v>14.438648446634295</v>
      </c>
      <c r="K186" s="279"/>
      <c r="L186" s="278">
        <v>7.9319648353430763</v>
      </c>
      <c r="M186" s="278">
        <v>0.84913581329923593</v>
      </c>
      <c r="N186" s="278">
        <v>0.66433486740930181</v>
      </c>
      <c r="O186" s="278">
        <f t="shared" si="93"/>
        <v>9.4454355160516137</v>
      </c>
    </row>
    <row r="187" spans="1:15" s="212" customFormat="1">
      <c r="A187" s="213" t="str">
        <f>name!E$12</f>
        <v>Elementary occupations</v>
      </c>
      <c r="B187" s="278">
        <v>5.0657420935833271</v>
      </c>
      <c r="C187" s="278">
        <v>1.2041156378843667</v>
      </c>
      <c r="D187" s="278">
        <v>0.44295668641538882</v>
      </c>
      <c r="E187" s="278">
        <f t="shared" si="91"/>
        <v>6.7128144178830826</v>
      </c>
      <c r="F187" s="279"/>
      <c r="G187" s="278">
        <v>3.8675931201614957</v>
      </c>
      <c r="H187" s="278">
        <v>1.2960222409706292</v>
      </c>
      <c r="I187" s="278">
        <v>0.82271396484062143</v>
      </c>
      <c r="J187" s="278">
        <f t="shared" si="94"/>
        <v>5.986329325972747</v>
      </c>
      <c r="K187" s="279"/>
      <c r="L187" s="278">
        <v>3.1630162075551871</v>
      </c>
      <c r="M187" s="278">
        <v>2.062731794915809</v>
      </c>
      <c r="N187" s="278">
        <v>0.93648079476394586</v>
      </c>
      <c r="O187" s="278">
        <f t="shared" si="93"/>
        <v>6.1622287972349419</v>
      </c>
    </row>
    <row r="188" spans="1:15" s="212" customFormat="1">
      <c r="A188" s="213"/>
      <c r="B188" s="278"/>
      <c r="C188" s="278"/>
      <c r="D188" s="278"/>
      <c r="E188" s="278"/>
      <c r="F188" s="279"/>
      <c r="G188" s="278"/>
      <c r="H188" s="278"/>
      <c r="I188" s="278"/>
      <c r="J188" s="278"/>
      <c r="K188" s="279"/>
      <c r="L188" s="278"/>
      <c r="M188" s="278"/>
      <c r="N188" s="278"/>
      <c r="O188" s="278"/>
    </row>
    <row r="189" spans="1:15" s="212" customFormat="1">
      <c r="A189" s="220" t="s">
        <v>119</v>
      </c>
      <c r="B189" s="282">
        <f>SUM(B179:B187)</f>
        <v>78.244999999615814</v>
      </c>
      <c r="C189" s="282">
        <f t="shared" ref="C189:E189" si="95">SUM(C179:C187)</f>
        <v>5.011000000091034</v>
      </c>
      <c r="D189" s="282">
        <f t="shared" si="95"/>
        <v>4.8180000000541545</v>
      </c>
      <c r="E189" s="282">
        <f t="shared" si="95"/>
        <v>88.073999999761</v>
      </c>
      <c r="F189" s="282"/>
      <c r="G189" s="282">
        <f t="shared" ref="G189:J189" si="96">SUM(G179:G187)</f>
        <v>80.618999999532349</v>
      </c>
      <c r="H189" s="282">
        <f t="shared" si="96"/>
        <v>6.7220000000836571</v>
      </c>
      <c r="I189" s="282">
        <f t="shared" si="96"/>
        <v>7.7020000000285034</v>
      </c>
      <c r="J189" s="282">
        <f t="shared" si="96"/>
        <v>95.042999999644508</v>
      </c>
      <c r="K189" s="282"/>
      <c r="L189" s="282">
        <f t="shared" ref="L189:O189" si="97">SUM(L179:L187)</f>
        <v>68.78300000053639</v>
      </c>
      <c r="M189" s="282">
        <f t="shared" si="97"/>
        <v>6.1550000001595038</v>
      </c>
      <c r="N189" s="282">
        <f t="shared" si="97"/>
        <v>6.7590000000588413</v>
      </c>
      <c r="O189" s="282">
        <f t="shared" si="97"/>
        <v>81.697000000754741</v>
      </c>
    </row>
    <row r="190" spans="1:15" s="212" customFormat="1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6"/>
    </row>
    <row r="191" spans="1:15" s="212" customFormat="1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13"/>
      <c r="M191" s="213"/>
      <c r="N191" s="216"/>
      <c r="O191" s="227" t="s">
        <v>114</v>
      </c>
    </row>
    <row r="192" spans="1:15" s="212" customFormat="1" ht="12.95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</row>
    <row r="193" spans="1:15" s="212" customFormat="1" ht="12.95">
      <c r="A193" s="217" t="str">
        <f>name!A14</f>
        <v>Pharmaceuticals</v>
      </c>
      <c r="B193" s="369">
        <f>$B$6</f>
        <v>2015</v>
      </c>
      <c r="C193" s="369"/>
      <c r="D193" s="369"/>
      <c r="E193" s="369"/>
      <c r="F193" s="239"/>
      <c r="G193" s="369">
        <f>$G$6</f>
        <v>2020</v>
      </c>
      <c r="H193" s="369"/>
      <c r="I193" s="369"/>
      <c r="J193" s="369"/>
      <c r="K193" s="239"/>
      <c r="L193" s="369">
        <f>$L$6</f>
        <v>2035</v>
      </c>
      <c r="M193" s="369"/>
      <c r="N193" s="369"/>
      <c r="O193" s="369"/>
    </row>
    <row r="194" spans="1:15" s="212" customFormat="1" ht="12.95">
      <c r="A194" s="230"/>
      <c r="B194" s="244" t="str">
        <f>$B$7</f>
        <v>FT</v>
      </c>
      <c r="C194" s="244" t="str">
        <f>$C$7</f>
        <v>PT</v>
      </c>
      <c r="D194" s="244" t="str">
        <f>$D$7</f>
        <v>SE</v>
      </c>
      <c r="E194" s="244" t="str">
        <f>$E$7</f>
        <v>Total</v>
      </c>
      <c r="F194" s="244"/>
      <c r="G194" s="244" t="str">
        <f>$G$7</f>
        <v>FT</v>
      </c>
      <c r="H194" s="244" t="str">
        <f>$H$7</f>
        <v>PT</v>
      </c>
      <c r="I194" s="244" t="str">
        <f>$I$7</f>
        <v>SE</v>
      </c>
      <c r="J194" s="244" t="str">
        <f>$J$7</f>
        <v>Total</v>
      </c>
      <c r="K194" s="244"/>
      <c r="L194" s="244" t="str">
        <f>$L$7</f>
        <v>FT</v>
      </c>
      <c r="M194" s="244" t="str">
        <f>$M$7</f>
        <v>PT</v>
      </c>
      <c r="N194" s="244" t="str">
        <f>$N$7</f>
        <v>SE</v>
      </c>
      <c r="O194" s="244" t="str">
        <f>$O$7</f>
        <v>Total</v>
      </c>
    </row>
    <row r="195" spans="1:15" s="212" customFormat="1" ht="12.95">
      <c r="A195" s="234"/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</row>
    <row r="196" spans="1:15" s="212" customFormat="1">
      <c r="A196" s="213" t="str">
        <f>name!E$4</f>
        <v>Managers, directors and senior officials</v>
      </c>
      <c r="B196" s="278">
        <v>3.6875165880003653</v>
      </c>
      <c r="C196" s="278">
        <v>0.20638790794709602</v>
      </c>
      <c r="D196" s="278">
        <v>0.30449817805669199</v>
      </c>
      <c r="E196" s="278">
        <f>SUM(B196:D196)</f>
        <v>4.1984026740041536</v>
      </c>
      <c r="F196" s="279"/>
      <c r="G196" s="278">
        <v>4.4093434257483235</v>
      </c>
      <c r="H196" s="278">
        <v>0.26583320251131692</v>
      </c>
      <c r="I196" s="278">
        <v>0.70428873234912659</v>
      </c>
      <c r="J196" s="278">
        <f>SUM(G196:I196)</f>
        <v>5.3794653606087666</v>
      </c>
      <c r="K196" s="279"/>
      <c r="L196" s="278">
        <v>3.83814808093654</v>
      </c>
      <c r="M196" s="278">
        <v>0.32485859420027541</v>
      </c>
      <c r="N196" s="278">
        <v>0.86415233331502839</v>
      </c>
      <c r="O196" s="278">
        <f>SUM(L196:N196)</f>
        <v>5.0271590084518438</v>
      </c>
    </row>
    <row r="197" spans="1:15" s="212" customFormat="1">
      <c r="A197" s="213" t="str">
        <f>name!E$5</f>
        <v>Professional occupations</v>
      </c>
      <c r="B197" s="278">
        <v>10.952102932073569</v>
      </c>
      <c r="C197" s="278">
        <v>0.42424946821969411</v>
      </c>
      <c r="D197" s="278">
        <v>0.83988294927228668</v>
      </c>
      <c r="E197" s="278">
        <f t="shared" ref="E197:E204" si="98">SUM(B197:D197)</f>
        <v>12.216235349565549</v>
      </c>
      <c r="F197" s="279"/>
      <c r="G197" s="278">
        <v>15.165992859665982</v>
      </c>
      <c r="H197" s="278">
        <v>0.43954201057836417</v>
      </c>
      <c r="I197" s="278">
        <v>1.0209991306434412</v>
      </c>
      <c r="J197" s="278">
        <f t="shared" ref="J197:J199" si="99">SUM(G197:I197)</f>
        <v>16.626534000887787</v>
      </c>
      <c r="K197" s="279"/>
      <c r="L197" s="278">
        <v>17.961375820312963</v>
      </c>
      <c r="M197" s="278">
        <v>0.43630658155610813</v>
      </c>
      <c r="N197" s="278">
        <v>0.95686943031765104</v>
      </c>
      <c r="O197" s="278">
        <f t="shared" ref="O197:O204" si="100">SUM(L197:N197)</f>
        <v>19.354551832186722</v>
      </c>
    </row>
    <row r="198" spans="1:15" s="212" customFormat="1">
      <c r="A198" s="213" t="str">
        <f>name!E$6</f>
        <v>Associate professional occupations</v>
      </c>
      <c r="B198" s="278">
        <v>4.7057066381564585</v>
      </c>
      <c r="C198" s="278">
        <v>0.42659411197240743</v>
      </c>
      <c r="D198" s="278">
        <v>0.37830170749523417</v>
      </c>
      <c r="E198" s="278">
        <f t="shared" si="98"/>
        <v>5.5106024576240999</v>
      </c>
      <c r="F198" s="279"/>
      <c r="G198" s="278">
        <v>6.1726748793879729</v>
      </c>
      <c r="H198" s="278">
        <v>0.42586794344398365</v>
      </c>
      <c r="I198" s="278">
        <v>0.61118382646512104</v>
      </c>
      <c r="J198" s="278">
        <f t="shared" si="99"/>
        <v>7.2097266492970773</v>
      </c>
      <c r="K198" s="279"/>
      <c r="L198" s="278">
        <v>6.1363935599114807</v>
      </c>
      <c r="M198" s="278">
        <v>0.4229768146884178</v>
      </c>
      <c r="N198" s="278">
        <v>0.77772850229019785</v>
      </c>
      <c r="O198" s="278">
        <f t="shared" si="100"/>
        <v>7.3370988768900958</v>
      </c>
    </row>
    <row r="199" spans="1:15" s="212" customFormat="1">
      <c r="A199" s="213" t="str">
        <f>name!E$7</f>
        <v>Administrative and secretarial occupations</v>
      </c>
      <c r="B199" s="278">
        <v>1.8579159551655635</v>
      </c>
      <c r="C199" s="278">
        <v>0.27836976390492046</v>
      </c>
      <c r="D199" s="278">
        <v>0.13692606325896081</v>
      </c>
      <c r="E199" s="278">
        <f t="shared" si="98"/>
        <v>2.2732117823294447</v>
      </c>
      <c r="F199" s="279"/>
      <c r="G199" s="278">
        <v>2.0065662450077606</v>
      </c>
      <c r="H199" s="278">
        <v>0.22603730211290193</v>
      </c>
      <c r="I199" s="278">
        <v>0.10440734039914265</v>
      </c>
      <c r="J199" s="278">
        <f t="shared" si="99"/>
        <v>2.3370108875198055</v>
      </c>
      <c r="K199" s="279"/>
      <c r="L199" s="278">
        <v>1.7496861393777061</v>
      </c>
      <c r="M199" s="278">
        <v>0.16458818219311291</v>
      </c>
      <c r="N199" s="278">
        <v>8.4103773717749589E-2</v>
      </c>
      <c r="O199" s="278">
        <f t="shared" si="100"/>
        <v>1.9983780952885688</v>
      </c>
    </row>
    <row r="200" spans="1:15" s="212" customFormat="1">
      <c r="A200" s="213" t="str">
        <f>name!E$8</f>
        <v>Skilled trades occupations</v>
      </c>
      <c r="B200" s="278">
        <v>1.7525104260169828</v>
      </c>
      <c r="C200" s="278">
        <v>0.1705452786261088</v>
      </c>
      <c r="D200" s="278">
        <v>0.19988252101227141</v>
      </c>
      <c r="E200" s="278">
        <f t="shared" si="98"/>
        <v>2.1229382256553628</v>
      </c>
      <c r="F200" s="279"/>
      <c r="G200" s="278">
        <v>1.5922983931076513</v>
      </c>
      <c r="H200" s="278">
        <v>6.4576550352802325E-2</v>
      </c>
      <c r="I200" s="278">
        <v>0.67679967719256895</v>
      </c>
      <c r="J200" s="278">
        <f>SUM(G200:I200)</f>
        <v>2.3336746206530226</v>
      </c>
      <c r="K200" s="279"/>
      <c r="L200" s="278">
        <v>1.2456438533743455</v>
      </c>
      <c r="M200" s="278">
        <v>0.12599239912815741</v>
      </c>
      <c r="N200" s="278">
        <v>0.90728835515524375</v>
      </c>
      <c r="O200" s="278">
        <f t="shared" si="100"/>
        <v>2.2789246076577467</v>
      </c>
    </row>
    <row r="201" spans="1:15" s="212" customFormat="1">
      <c r="A201" s="213" t="str">
        <f>name!E$9</f>
        <v>Caring, leisure and other service occupations</v>
      </c>
      <c r="B201" s="278">
        <v>0.52441374261628682</v>
      </c>
      <c r="C201" s="278">
        <v>0.10902013983764999</v>
      </c>
      <c r="D201" s="278">
        <v>0.12740719904307837</v>
      </c>
      <c r="E201" s="278">
        <f t="shared" si="98"/>
        <v>0.76084108149701524</v>
      </c>
      <c r="F201" s="279"/>
      <c r="G201" s="278">
        <v>0.5575425192520268</v>
      </c>
      <c r="H201" s="278">
        <v>7.1786275204846817E-2</v>
      </c>
      <c r="I201" s="278">
        <v>6.5613725295473449E-2</v>
      </c>
      <c r="J201" s="278">
        <f t="shared" ref="J201:J204" si="101">SUM(G201:I201)</f>
        <v>0.69494251975234711</v>
      </c>
      <c r="K201" s="279"/>
      <c r="L201" s="278">
        <v>0.39550265583825356</v>
      </c>
      <c r="M201" s="278">
        <v>4.9215311090824956E-2</v>
      </c>
      <c r="N201" s="278">
        <v>9.8211786586636762E-2</v>
      </c>
      <c r="O201" s="278">
        <f t="shared" si="100"/>
        <v>0.54292975351571526</v>
      </c>
    </row>
    <row r="202" spans="1:15" s="212" customFormat="1">
      <c r="A202" s="213" t="str">
        <f>name!E$10</f>
        <v>Sales and customer service occupations</v>
      </c>
      <c r="B202" s="278">
        <v>0.62226279015527375</v>
      </c>
      <c r="C202" s="278">
        <v>0.19888854701814646</v>
      </c>
      <c r="D202" s="278">
        <v>0.13850277505218772</v>
      </c>
      <c r="E202" s="278">
        <f t="shared" si="98"/>
        <v>0.95965411222560792</v>
      </c>
      <c r="F202" s="279"/>
      <c r="G202" s="278">
        <v>0.69151062475566016</v>
      </c>
      <c r="H202" s="278">
        <v>0.11479790741495964</v>
      </c>
      <c r="I202" s="278">
        <v>0.16569394138812621</v>
      </c>
      <c r="J202" s="278">
        <f t="shared" si="101"/>
        <v>0.97200247355874603</v>
      </c>
      <c r="K202" s="279"/>
      <c r="L202" s="278">
        <v>0.68766590552664886</v>
      </c>
      <c r="M202" s="278">
        <v>0.14242770055938828</v>
      </c>
      <c r="N202" s="278">
        <v>0.16348545896356556</v>
      </c>
      <c r="O202" s="278">
        <f t="shared" si="100"/>
        <v>0.99357906504960269</v>
      </c>
    </row>
    <row r="203" spans="1:15" s="212" customFormat="1">
      <c r="A203" s="213" t="str">
        <f>name!E$11</f>
        <v>Process, plant and machine operatives</v>
      </c>
      <c r="B203" s="278">
        <v>3.2255444667102084</v>
      </c>
      <c r="C203" s="278">
        <v>0.26135643769815808</v>
      </c>
      <c r="D203" s="278">
        <v>0.25010491115023403</v>
      </c>
      <c r="E203" s="278">
        <f t="shared" si="98"/>
        <v>3.7370058155586001</v>
      </c>
      <c r="F203" s="279"/>
      <c r="G203" s="278">
        <v>2.7006873390673438</v>
      </c>
      <c r="H203" s="278">
        <v>0.13942370247493863</v>
      </c>
      <c r="I203" s="278">
        <v>0.56102022214250546</v>
      </c>
      <c r="J203" s="278">
        <f t="shared" si="101"/>
        <v>3.4011312636847877</v>
      </c>
      <c r="K203" s="279"/>
      <c r="L203" s="278">
        <v>1.9776601560554692</v>
      </c>
      <c r="M203" s="278">
        <v>0.16907442325822464</v>
      </c>
      <c r="N203" s="278">
        <v>0.6604285518401809</v>
      </c>
      <c r="O203" s="278">
        <f t="shared" si="100"/>
        <v>2.8071631311538745</v>
      </c>
    </row>
    <row r="204" spans="1:15" s="212" customFormat="1">
      <c r="A204" s="213" t="str">
        <f>name!E$12</f>
        <v>Elementary occupations</v>
      </c>
      <c r="B204" s="278">
        <v>1.1080264609160213</v>
      </c>
      <c r="C204" s="278">
        <v>0.4705883447937293</v>
      </c>
      <c r="D204" s="278">
        <v>0.86349369572380696</v>
      </c>
      <c r="E204" s="278">
        <f t="shared" si="98"/>
        <v>2.4421085014335575</v>
      </c>
      <c r="F204" s="279"/>
      <c r="G204" s="278">
        <v>0.91938371380501949</v>
      </c>
      <c r="H204" s="278">
        <v>0.27313510591389661</v>
      </c>
      <c r="I204" s="278">
        <v>0.33999340415682705</v>
      </c>
      <c r="J204" s="278">
        <f t="shared" si="101"/>
        <v>1.5325122238757432</v>
      </c>
      <c r="K204" s="279"/>
      <c r="L204" s="278">
        <v>0.85292382888184182</v>
      </c>
      <c r="M204" s="278">
        <v>0.73055999335912647</v>
      </c>
      <c r="N204" s="278">
        <v>0.49273180792131993</v>
      </c>
      <c r="O204" s="278">
        <f t="shared" si="100"/>
        <v>2.0762156301622885</v>
      </c>
    </row>
    <row r="205" spans="1:15" s="212" customFormat="1">
      <c r="A205" s="213"/>
      <c r="B205" s="278"/>
      <c r="C205" s="278"/>
      <c r="D205" s="278"/>
      <c r="E205" s="278"/>
      <c r="F205" s="279"/>
      <c r="G205" s="278"/>
      <c r="H205" s="278"/>
      <c r="I205" s="278"/>
      <c r="J205" s="278"/>
      <c r="K205" s="279"/>
      <c r="L205" s="278"/>
      <c r="M205" s="278"/>
      <c r="N205" s="278"/>
      <c r="O205" s="278"/>
    </row>
    <row r="206" spans="1:15" s="212" customFormat="1">
      <c r="A206" s="220" t="s">
        <v>119</v>
      </c>
      <c r="B206" s="282">
        <f>SUM(B196:B204)</f>
        <v>28.435999999810729</v>
      </c>
      <c r="C206" s="282">
        <f t="shared" ref="C206:E206" si="102">SUM(C196:C204)</f>
        <v>2.5460000000179108</v>
      </c>
      <c r="D206" s="282">
        <f t="shared" si="102"/>
        <v>3.2390000000647521</v>
      </c>
      <c r="E206" s="282">
        <f t="shared" si="102"/>
        <v>34.220999999893387</v>
      </c>
      <c r="F206" s="282"/>
      <c r="G206" s="282">
        <f t="shared" ref="G206:J206" si="103">SUM(G196:G204)</f>
        <v>34.215999999797745</v>
      </c>
      <c r="H206" s="282">
        <f t="shared" si="103"/>
        <v>2.0210000000080108</v>
      </c>
      <c r="I206" s="282">
        <f t="shared" si="103"/>
        <v>4.2500000000323324</v>
      </c>
      <c r="J206" s="282">
        <f t="shared" si="103"/>
        <v>40.486999999838083</v>
      </c>
      <c r="K206" s="282"/>
      <c r="L206" s="282">
        <f t="shared" ref="L206:O206" si="104">SUM(L196:L204)</f>
        <v>34.845000000215251</v>
      </c>
      <c r="M206" s="282">
        <f t="shared" si="104"/>
        <v>2.566000000033636</v>
      </c>
      <c r="N206" s="282">
        <f t="shared" si="104"/>
        <v>5.0050000001075743</v>
      </c>
      <c r="O206" s="282">
        <f t="shared" si="104"/>
        <v>42.416000000356455</v>
      </c>
    </row>
    <row r="207" spans="1:15" s="212" customFormat="1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6"/>
    </row>
    <row r="208" spans="1:15" s="212" customFormat="1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6"/>
      <c r="O208" s="227" t="s">
        <v>114</v>
      </c>
    </row>
    <row r="209" spans="1:15" s="212" customFormat="1" ht="12.95">
      <c r="A209" s="218"/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8"/>
    </row>
    <row r="210" spans="1:15" s="212" customFormat="1" ht="12.95">
      <c r="A210" s="217" t="str">
        <f>name!A15</f>
        <v>Rubber and plastic</v>
      </c>
      <c r="B210" s="369">
        <f>$B$6</f>
        <v>2015</v>
      </c>
      <c r="C210" s="369"/>
      <c r="D210" s="369"/>
      <c r="E210" s="369"/>
      <c r="F210" s="239"/>
      <c r="G210" s="369">
        <f>$G$6</f>
        <v>2020</v>
      </c>
      <c r="H210" s="369"/>
      <c r="I210" s="369"/>
      <c r="J210" s="369"/>
      <c r="K210" s="239"/>
      <c r="L210" s="369">
        <f>$L$6</f>
        <v>2035</v>
      </c>
      <c r="M210" s="369"/>
      <c r="N210" s="369"/>
      <c r="O210" s="369"/>
    </row>
    <row r="211" spans="1:15" s="212" customFormat="1" ht="12.95">
      <c r="A211" s="230"/>
      <c r="B211" s="244" t="str">
        <f>$B$7</f>
        <v>FT</v>
      </c>
      <c r="C211" s="244" t="str">
        <f>$C$7</f>
        <v>PT</v>
      </c>
      <c r="D211" s="244" t="str">
        <f>$D$7</f>
        <v>SE</v>
      </c>
      <c r="E211" s="244" t="str">
        <f>$E$7</f>
        <v>Total</v>
      </c>
      <c r="F211" s="244"/>
      <c r="G211" s="244" t="str">
        <f>$G$7</f>
        <v>FT</v>
      </c>
      <c r="H211" s="244" t="str">
        <f>$H$7</f>
        <v>PT</v>
      </c>
      <c r="I211" s="244" t="str">
        <f>$I$7</f>
        <v>SE</v>
      </c>
      <c r="J211" s="244" t="str">
        <f>$J$7</f>
        <v>Total</v>
      </c>
      <c r="K211" s="244"/>
      <c r="L211" s="244" t="str">
        <f>$L$7</f>
        <v>FT</v>
      </c>
      <c r="M211" s="244" t="str">
        <f>$M$7</f>
        <v>PT</v>
      </c>
      <c r="N211" s="244" t="str">
        <f>$N$7</f>
        <v>SE</v>
      </c>
      <c r="O211" s="244" t="str">
        <f>$O$7</f>
        <v>Total</v>
      </c>
    </row>
    <row r="212" spans="1:15" s="212" customFormat="1" ht="12.95">
      <c r="A212" s="234"/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  <c r="N212" s="215"/>
      <c r="O212" s="215"/>
    </row>
    <row r="213" spans="1:15" s="212" customFormat="1">
      <c r="A213" s="213" t="str">
        <f>name!E$4</f>
        <v>Managers, directors and senior officials</v>
      </c>
      <c r="B213" s="278">
        <v>15.529555805486405</v>
      </c>
      <c r="C213" s="278">
        <v>0.60939731560977906</v>
      </c>
      <c r="D213" s="278">
        <v>2.4541864193626615</v>
      </c>
      <c r="E213" s="278">
        <f>SUM(B213:D213)</f>
        <v>18.593139540458843</v>
      </c>
      <c r="F213" s="279"/>
      <c r="G213" s="278">
        <v>18.93380135837598</v>
      </c>
      <c r="H213" s="278">
        <v>1.1674755245719379</v>
      </c>
      <c r="I213" s="278">
        <v>1.8610124406791682</v>
      </c>
      <c r="J213" s="278">
        <f>SUM(G213:I213)</f>
        <v>21.962289323627086</v>
      </c>
      <c r="K213" s="279"/>
      <c r="L213" s="278">
        <v>15.622361548075792</v>
      </c>
      <c r="M213" s="278">
        <v>1.1503954741984708</v>
      </c>
      <c r="N213" s="278">
        <v>1.7239695461774935</v>
      </c>
      <c r="O213" s="278">
        <f>SUM(L213:N213)</f>
        <v>18.496726568451756</v>
      </c>
    </row>
    <row r="214" spans="1:15" s="212" customFormat="1">
      <c r="A214" s="213" t="str">
        <f>name!E$5</f>
        <v>Professional occupations</v>
      </c>
      <c r="B214" s="278">
        <v>13.636216708166794</v>
      </c>
      <c r="C214" s="278">
        <v>0.36734634668014382</v>
      </c>
      <c r="D214" s="278">
        <v>0.83817156249965163</v>
      </c>
      <c r="E214" s="278">
        <f t="shared" ref="E214:E221" si="105">SUM(B214:D214)</f>
        <v>14.841734617346589</v>
      </c>
      <c r="F214" s="279"/>
      <c r="G214" s="278">
        <v>18.715102871424786</v>
      </c>
      <c r="H214" s="278">
        <v>0.67256956703635162</v>
      </c>
      <c r="I214" s="278">
        <v>0.57499356442101834</v>
      </c>
      <c r="J214" s="278">
        <f t="shared" ref="J214:J216" si="106">SUM(G214:I214)</f>
        <v>19.962666002882155</v>
      </c>
      <c r="K214" s="279"/>
      <c r="L214" s="278">
        <v>21.736706304866246</v>
      </c>
      <c r="M214" s="278">
        <v>0.63204617706436128</v>
      </c>
      <c r="N214" s="278">
        <v>0.45810190529196759</v>
      </c>
      <c r="O214" s="278">
        <f t="shared" ref="O214:O221" si="107">SUM(L214:N214)</f>
        <v>22.826854387222575</v>
      </c>
    </row>
    <row r="215" spans="1:15" s="212" customFormat="1">
      <c r="A215" s="213" t="str">
        <f>name!E$6</f>
        <v>Associate professional occupations</v>
      </c>
      <c r="B215" s="278">
        <v>12.972954766709503</v>
      </c>
      <c r="C215" s="278">
        <v>0.59234440161577795</v>
      </c>
      <c r="D215" s="278">
        <v>0.89312514155536793</v>
      </c>
      <c r="E215" s="278">
        <f t="shared" si="105"/>
        <v>14.458424309880648</v>
      </c>
      <c r="F215" s="279"/>
      <c r="G215" s="278">
        <v>16.517634034361585</v>
      </c>
      <c r="H215" s="278">
        <v>0.88260209900789832</v>
      </c>
      <c r="I215" s="278">
        <v>0.52750037791708226</v>
      </c>
      <c r="J215" s="278">
        <f t="shared" si="106"/>
        <v>17.927736511286565</v>
      </c>
      <c r="K215" s="279"/>
      <c r="L215" s="278">
        <v>15.023829829408431</v>
      </c>
      <c r="M215" s="278">
        <v>0.68014308632060327</v>
      </c>
      <c r="N215" s="278">
        <v>0.55953229236889546</v>
      </c>
      <c r="O215" s="278">
        <f t="shared" si="107"/>
        <v>16.263505208097929</v>
      </c>
    </row>
    <row r="216" spans="1:15" s="212" customFormat="1">
      <c r="A216" s="213" t="str">
        <f>name!E$7</f>
        <v>Administrative and secretarial occupations</v>
      </c>
      <c r="B216" s="278">
        <v>8.420304298813349</v>
      </c>
      <c r="C216" s="278">
        <v>2.6705528116089581</v>
      </c>
      <c r="D216" s="278">
        <v>0.61420395894999857</v>
      </c>
      <c r="E216" s="278">
        <f t="shared" si="105"/>
        <v>11.705061069372306</v>
      </c>
      <c r="F216" s="279"/>
      <c r="G216" s="278">
        <v>9.2657048526984962</v>
      </c>
      <c r="H216" s="278">
        <v>2.9568238699188703</v>
      </c>
      <c r="I216" s="278">
        <v>0.28638353332974986</v>
      </c>
      <c r="J216" s="278">
        <f t="shared" si="106"/>
        <v>12.508912255947115</v>
      </c>
      <c r="K216" s="279"/>
      <c r="L216" s="278">
        <v>7.9795958704961185</v>
      </c>
      <c r="M216" s="278">
        <v>1.9028015552976578</v>
      </c>
      <c r="N216" s="278">
        <v>0.18339190857768919</v>
      </c>
      <c r="O216" s="278">
        <f t="shared" si="107"/>
        <v>10.065789334371466</v>
      </c>
    </row>
    <row r="217" spans="1:15" s="212" customFormat="1">
      <c r="A217" s="213" t="str">
        <f>name!E$8</f>
        <v>Skilled trades occupations</v>
      </c>
      <c r="B217" s="278">
        <v>23.793962731771416</v>
      </c>
      <c r="C217" s="278">
        <v>0.69542436562307841</v>
      </c>
      <c r="D217" s="278">
        <v>5.1793700060843078</v>
      </c>
      <c r="E217" s="278">
        <f t="shared" si="105"/>
        <v>29.668757103478804</v>
      </c>
      <c r="F217" s="279"/>
      <c r="G217" s="278">
        <v>20.801984194590617</v>
      </c>
      <c r="H217" s="278">
        <v>0.87715151180282591</v>
      </c>
      <c r="I217" s="278">
        <v>2.8056683495878008</v>
      </c>
      <c r="J217" s="278">
        <f>SUM(G217:I217)</f>
        <v>24.484804055981243</v>
      </c>
      <c r="K217" s="279"/>
      <c r="L217" s="278">
        <v>15.611532116270896</v>
      </c>
      <c r="M217" s="278">
        <v>1.0555091172248239</v>
      </c>
      <c r="N217" s="278">
        <v>2.6193796421061015</v>
      </c>
      <c r="O217" s="278">
        <f t="shared" si="107"/>
        <v>19.28642087560182</v>
      </c>
    </row>
    <row r="218" spans="1:15" s="212" customFormat="1">
      <c r="A218" s="213" t="str">
        <f>name!E$9</f>
        <v>Caring, leisure and other service occupations</v>
      </c>
      <c r="B218" s="278">
        <v>1.8506806091174646</v>
      </c>
      <c r="C218" s="278">
        <v>0.57909964474469688</v>
      </c>
      <c r="D218" s="278">
        <v>9.333859605941168E-2</v>
      </c>
      <c r="E218" s="278">
        <f t="shared" si="105"/>
        <v>2.5231188499215733</v>
      </c>
      <c r="F218" s="279"/>
      <c r="G218" s="278">
        <v>2.096030313903321</v>
      </c>
      <c r="H218" s="278">
        <v>0.60315337474538999</v>
      </c>
      <c r="I218" s="278">
        <v>6.1022148463889467E-2</v>
      </c>
      <c r="J218" s="278">
        <f t="shared" ref="J218:J221" si="108">SUM(G218:I218)</f>
        <v>2.7602058371126006</v>
      </c>
      <c r="K218" s="279"/>
      <c r="L218" s="278">
        <v>2.1650537578136815</v>
      </c>
      <c r="M218" s="278">
        <v>0.37658974052794064</v>
      </c>
      <c r="N218" s="278">
        <v>5.6461391932900146E-2</v>
      </c>
      <c r="O218" s="278">
        <f t="shared" si="107"/>
        <v>2.5981048902745223</v>
      </c>
    </row>
    <row r="219" spans="1:15" s="212" customFormat="1">
      <c r="A219" s="213" t="str">
        <f>name!E$10</f>
        <v>Sales and customer service occupations</v>
      </c>
      <c r="B219" s="278">
        <v>4.6994807207635496</v>
      </c>
      <c r="C219" s="278">
        <v>0.83371889687226153</v>
      </c>
      <c r="D219" s="278">
        <v>0.54965237814294232</v>
      </c>
      <c r="E219" s="278">
        <f t="shared" si="105"/>
        <v>6.0828519957787535</v>
      </c>
      <c r="F219" s="279"/>
      <c r="G219" s="278">
        <v>4.8166731946456895</v>
      </c>
      <c r="H219" s="278">
        <v>1.1399578846440261</v>
      </c>
      <c r="I219" s="278">
        <v>0.212755964788717</v>
      </c>
      <c r="J219" s="278">
        <f t="shared" si="108"/>
        <v>6.1693870440784329</v>
      </c>
      <c r="K219" s="279"/>
      <c r="L219" s="278">
        <v>4.6226086718283712</v>
      </c>
      <c r="M219" s="278">
        <v>0.96752872399664291</v>
      </c>
      <c r="N219" s="278">
        <v>0.14183680481949584</v>
      </c>
      <c r="O219" s="278">
        <f t="shared" si="107"/>
        <v>5.73197420064451</v>
      </c>
    </row>
    <row r="220" spans="1:15" s="212" customFormat="1">
      <c r="A220" s="213" t="str">
        <f>name!E$11</f>
        <v>Process, plant and machine operatives</v>
      </c>
      <c r="B220" s="278">
        <v>41.750313297371697</v>
      </c>
      <c r="C220" s="278">
        <v>1.7242144792433478</v>
      </c>
      <c r="D220" s="278">
        <v>1.5127141881538309</v>
      </c>
      <c r="E220" s="278">
        <f t="shared" si="105"/>
        <v>44.987241964768877</v>
      </c>
      <c r="F220" s="279"/>
      <c r="G220" s="278">
        <v>36.656377262897308</v>
      </c>
      <c r="H220" s="278">
        <v>2.173111583673303</v>
      </c>
      <c r="I220" s="278">
        <v>0.99878566410291858</v>
      </c>
      <c r="J220" s="278">
        <f t="shared" si="108"/>
        <v>39.828274510673531</v>
      </c>
      <c r="K220" s="279"/>
      <c r="L220" s="278">
        <v>28.454087640223335</v>
      </c>
      <c r="M220" s="278">
        <v>2.3242690189561737</v>
      </c>
      <c r="N220" s="278">
        <v>1.0331277947237543</v>
      </c>
      <c r="O220" s="278">
        <f t="shared" si="107"/>
        <v>31.811484453903262</v>
      </c>
    </row>
    <row r="221" spans="1:15" s="212" customFormat="1">
      <c r="A221" s="213" t="str">
        <f>name!E$12</f>
        <v>Elementary occupations</v>
      </c>
      <c r="B221" s="278">
        <v>11.582531061619166</v>
      </c>
      <c r="C221" s="278">
        <v>1.2789017381857934</v>
      </c>
      <c r="D221" s="278">
        <v>0.83223774919458282</v>
      </c>
      <c r="E221" s="278">
        <f t="shared" si="105"/>
        <v>13.693670548999542</v>
      </c>
      <c r="F221" s="279"/>
      <c r="G221" s="278">
        <v>9.7076919168497735</v>
      </c>
      <c r="H221" s="278">
        <v>1.3301545846945091</v>
      </c>
      <c r="I221" s="278">
        <v>0.33487795667698977</v>
      </c>
      <c r="J221" s="278">
        <f t="shared" si="108"/>
        <v>11.372724458221274</v>
      </c>
      <c r="K221" s="279"/>
      <c r="L221" s="278">
        <v>8.3512242618565367</v>
      </c>
      <c r="M221" s="278">
        <v>2.0307171065829466</v>
      </c>
      <c r="N221" s="278">
        <v>0.20419871402943432</v>
      </c>
      <c r="O221" s="278">
        <f t="shared" si="107"/>
        <v>10.586140082468917</v>
      </c>
    </row>
    <row r="222" spans="1:15" s="212" customFormat="1">
      <c r="A222" s="213"/>
      <c r="B222" s="278"/>
      <c r="C222" s="278"/>
      <c r="D222" s="278"/>
      <c r="E222" s="278"/>
      <c r="F222" s="279"/>
      <c r="G222" s="278"/>
      <c r="H222" s="278"/>
      <c r="I222" s="278"/>
      <c r="J222" s="278"/>
      <c r="K222" s="279"/>
      <c r="L222" s="278"/>
      <c r="M222" s="278"/>
      <c r="N222" s="278"/>
      <c r="O222" s="278"/>
    </row>
    <row r="223" spans="1:15" s="212" customFormat="1">
      <c r="A223" s="220" t="s">
        <v>119</v>
      </c>
      <c r="B223" s="282">
        <f>SUM(B213:B221)</f>
        <v>134.23599999981934</v>
      </c>
      <c r="C223" s="282">
        <f t="shared" ref="C223:E223" si="109">SUM(C213:C221)</f>
        <v>9.351000000183836</v>
      </c>
      <c r="D223" s="282">
        <f t="shared" si="109"/>
        <v>12.967000000002756</v>
      </c>
      <c r="E223" s="282">
        <f t="shared" si="109"/>
        <v>156.55400000000591</v>
      </c>
      <c r="F223" s="282"/>
      <c r="G223" s="282">
        <f t="shared" ref="G223:J223" si="110">SUM(G213:G221)</f>
        <v>137.51099999974755</v>
      </c>
      <c r="H223" s="282">
        <f t="shared" si="110"/>
        <v>11.803000000095111</v>
      </c>
      <c r="I223" s="282">
        <f t="shared" si="110"/>
        <v>7.6629999999673339</v>
      </c>
      <c r="J223" s="282">
        <f t="shared" si="110"/>
        <v>156.97699999981</v>
      </c>
      <c r="K223" s="282"/>
      <c r="L223" s="282">
        <f t="shared" ref="L223:O223" si="111">SUM(L213:L221)</f>
        <v>119.56700000083941</v>
      </c>
      <c r="M223" s="282">
        <f t="shared" si="111"/>
        <v>11.12000000016962</v>
      </c>
      <c r="N223" s="282">
        <f t="shared" si="111"/>
        <v>6.9800000000277329</v>
      </c>
      <c r="O223" s="282">
        <f t="shared" si="111"/>
        <v>137.66700000103677</v>
      </c>
    </row>
    <row r="224" spans="1:15" s="212" customFormat="1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6"/>
    </row>
    <row r="225" spans="1:15" s="212" customFormat="1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6"/>
      <c r="O225" s="227" t="s">
        <v>114</v>
      </c>
    </row>
    <row r="226" spans="1:15" s="212" customFormat="1" ht="12.95">
      <c r="A226" s="218"/>
      <c r="B226" s="218"/>
      <c r="C226" s="218"/>
      <c r="D226" s="218"/>
      <c r="E226" s="218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</row>
    <row r="227" spans="1:15" s="212" customFormat="1" ht="12.95">
      <c r="A227" s="217" t="str">
        <f>name!A16</f>
        <v>Other non-metallic</v>
      </c>
      <c r="B227" s="369">
        <f>$B$6</f>
        <v>2015</v>
      </c>
      <c r="C227" s="369"/>
      <c r="D227" s="369"/>
      <c r="E227" s="369"/>
      <c r="F227" s="239"/>
      <c r="G227" s="369">
        <f>$G$6</f>
        <v>2020</v>
      </c>
      <c r="H227" s="369"/>
      <c r="I227" s="369"/>
      <c r="J227" s="369"/>
      <c r="K227" s="239"/>
      <c r="L227" s="369">
        <f>$L$6</f>
        <v>2035</v>
      </c>
      <c r="M227" s="369"/>
      <c r="N227" s="369"/>
      <c r="O227" s="369"/>
    </row>
    <row r="228" spans="1:15" s="212" customFormat="1" ht="12.95">
      <c r="A228" s="230"/>
      <c r="B228" s="244" t="str">
        <f>$B$7</f>
        <v>FT</v>
      </c>
      <c r="C228" s="244" t="str">
        <f>$C$7</f>
        <v>PT</v>
      </c>
      <c r="D228" s="244" t="str">
        <f>$D$7</f>
        <v>SE</v>
      </c>
      <c r="E228" s="244" t="str">
        <f>$E$7</f>
        <v>Total</v>
      </c>
      <c r="F228" s="244"/>
      <c r="G228" s="244" t="str">
        <f>$G$7</f>
        <v>FT</v>
      </c>
      <c r="H228" s="244" t="str">
        <f>$H$7</f>
        <v>PT</v>
      </c>
      <c r="I228" s="244" t="str">
        <f>$I$7</f>
        <v>SE</v>
      </c>
      <c r="J228" s="244" t="str">
        <f>$J$7</f>
        <v>Total</v>
      </c>
      <c r="K228" s="244"/>
      <c r="L228" s="244" t="str">
        <f>$L$7</f>
        <v>FT</v>
      </c>
      <c r="M228" s="244" t="str">
        <f>$M$7</f>
        <v>PT</v>
      </c>
      <c r="N228" s="244" t="str">
        <f>$N$7</f>
        <v>SE</v>
      </c>
      <c r="O228" s="244" t="str">
        <f>$O$7</f>
        <v>Total</v>
      </c>
    </row>
    <row r="229" spans="1:15" s="212" customFormat="1" ht="12.95">
      <c r="A229" s="234"/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  <c r="N229" s="215"/>
      <c r="O229" s="215"/>
    </row>
    <row r="230" spans="1:15" s="212" customFormat="1">
      <c r="A230" s="213" t="str">
        <f>name!E$4</f>
        <v>Managers, directors and senior officials</v>
      </c>
      <c r="B230" s="278">
        <v>8.5535638362214819</v>
      </c>
      <c r="C230" s="278">
        <v>0.16576564030150315</v>
      </c>
      <c r="D230" s="278">
        <v>0.8505253170070961</v>
      </c>
      <c r="E230" s="278">
        <f>SUM(B230:D230)</f>
        <v>9.5698547935300802</v>
      </c>
      <c r="F230" s="279"/>
      <c r="G230" s="278">
        <v>11.330948698240269</v>
      </c>
      <c r="H230" s="278">
        <v>0.46132063053435268</v>
      </c>
      <c r="I230" s="278">
        <v>0.45307226231900372</v>
      </c>
      <c r="J230" s="278">
        <f>SUM(G230:I230)</f>
        <v>12.245341591093625</v>
      </c>
      <c r="K230" s="279"/>
      <c r="L230" s="278">
        <v>9.3530771149302954</v>
      </c>
      <c r="M230" s="278">
        <v>0.43383749148231782</v>
      </c>
      <c r="N230" s="278">
        <v>0.50292549594740021</v>
      </c>
      <c r="O230" s="278">
        <f>SUM(L230:N230)</f>
        <v>10.289840102360014</v>
      </c>
    </row>
    <row r="231" spans="1:15" s="212" customFormat="1">
      <c r="A231" s="213" t="str">
        <f>name!E$5</f>
        <v>Professional occupations</v>
      </c>
      <c r="B231" s="278">
        <v>5.9033510493488377</v>
      </c>
      <c r="C231" s="278">
        <v>0.29108348260678646</v>
      </c>
      <c r="D231" s="278">
        <v>0.22108994272984595</v>
      </c>
      <c r="E231" s="278">
        <f t="shared" ref="E231:E238" si="112">SUM(B231:D231)</f>
        <v>6.41552447468547</v>
      </c>
      <c r="F231" s="279"/>
      <c r="G231" s="278">
        <v>8.9029441087421937</v>
      </c>
      <c r="H231" s="278">
        <v>0.68371462348961354</v>
      </c>
      <c r="I231" s="278">
        <v>0.11334884684775876</v>
      </c>
      <c r="J231" s="278">
        <f t="shared" ref="J231:J233" si="113">SUM(G231:I231)</f>
        <v>9.7000075790795659</v>
      </c>
      <c r="K231" s="279"/>
      <c r="L231" s="278">
        <v>10.096785488450946</v>
      </c>
      <c r="M231" s="278">
        <v>0.75717814745611367</v>
      </c>
      <c r="N231" s="278">
        <v>9.3759337108856089E-2</v>
      </c>
      <c r="O231" s="278">
        <f t="shared" ref="O231:O238" si="114">SUM(L231:N231)</f>
        <v>10.947722973015917</v>
      </c>
    </row>
    <row r="232" spans="1:15" s="212" customFormat="1">
      <c r="A232" s="213" t="str">
        <f>name!E$6</f>
        <v>Associate professional occupations</v>
      </c>
      <c r="B232" s="278">
        <v>6.0905948197525994</v>
      </c>
      <c r="C232" s="278">
        <v>0.32880914490032703</v>
      </c>
      <c r="D232" s="278">
        <v>0.19886253742694129</v>
      </c>
      <c r="E232" s="278">
        <f t="shared" si="112"/>
        <v>6.6182665020798677</v>
      </c>
      <c r="F232" s="279"/>
      <c r="G232" s="278">
        <v>8.2494173959243593</v>
      </c>
      <c r="H232" s="278">
        <v>0.89958190361431711</v>
      </c>
      <c r="I232" s="278">
        <v>0.10918680804591162</v>
      </c>
      <c r="J232" s="278">
        <f t="shared" si="113"/>
        <v>9.2581861075845886</v>
      </c>
      <c r="K232" s="279"/>
      <c r="L232" s="278">
        <v>7.5014054538693076</v>
      </c>
      <c r="M232" s="278">
        <v>0.64921383333386518</v>
      </c>
      <c r="N232" s="278">
        <v>0.10887505831588118</v>
      </c>
      <c r="O232" s="278">
        <f t="shared" si="114"/>
        <v>8.2594943455190535</v>
      </c>
    </row>
    <row r="233" spans="1:15" s="212" customFormat="1">
      <c r="A233" s="213" t="str">
        <f>name!E$7</f>
        <v>Administrative and secretarial occupations</v>
      </c>
      <c r="B233" s="278">
        <v>4.1470574424671005</v>
      </c>
      <c r="C233" s="278">
        <v>1.0567525552183272</v>
      </c>
      <c r="D233" s="278">
        <v>0.2126535407961021</v>
      </c>
      <c r="E233" s="278">
        <f t="shared" si="112"/>
        <v>5.4164635384815298</v>
      </c>
      <c r="F233" s="279"/>
      <c r="G233" s="278">
        <v>5.1279624477960919</v>
      </c>
      <c r="H233" s="278">
        <v>1.6040147077282989</v>
      </c>
      <c r="I233" s="278">
        <v>0.12416251857900573</v>
      </c>
      <c r="J233" s="278">
        <f t="shared" si="113"/>
        <v>6.856139674103396</v>
      </c>
      <c r="K233" s="279"/>
      <c r="L233" s="278">
        <v>4.2686202492908958</v>
      </c>
      <c r="M233" s="278">
        <v>1.162213172243755</v>
      </c>
      <c r="N233" s="278">
        <v>0.10364098609252986</v>
      </c>
      <c r="O233" s="278">
        <f t="shared" si="114"/>
        <v>5.5344744076271803</v>
      </c>
    </row>
    <row r="234" spans="1:15" s="212" customFormat="1">
      <c r="A234" s="213" t="str">
        <f>name!E$8</f>
        <v>Skilled trades occupations</v>
      </c>
      <c r="B234" s="278">
        <v>13.096243204728646</v>
      </c>
      <c r="C234" s="278">
        <v>0.27101471982058623</v>
      </c>
      <c r="D234" s="278">
        <v>3.4243318908846443</v>
      </c>
      <c r="E234" s="278">
        <f t="shared" si="112"/>
        <v>16.791589815433877</v>
      </c>
      <c r="F234" s="279"/>
      <c r="G234" s="278">
        <v>13.620467438312657</v>
      </c>
      <c r="H234" s="278">
        <v>0.4016477238925637</v>
      </c>
      <c r="I234" s="278">
        <v>1.1128635737143306</v>
      </c>
      <c r="J234" s="278">
        <f>SUM(G234:I234)</f>
        <v>15.134978735919551</v>
      </c>
      <c r="K234" s="279"/>
      <c r="L234" s="278">
        <v>10.574438281332203</v>
      </c>
      <c r="M234" s="278">
        <v>0.40351522185515248</v>
      </c>
      <c r="N234" s="278">
        <v>1.2648110412139049</v>
      </c>
      <c r="O234" s="278">
        <f t="shared" si="114"/>
        <v>12.242764544401259</v>
      </c>
    </row>
    <row r="235" spans="1:15" s="212" customFormat="1">
      <c r="A235" s="213" t="str">
        <f>name!E$9</f>
        <v>Caring, leisure and other service occupations</v>
      </c>
      <c r="B235" s="278">
        <v>0.89908125705930275</v>
      </c>
      <c r="C235" s="278">
        <v>0.11040588052735525</v>
      </c>
      <c r="D235" s="278">
        <v>9.9986789407164892E-2</v>
      </c>
      <c r="E235" s="278">
        <f t="shared" si="112"/>
        <v>1.109473926993823</v>
      </c>
      <c r="F235" s="279"/>
      <c r="G235" s="278">
        <v>1.1930053897829414</v>
      </c>
      <c r="H235" s="278">
        <v>0.18698836116422948</v>
      </c>
      <c r="I235" s="278">
        <v>9.8228080051904115E-2</v>
      </c>
      <c r="J235" s="278">
        <f t="shared" ref="J235:J238" si="115">SUM(G235:I235)</f>
        <v>1.4782218309990751</v>
      </c>
      <c r="K235" s="279"/>
      <c r="L235" s="278">
        <v>1.3137191982536849</v>
      </c>
      <c r="M235" s="278">
        <v>0.12595304534124016</v>
      </c>
      <c r="N235" s="278">
        <v>0.11155715079328622</v>
      </c>
      <c r="O235" s="278">
        <f t="shared" si="114"/>
        <v>1.5512293943882112</v>
      </c>
    </row>
    <row r="236" spans="1:15" s="212" customFormat="1">
      <c r="A236" s="213" t="str">
        <f>name!E$10</f>
        <v>Sales and customer service occupations</v>
      </c>
      <c r="B236" s="278">
        <v>1.9558088130737337</v>
      </c>
      <c r="C236" s="278">
        <v>0.48272242956280859</v>
      </c>
      <c r="D236" s="278">
        <v>0.23974940100582637</v>
      </c>
      <c r="E236" s="278">
        <f t="shared" si="112"/>
        <v>2.6782806436423687</v>
      </c>
      <c r="F236" s="279"/>
      <c r="G236" s="278">
        <v>2.2074071160441773</v>
      </c>
      <c r="H236" s="278">
        <v>0.65190412313524326</v>
      </c>
      <c r="I236" s="278">
        <v>9.0247690932087496E-2</v>
      </c>
      <c r="J236" s="278">
        <f t="shared" si="115"/>
        <v>2.9495589301115079</v>
      </c>
      <c r="K236" s="279"/>
      <c r="L236" s="278">
        <v>2.0588425751942414</v>
      </c>
      <c r="M236" s="278">
        <v>0.6792558278582691</v>
      </c>
      <c r="N236" s="278">
        <v>7.186108832941053E-2</v>
      </c>
      <c r="O236" s="278">
        <f t="shared" si="114"/>
        <v>2.809959491381921</v>
      </c>
    </row>
    <row r="237" spans="1:15" s="212" customFormat="1">
      <c r="A237" s="213" t="str">
        <f>name!E$11</f>
        <v>Process, plant and machine operatives</v>
      </c>
      <c r="B237" s="278">
        <v>17.673433104648147</v>
      </c>
      <c r="C237" s="278">
        <v>0.32580254834266265</v>
      </c>
      <c r="D237" s="278">
        <v>0.58048828067532054</v>
      </c>
      <c r="E237" s="278">
        <f t="shared" si="112"/>
        <v>18.579723933666131</v>
      </c>
      <c r="F237" s="279"/>
      <c r="G237" s="278">
        <v>17.807569952495573</v>
      </c>
      <c r="H237" s="278">
        <v>0.61336826526239385</v>
      </c>
      <c r="I237" s="278">
        <v>0.2286179089247275</v>
      </c>
      <c r="J237" s="278">
        <f t="shared" si="115"/>
        <v>18.649556126682697</v>
      </c>
      <c r="K237" s="279"/>
      <c r="L237" s="278">
        <v>13.83554760951905</v>
      </c>
      <c r="M237" s="278">
        <v>0.69167727644794152</v>
      </c>
      <c r="N237" s="278">
        <v>0.25960938629711083</v>
      </c>
      <c r="O237" s="278">
        <f t="shared" si="114"/>
        <v>14.786834272264104</v>
      </c>
    </row>
    <row r="238" spans="1:15" s="212" customFormat="1">
      <c r="A238" s="213" t="str">
        <f>name!E$12</f>
        <v>Elementary occupations</v>
      </c>
      <c r="B238" s="278">
        <v>5.2188664725078668</v>
      </c>
      <c r="C238" s="278">
        <v>0.95864359880706385</v>
      </c>
      <c r="D238" s="278">
        <v>0.45731230004162887</v>
      </c>
      <c r="E238" s="278">
        <f t="shared" si="112"/>
        <v>6.6348223713565595</v>
      </c>
      <c r="F238" s="279"/>
      <c r="G238" s="278">
        <v>5.0792774525756483</v>
      </c>
      <c r="H238" s="278">
        <v>0.99245966125450746</v>
      </c>
      <c r="I238" s="278">
        <v>0.13227231055190189</v>
      </c>
      <c r="J238" s="278">
        <f t="shared" si="115"/>
        <v>6.2040094243820576</v>
      </c>
      <c r="K238" s="279"/>
      <c r="L238" s="278">
        <v>4.393564029532639</v>
      </c>
      <c r="M238" s="278">
        <v>1.0801559840860004</v>
      </c>
      <c r="N238" s="278">
        <v>0.20096045584937799</v>
      </c>
      <c r="O238" s="278">
        <f t="shared" si="114"/>
        <v>5.6746804694680177</v>
      </c>
    </row>
    <row r="239" spans="1:15" s="212" customFormat="1">
      <c r="A239" s="213"/>
      <c r="B239" s="278"/>
      <c r="C239" s="278"/>
      <c r="D239" s="278"/>
      <c r="E239" s="278"/>
      <c r="F239" s="279"/>
      <c r="G239" s="278"/>
      <c r="H239" s="278"/>
      <c r="I239" s="278"/>
      <c r="J239" s="278"/>
      <c r="K239" s="279"/>
      <c r="L239" s="278"/>
      <c r="M239" s="278"/>
      <c r="N239" s="278"/>
      <c r="O239" s="278"/>
    </row>
    <row r="240" spans="1:15" s="212" customFormat="1">
      <c r="A240" s="220" t="s">
        <v>119</v>
      </c>
      <c r="B240" s="282">
        <f>SUM(B230:B238)</f>
        <v>63.537999999807717</v>
      </c>
      <c r="C240" s="282">
        <f t="shared" ref="C240:E240" si="116">SUM(C230:C238)</f>
        <v>3.9910000000874204</v>
      </c>
      <c r="D240" s="282">
        <f t="shared" si="116"/>
        <v>6.2849999999745707</v>
      </c>
      <c r="E240" s="282">
        <f t="shared" si="116"/>
        <v>73.813999999869708</v>
      </c>
      <c r="F240" s="282"/>
      <c r="G240" s="282">
        <f t="shared" ref="G240:J240" si="117">SUM(G230:G238)</f>
        <v>73.518999999913916</v>
      </c>
      <c r="H240" s="282">
        <f t="shared" si="117"/>
        <v>6.4950000000755201</v>
      </c>
      <c r="I240" s="282">
        <f t="shared" si="117"/>
        <v>2.4619999999666309</v>
      </c>
      <c r="J240" s="282">
        <f t="shared" si="117"/>
        <v>82.475999999956059</v>
      </c>
      <c r="K240" s="282"/>
      <c r="L240" s="282">
        <f t="shared" ref="L240:O240" si="118">SUM(L230:L238)</f>
        <v>63.396000000373263</v>
      </c>
      <c r="M240" s="282">
        <f t="shared" si="118"/>
        <v>5.9830000001046555</v>
      </c>
      <c r="N240" s="282">
        <f t="shared" si="118"/>
        <v>2.7179999999477578</v>
      </c>
      <c r="O240" s="282">
        <f t="shared" si="118"/>
        <v>72.097000000425666</v>
      </c>
    </row>
    <row r="241" spans="1:15" s="212" customFormat="1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6"/>
    </row>
    <row r="242" spans="1:15" s="212" customFormat="1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6"/>
      <c r="O242" s="227" t="s">
        <v>114</v>
      </c>
    </row>
    <row r="243" spans="1:15" s="212" customFormat="1" ht="12.95">
      <c r="A243" s="218"/>
      <c r="B243" s="218"/>
      <c r="C243" s="218"/>
      <c r="D243" s="218"/>
      <c r="E243" s="218"/>
      <c r="F243" s="218"/>
      <c r="G243" s="218"/>
      <c r="H243" s="218"/>
      <c r="I243" s="218"/>
      <c r="J243" s="218"/>
      <c r="K243" s="218"/>
      <c r="L243" s="218"/>
      <c r="M243" s="218"/>
      <c r="N243" s="218"/>
      <c r="O243" s="218"/>
    </row>
    <row r="244" spans="1:15" s="212" customFormat="1" ht="12.95">
      <c r="A244" s="217" t="str">
        <f>name!A17</f>
        <v>Basic metals</v>
      </c>
      <c r="B244" s="369">
        <f>$B$6</f>
        <v>2015</v>
      </c>
      <c r="C244" s="369"/>
      <c r="D244" s="369"/>
      <c r="E244" s="369"/>
      <c r="F244" s="239"/>
      <c r="G244" s="369">
        <f>$G$6</f>
        <v>2020</v>
      </c>
      <c r="H244" s="369"/>
      <c r="I244" s="369"/>
      <c r="J244" s="369"/>
      <c r="K244" s="239"/>
      <c r="L244" s="369">
        <f>$L$6</f>
        <v>2035</v>
      </c>
      <c r="M244" s="369"/>
      <c r="N244" s="369"/>
      <c r="O244" s="369"/>
    </row>
    <row r="245" spans="1:15" s="212" customFormat="1" ht="12.95">
      <c r="A245" s="230"/>
      <c r="B245" s="244" t="str">
        <f>$B$7</f>
        <v>FT</v>
      </c>
      <c r="C245" s="244" t="str">
        <f>$C$7</f>
        <v>PT</v>
      </c>
      <c r="D245" s="244" t="str">
        <f>$D$7</f>
        <v>SE</v>
      </c>
      <c r="E245" s="244" t="str">
        <f>$E$7</f>
        <v>Total</v>
      </c>
      <c r="F245" s="244"/>
      <c r="G245" s="244" t="str">
        <f>$G$7</f>
        <v>FT</v>
      </c>
      <c r="H245" s="244" t="str">
        <f>$H$7</f>
        <v>PT</v>
      </c>
      <c r="I245" s="244" t="str">
        <f>$I$7</f>
        <v>SE</v>
      </c>
      <c r="J245" s="244" t="str">
        <f>$J$7</f>
        <v>Total</v>
      </c>
      <c r="K245" s="244"/>
      <c r="L245" s="244" t="str">
        <f>$L$7</f>
        <v>FT</v>
      </c>
      <c r="M245" s="244" t="str">
        <f>$M$7</f>
        <v>PT</v>
      </c>
      <c r="N245" s="244" t="str">
        <f>$N$7</f>
        <v>SE</v>
      </c>
      <c r="O245" s="244" t="str">
        <f>$O$7</f>
        <v>Total</v>
      </c>
    </row>
    <row r="246" spans="1:15" s="212" customFormat="1" ht="12.95">
      <c r="A246" s="234"/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  <c r="N246" s="215"/>
      <c r="O246" s="215"/>
    </row>
    <row r="247" spans="1:15" s="212" customFormat="1">
      <c r="A247" s="213" t="str">
        <f>name!E$4</f>
        <v>Managers, directors and senior officials</v>
      </c>
      <c r="B247" s="278">
        <v>3.681779467348806</v>
      </c>
      <c r="C247" s="278">
        <v>0.20619786900498469</v>
      </c>
      <c r="D247" s="278">
        <v>0.35652156906747995</v>
      </c>
      <c r="E247" s="278">
        <f>SUM(B247:D247)</f>
        <v>4.2444989054212705</v>
      </c>
      <c r="F247" s="279"/>
      <c r="G247" s="278">
        <v>3.9521298024751617</v>
      </c>
      <c r="H247" s="278">
        <v>0.37845727011773067</v>
      </c>
      <c r="I247" s="278">
        <v>0.18245282009762015</v>
      </c>
      <c r="J247" s="278">
        <f>SUM(G247:I247)</f>
        <v>4.5130398926905126</v>
      </c>
      <c r="K247" s="279"/>
      <c r="L247" s="278">
        <v>3.095189123999333</v>
      </c>
      <c r="M247" s="278">
        <v>0.30762452538646168</v>
      </c>
      <c r="N247" s="278">
        <v>0.188974327722016</v>
      </c>
      <c r="O247" s="278">
        <f>SUM(L247:N247)</f>
        <v>3.5917879771078107</v>
      </c>
    </row>
    <row r="248" spans="1:15" s="212" customFormat="1">
      <c r="A248" s="213" t="str">
        <f>name!E$5</f>
        <v>Professional occupations</v>
      </c>
      <c r="B248" s="278">
        <v>7.0120992575029044</v>
      </c>
      <c r="C248" s="278">
        <v>0.12137276491396055</v>
      </c>
      <c r="D248" s="278">
        <v>0.27252559187148712</v>
      </c>
      <c r="E248" s="278">
        <f t="shared" ref="E248:E255" si="119">SUM(B248:D248)</f>
        <v>7.4059976142883519</v>
      </c>
      <c r="F248" s="279"/>
      <c r="G248" s="278">
        <v>8.1988486341072466</v>
      </c>
      <c r="H248" s="278">
        <v>0.23349504325138845</v>
      </c>
      <c r="I248" s="278">
        <v>0.13253974818475445</v>
      </c>
      <c r="J248" s="278">
        <f t="shared" ref="J248:J250" si="120">SUM(G248:I248)</f>
        <v>8.564883425543389</v>
      </c>
      <c r="K248" s="279"/>
      <c r="L248" s="278">
        <v>9.317408930167602</v>
      </c>
      <c r="M248" s="278">
        <v>0.20532714513155359</v>
      </c>
      <c r="N248" s="278">
        <v>0.11186549478534966</v>
      </c>
      <c r="O248" s="278">
        <f t="shared" ref="O248:O255" si="121">SUM(L248:N248)</f>
        <v>9.6346015700845058</v>
      </c>
    </row>
    <row r="249" spans="1:15" s="212" customFormat="1">
      <c r="A249" s="213" t="str">
        <f>name!E$6</f>
        <v>Associate professional occupations</v>
      </c>
      <c r="B249" s="278">
        <v>4.4308625113697904</v>
      </c>
      <c r="C249" s="278">
        <v>0.17578235131629447</v>
      </c>
      <c r="D249" s="278">
        <v>0.13975633846685229</v>
      </c>
      <c r="E249" s="278">
        <f t="shared" si="119"/>
        <v>4.7464012011529366</v>
      </c>
      <c r="F249" s="279"/>
      <c r="G249" s="278">
        <v>5.0296401918499756</v>
      </c>
      <c r="H249" s="278">
        <v>0.25017338730643818</v>
      </c>
      <c r="I249" s="278">
        <v>9.8822410608594549E-2</v>
      </c>
      <c r="J249" s="278">
        <f t="shared" si="120"/>
        <v>5.3786359897650078</v>
      </c>
      <c r="K249" s="279"/>
      <c r="L249" s="278">
        <v>4.3270174661690648</v>
      </c>
      <c r="M249" s="278">
        <v>0.17809606811796977</v>
      </c>
      <c r="N249" s="278">
        <v>9.872738516195638E-2</v>
      </c>
      <c r="O249" s="278">
        <f t="shared" si="121"/>
        <v>4.6038409194489915</v>
      </c>
    </row>
    <row r="250" spans="1:15" s="212" customFormat="1">
      <c r="A250" s="213" t="str">
        <f>name!E$7</f>
        <v>Administrative and secretarial occupations</v>
      </c>
      <c r="B250" s="278">
        <v>3.5664521495480423</v>
      </c>
      <c r="C250" s="278">
        <v>0.62159329631363147</v>
      </c>
      <c r="D250" s="278">
        <v>3.9712308876465867E-2</v>
      </c>
      <c r="E250" s="278">
        <f t="shared" si="119"/>
        <v>4.2277577547381391</v>
      </c>
      <c r="F250" s="279"/>
      <c r="G250" s="278">
        <v>3.4211447134654027</v>
      </c>
      <c r="H250" s="278">
        <v>0.6109276860420475</v>
      </c>
      <c r="I250" s="278">
        <v>2.9668400300639098E-2</v>
      </c>
      <c r="J250" s="278">
        <f t="shared" si="120"/>
        <v>4.0617407998080894</v>
      </c>
      <c r="K250" s="279"/>
      <c r="L250" s="278">
        <v>3.2515646189431155</v>
      </c>
      <c r="M250" s="278">
        <v>0.43574459248965763</v>
      </c>
      <c r="N250" s="278">
        <v>2.7009810147050849E-2</v>
      </c>
      <c r="O250" s="278">
        <f t="shared" si="121"/>
        <v>3.7143190215798239</v>
      </c>
    </row>
    <row r="251" spans="1:15" s="212" customFormat="1">
      <c r="A251" s="213" t="str">
        <f>name!E$8</f>
        <v>Skilled trades occupations</v>
      </c>
      <c r="B251" s="278">
        <v>16.92289319919594</v>
      </c>
      <c r="C251" s="278">
        <v>0.54728108608842629</v>
      </c>
      <c r="D251" s="278">
        <v>0.48960228157872382</v>
      </c>
      <c r="E251" s="278">
        <f t="shared" si="119"/>
        <v>17.959776566863088</v>
      </c>
      <c r="F251" s="279"/>
      <c r="G251" s="278">
        <v>13.382906031508201</v>
      </c>
      <c r="H251" s="278">
        <v>0.4855419500367581</v>
      </c>
      <c r="I251" s="278">
        <v>0.12961232022198874</v>
      </c>
      <c r="J251" s="278">
        <f>SUM(G251:I251)</f>
        <v>13.998060301766948</v>
      </c>
      <c r="K251" s="279"/>
      <c r="L251" s="278">
        <v>9.6418413386348956</v>
      </c>
      <c r="M251" s="278">
        <v>0.4682619312080934</v>
      </c>
      <c r="N251" s="278">
        <v>0.14143292568609364</v>
      </c>
      <c r="O251" s="278">
        <f t="shared" si="121"/>
        <v>10.251536195529082</v>
      </c>
    </row>
    <row r="252" spans="1:15" s="212" customFormat="1">
      <c r="A252" s="213" t="str">
        <f>name!E$9</f>
        <v>Caring, leisure and other service occupations</v>
      </c>
      <c r="B252" s="278">
        <v>0.68009975864949834</v>
      </c>
      <c r="C252" s="278">
        <v>4.0668161128873247E-2</v>
      </c>
      <c r="D252" s="278">
        <v>1.9693614455957124E-2</v>
      </c>
      <c r="E252" s="278">
        <f t="shared" si="119"/>
        <v>0.7404615342343287</v>
      </c>
      <c r="F252" s="279"/>
      <c r="G252" s="278">
        <v>0.72895845150398808</v>
      </c>
      <c r="H252" s="278">
        <v>6.9523054841130097E-2</v>
      </c>
      <c r="I252" s="278">
        <v>2.5756814772671825E-2</v>
      </c>
      <c r="J252" s="278">
        <f t="shared" ref="J252:J255" si="122">SUM(G252:I252)</f>
        <v>0.82423832111778994</v>
      </c>
      <c r="K252" s="279"/>
      <c r="L252" s="278">
        <v>0.66229987158385895</v>
      </c>
      <c r="M252" s="278">
        <v>4.4680695512772178E-2</v>
      </c>
      <c r="N252" s="278">
        <v>1.7453164072501807E-2</v>
      </c>
      <c r="O252" s="278">
        <f t="shared" si="121"/>
        <v>0.72443373116913301</v>
      </c>
    </row>
    <row r="253" spans="1:15" s="212" customFormat="1">
      <c r="A253" s="213" t="str">
        <f>name!E$10</f>
        <v>Sales and customer service occupations</v>
      </c>
      <c r="B253" s="278">
        <v>0.48463430632144455</v>
      </c>
      <c r="C253" s="278">
        <v>0.1065823219572322</v>
      </c>
      <c r="D253" s="278">
        <v>2.910709153915959E-2</v>
      </c>
      <c r="E253" s="278">
        <f t="shared" si="119"/>
        <v>0.62032371981783629</v>
      </c>
      <c r="F253" s="279"/>
      <c r="G253" s="278">
        <v>0.45890271914537029</v>
      </c>
      <c r="H253" s="278">
        <v>0.1151929936750769</v>
      </c>
      <c r="I253" s="278">
        <v>1.2493667028513605E-2</v>
      </c>
      <c r="J253" s="278">
        <f t="shared" si="122"/>
        <v>0.58658937984896076</v>
      </c>
      <c r="K253" s="279"/>
      <c r="L253" s="278">
        <v>0.45365148185666815</v>
      </c>
      <c r="M253" s="278">
        <v>0.1035074243704427</v>
      </c>
      <c r="N253" s="278">
        <v>1.0216971854619363E-2</v>
      </c>
      <c r="O253" s="278">
        <f t="shared" si="121"/>
        <v>0.56737587808173018</v>
      </c>
    </row>
    <row r="254" spans="1:15" s="212" customFormat="1">
      <c r="A254" s="213" t="str">
        <f>name!E$11</f>
        <v>Process, plant and machine operatives</v>
      </c>
      <c r="B254" s="278">
        <v>10.012055810683297</v>
      </c>
      <c r="C254" s="278">
        <v>0.45025627327494483</v>
      </c>
      <c r="D254" s="278">
        <v>0.28480217845162359</v>
      </c>
      <c r="E254" s="278">
        <f t="shared" si="119"/>
        <v>10.747114262409866</v>
      </c>
      <c r="F254" s="279"/>
      <c r="G254" s="278">
        <v>7.7683157119919981</v>
      </c>
      <c r="H254" s="278">
        <v>0.40315765915902246</v>
      </c>
      <c r="I254" s="278">
        <v>0.11006327768728355</v>
      </c>
      <c r="J254" s="278">
        <f t="shared" si="122"/>
        <v>8.2815366488383031</v>
      </c>
      <c r="K254" s="279"/>
      <c r="L254" s="278">
        <v>5.9119667134769101</v>
      </c>
      <c r="M254" s="278">
        <v>0.36144929030334427</v>
      </c>
      <c r="N254" s="278">
        <v>0.11464363789914603</v>
      </c>
      <c r="O254" s="278">
        <f t="shared" si="121"/>
        <v>6.3880596416794004</v>
      </c>
    </row>
    <row r="255" spans="1:15" s="212" customFormat="1">
      <c r="A255" s="213" t="str">
        <f>name!E$12</f>
        <v>Elementary occupations</v>
      </c>
      <c r="B255" s="278">
        <v>2.1001235392743389</v>
      </c>
      <c r="C255" s="278">
        <v>0.29926587603373583</v>
      </c>
      <c r="D255" s="278">
        <v>0.25327902568942989</v>
      </c>
      <c r="E255" s="278">
        <f t="shared" si="119"/>
        <v>2.6526684409975045</v>
      </c>
      <c r="F255" s="279"/>
      <c r="G255" s="278">
        <v>1.6251537438565333</v>
      </c>
      <c r="H255" s="278">
        <v>0.30553095557644483</v>
      </c>
      <c r="I255" s="278">
        <v>7.9590541095333242E-2</v>
      </c>
      <c r="J255" s="278">
        <f t="shared" si="122"/>
        <v>2.0102752405283111</v>
      </c>
      <c r="K255" s="279"/>
      <c r="L255" s="278">
        <v>1.361060455253297</v>
      </c>
      <c r="M255" s="278">
        <v>0.32730832750548766</v>
      </c>
      <c r="N255" s="278">
        <v>0.10067628267446577</v>
      </c>
      <c r="O255" s="278">
        <f t="shared" si="121"/>
        <v>1.7890450654332504</v>
      </c>
    </row>
    <row r="256" spans="1:15" s="212" customFormat="1">
      <c r="A256" s="213"/>
      <c r="B256" s="278"/>
      <c r="C256" s="278"/>
      <c r="D256" s="278"/>
      <c r="E256" s="278"/>
      <c r="F256" s="279"/>
      <c r="G256" s="278"/>
      <c r="H256" s="278"/>
      <c r="I256" s="278"/>
      <c r="J256" s="278"/>
      <c r="K256" s="279"/>
      <c r="L256" s="278"/>
      <c r="M256" s="278"/>
      <c r="N256" s="278"/>
      <c r="O256" s="278"/>
    </row>
    <row r="257" spans="1:15" s="212" customFormat="1">
      <c r="A257" s="220" t="s">
        <v>119</v>
      </c>
      <c r="B257" s="282">
        <f>SUM(B247:B255)</f>
        <v>48.890999999894063</v>
      </c>
      <c r="C257" s="282">
        <f t="shared" ref="C257:E257" si="123">SUM(C247:C255)</f>
        <v>2.5690000000320836</v>
      </c>
      <c r="D257" s="282">
        <f t="shared" si="123"/>
        <v>1.8849999999971792</v>
      </c>
      <c r="E257" s="282">
        <f t="shared" si="123"/>
        <v>53.344999999923317</v>
      </c>
      <c r="F257" s="282"/>
      <c r="G257" s="282">
        <f t="shared" ref="G257:J257" si="124">SUM(G247:G255)</f>
        <v>44.565999999903873</v>
      </c>
      <c r="H257" s="282">
        <f t="shared" si="124"/>
        <v>2.8520000000060373</v>
      </c>
      <c r="I257" s="282">
        <f t="shared" si="124"/>
        <v>0.80099999999739913</v>
      </c>
      <c r="J257" s="282">
        <f t="shared" si="124"/>
        <v>48.218999999907311</v>
      </c>
      <c r="K257" s="282"/>
      <c r="L257" s="282">
        <f t="shared" ref="L257:O257" si="125">SUM(L247:L255)</f>
        <v>38.022000000084745</v>
      </c>
      <c r="M257" s="282">
        <f t="shared" si="125"/>
        <v>2.4320000000257829</v>
      </c>
      <c r="N257" s="282">
        <f t="shared" si="125"/>
        <v>0.81100000000319938</v>
      </c>
      <c r="O257" s="282">
        <f t="shared" si="125"/>
        <v>41.26500000011373</v>
      </c>
    </row>
    <row r="258" spans="1:15" s="212" customFormat="1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6"/>
    </row>
    <row r="259" spans="1:15" s="212" customFormat="1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6"/>
      <c r="O259" s="227" t="s">
        <v>114</v>
      </c>
    </row>
    <row r="260" spans="1:15" s="212" customFormat="1" ht="12.95">
      <c r="A260" s="218"/>
      <c r="B260" s="218"/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</row>
    <row r="261" spans="1:15" s="212" customFormat="1" ht="12.95">
      <c r="A261" s="217" t="str">
        <f>name!A18</f>
        <v>Metal products</v>
      </c>
      <c r="B261" s="369">
        <f>$B$6</f>
        <v>2015</v>
      </c>
      <c r="C261" s="369"/>
      <c r="D261" s="369"/>
      <c r="E261" s="369"/>
      <c r="F261" s="239"/>
      <c r="G261" s="369">
        <f>$G$6</f>
        <v>2020</v>
      </c>
      <c r="H261" s="369"/>
      <c r="I261" s="369"/>
      <c r="J261" s="369"/>
      <c r="K261" s="239"/>
      <c r="L261" s="369">
        <f>$L$6</f>
        <v>2035</v>
      </c>
      <c r="M261" s="369"/>
      <c r="N261" s="369"/>
      <c r="O261" s="369"/>
    </row>
    <row r="262" spans="1:15" s="212" customFormat="1" ht="12.95">
      <c r="A262" s="230"/>
      <c r="B262" s="244" t="str">
        <f>$B$7</f>
        <v>FT</v>
      </c>
      <c r="C262" s="244" t="str">
        <f>$C$7</f>
        <v>PT</v>
      </c>
      <c r="D262" s="244" t="str">
        <f>$D$7</f>
        <v>SE</v>
      </c>
      <c r="E262" s="244" t="str">
        <f>$E$7</f>
        <v>Total</v>
      </c>
      <c r="F262" s="244"/>
      <c r="G262" s="244" t="str">
        <f>$G$7</f>
        <v>FT</v>
      </c>
      <c r="H262" s="244" t="str">
        <f>$H$7</f>
        <v>PT</v>
      </c>
      <c r="I262" s="244" t="str">
        <f>$I$7</f>
        <v>SE</v>
      </c>
      <c r="J262" s="244" t="str">
        <f>$J$7</f>
        <v>Total</v>
      </c>
      <c r="K262" s="244"/>
      <c r="L262" s="244" t="str">
        <f>$L$7</f>
        <v>FT</v>
      </c>
      <c r="M262" s="244" t="str">
        <f>$M$7</f>
        <v>PT</v>
      </c>
      <c r="N262" s="244" t="str">
        <f>$N$7</f>
        <v>SE</v>
      </c>
      <c r="O262" s="244" t="str">
        <f>$O$7</f>
        <v>Total</v>
      </c>
    </row>
    <row r="263" spans="1:15" s="212" customFormat="1" ht="12.95">
      <c r="A263" s="234"/>
      <c r="B263" s="215"/>
      <c r="C263" s="215"/>
      <c r="D263" s="215"/>
      <c r="E263" s="215"/>
      <c r="F263" s="215"/>
      <c r="G263" s="215"/>
      <c r="H263" s="215"/>
      <c r="I263" s="215"/>
      <c r="J263" s="215"/>
      <c r="K263" s="215"/>
      <c r="L263" s="215"/>
      <c r="M263" s="215"/>
      <c r="N263" s="215"/>
      <c r="O263" s="215"/>
    </row>
    <row r="264" spans="1:15" s="212" customFormat="1">
      <c r="A264" s="213" t="str">
        <f>name!E$4</f>
        <v>Managers, directors and senior officials</v>
      </c>
      <c r="B264" s="278">
        <v>24.990545488965395</v>
      </c>
      <c r="C264" s="278">
        <v>2.0807763296066053</v>
      </c>
      <c r="D264" s="278">
        <v>2.6013302536906768</v>
      </c>
      <c r="E264" s="278">
        <f>SUM(B264:D264)</f>
        <v>29.672652072262679</v>
      </c>
      <c r="F264" s="279"/>
      <c r="G264" s="278">
        <v>24.407540043605806</v>
      </c>
      <c r="H264" s="278">
        <v>2.88111083237788</v>
      </c>
      <c r="I264" s="278">
        <v>3.0100557734122968</v>
      </c>
      <c r="J264" s="278">
        <f>SUM(G264:I264)</f>
        <v>30.298706649395982</v>
      </c>
      <c r="K264" s="279"/>
      <c r="L264" s="278">
        <v>19.965301506570917</v>
      </c>
      <c r="M264" s="278">
        <v>2.7853528813858892</v>
      </c>
      <c r="N264" s="278">
        <v>2.465916699142741</v>
      </c>
      <c r="O264" s="278">
        <f>SUM(L264:N264)</f>
        <v>25.216571087099549</v>
      </c>
    </row>
    <row r="265" spans="1:15" s="212" customFormat="1">
      <c r="A265" s="213" t="str">
        <f>name!E$5</f>
        <v>Professional occupations</v>
      </c>
      <c r="B265" s="278">
        <v>31.735121060901939</v>
      </c>
      <c r="C265" s="278">
        <v>1.500800920804725</v>
      </c>
      <c r="D265" s="278">
        <v>1.470870731458982</v>
      </c>
      <c r="E265" s="278">
        <f t="shared" ref="E265:E272" si="126">SUM(B265:D265)</f>
        <v>34.706792713165648</v>
      </c>
      <c r="F265" s="279"/>
      <c r="G265" s="278">
        <v>34.520723229789233</v>
      </c>
      <c r="H265" s="278">
        <v>2.0501198762469697</v>
      </c>
      <c r="I265" s="278">
        <v>1.3828612957913529</v>
      </c>
      <c r="J265" s="278">
        <f t="shared" ref="J265:J267" si="127">SUM(G265:I265)</f>
        <v>37.953704401827551</v>
      </c>
      <c r="K265" s="279"/>
      <c r="L265" s="278">
        <v>39.950139289875935</v>
      </c>
      <c r="M265" s="278">
        <v>1.892183753987372</v>
      </c>
      <c r="N265" s="278">
        <v>0.80360029091026952</v>
      </c>
      <c r="O265" s="278">
        <f t="shared" ref="O265:O272" si="128">SUM(L265:N265)</f>
        <v>42.645923334773578</v>
      </c>
    </row>
    <row r="266" spans="1:15" s="212" customFormat="1">
      <c r="A266" s="213" t="str">
        <f>name!E$6</f>
        <v>Associate professional occupations</v>
      </c>
      <c r="B266" s="278">
        <v>28.621899688555249</v>
      </c>
      <c r="C266" s="278">
        <v>1.6581033565874939</v>
      </c>
      <c r="D266" s="278">
        <v>0.58239139997647971</v>
      </c>
      <c r="E266" s="278">
        <f t="shared" si="126"/>
        <v>30.862394445119222</v>
      </c>
      <c r="F266" s="279"/>
      <c r="G266" s="278">
        <v>29.139612306865352</v>
      </c>
      <c r="H266" s="278">
        <v>2.0973430453916011</v>
      </c>
      <c r="I266" s="278">
        <v>0.56047612713652162</v>
      </c>
      <c r="J266" s="278">
        <f t="shared" si="127"/>
        <v>31.797431479393474</v>
      </c>
      <c r="K266" s="279"/>
      <c r="L266" s="278">
        <v>25.524499119860224</v>
      </c>
      <c r="M266" s="278">
        <v>1.3382491933740008</v>
      </c>
      <c r="N266" s="278">
        <v>0.48864298936618672</v>
      </c>
      <c r="O266" s="278">
        <f t="shared" si="128"/>
        <v>27.351391302600412</v>
      </c>
    </row>
    <row r="267" spans="1:15" s="212" customFormat="1">
      <c r="A267" s="213" t="str">
        <f>name!E$7</f>
        <v>Administrative and secretarial occupations</v>
      </c>
      <c r="B267" s="278">
        <v>13.011262795250181</v>
      </c>
      <c r="C267" s="278">
        <v>7.2536664665649822</v>
      </c>
      <c r="D267" s="278">
        <v>0.39198599944402374</v>
      </c>
      <c r="E267" s="278">
        <f t="shared" si="126"/>
        <v>20.656915261259186</v>
      </c>
      <c r="F267" s="279"/>
      <c r="G267" s="278">
        <v>11.23738423672401</v>
      </c>
      <c r="H267" s="278">
        <v>6.353450517633684</v>
      </c>
      <c r="I267" s="278">
        <v>0.53425998583514556</v>
      </c>
      <c r="J267" s="278">
        <f t="shared" si="127"/>
        <v>18.125094740192839</v>
      </c>
      <c r="K267" s="279"/>
      <c r="L267" s="278">
        <v>9.702806841376578</v>
      </c>
      <c r="M267" s="278">
        <v>3.9846168688621382</v>
      </c>
      <c r="N267" s="278">
        <v>0.30152809979384981</v>
      </c>
      <c r="O267" s="278">
        <f t="shared" si="128"/>
        <v>13.988951810032566</v>
      </c>
    </row>
    <row r="268" spans="1:15" s="212" customFormat="1">
      <c r="A268" s="213" t="str">
        <f>name!E$8</f>
        <v>Skilled trades occupations</v>
      </c>
      <c r="B268" s="278">
        <v>99.923424987504035</v>
      </c>
      <c r="C268" s="278">
        <v>4.0579565635406194</v>
      </c>
      <c r="D268" s="278">
        <v>4.6991161431122297</v>
      </c>
      <c r="E268" s="278">
        <f t="shared" si="126"/>
        <v>108.68049769415688</v>
      </c>
      <c r="F268" s="279"/>
      <c r="G268" s="278">
        <v>72.476039338666226</v>
      </c>
      <c r="H268" s="278">
        <v>3.6914367154855019</v>
      </c>
      <c r="I268" s="278">
        <v>3.110457927273012</v>
      </c>
      <c r="J268" s="278">
        <f>SUM(G268:I268)</f>
        <v>79.277933981424752</v>
      </c>
      <c r="K268" s="279"/>
      <c r="L268" s="278">
        <v>53.145148617368527</v>
      </c>
      <c r="M268" s="278">
        <v>3.507614945626635</v>
      </c>
      <c r="N268" s="278">
        <v>2.4075239393150674</v>
      </c>
      <c r="O268" s="278">
        <f t="shared" si="128"/>
        <v>59.060287502310231</v>
      </c>
    </row>
    <row r="269" spans="1:15" s="212" customFormat="1">
      <c r="A269" s="213" t="str">
        <f>name!E$9</f>
        <v>Caring, leisure and other service occupations</v>
      </c>
      <c r="B269" s="278">
        <v>1.8139275454081245</v>
      </c>
      <c r="C269" s="278">
        <v>0.26497738807336235</v>
      </c>
      <c r="D269" s="278">
        <v>0.10973105670186345</v>
      </c>
      <c r="E269" s="278">
        <f t="shared" si="126"/>
        <v>2.1886359901833501</v>
      </c>
      <c r="F269" s="279"/>
      <c r="G269" s="278">
        <v>1.6145146687953129</v>
      </c>
      <c r="H269" s="278">
        <v>0.26089332642391172</v>
      </c>
      <c r="I269" s="278">
        <v>0.17418603224363541</v>
      </c>
      <c r="J269" s="278">
        <f t="shared" ref="J269:J272" si="129">SUM(G269:I269)</f>
        <v>2.0495940274628599</v>
      </c>
      <c r="K269" s="279"/>
      <c r="L269" s="278">
        <v>1.7021447778380276</v>
      </c>
      <c r="M269" s="278">
        <v>0.15099782106432266</v>
      </c>
      <c r="N269" s="278">
        <v>0.21202600629344073</v>
      </c>
      <c r="O269" s="278">
        <f t="shared" si="128"/>
        <v>2.0651686051957912</v>
      </c>
    </row>
    <row r="270" spans="1:15" s="212" customFormat="1">
      <c r="A270" s="213" t="str">
        <f>name!E$10</f>
        <v>Sales and customer service occupations</v>
      </c>
      <c r="B270" s="278">
        <v>3.1941073426657693</v>
      </c>
      <c r="C270" s="278">
        <v>0.81476871110730797</v>
      </c>
      <c r="D270" s="278">
        <v>0.25105100279854692</v>
      </c>
      <c r="E270" s="278">
        <f t="shared" si="126"/>
        <v>4.2599270565716241</v>
      </c>
      <c r="F270" s="279"/>
      <c r="G270" s="278">
        <v>2.6138613712330216</v>
      </c>
      <c r="H270" s="278">
        <v>0.83034408713540675</v>
      </c>
      <c r="I270" s="278">
        <v>0.21107023031043104</v>
      </c>
      <c r="J270" s="278">
        <f t="shared" si="129"/>
        <v>3.6552756886788593</v>
      </c>
      <c r="K270" s="279"/>
      <c r="L270" s="278">
        <v>2.5452417619988319</v>
      </c>
      <c r="M270" s="278">
        <v>0.77127051463261831</v>
      </c>
      <c r="N270" s="278">
        <v>0.14507725616782602</v>
      </c>
      <c r="O270" s="278">
        <f t="shared" si="128"/>
        <v>3.4615895327992763</v>
      </c>
    </row>
    <row r="271" spans="1:15" s="212" customFormat="1">
      <c r="A271" s="213" t="str">
        <f>name!E$11</f>
        <v>Process, plant and machine operatives</v>
      </c>
      <c r="B271" s="278">
        <v>33.747439692396547</v>
      </c>
      <c r="C271" s="278">
        <v>2.9233966933816844</v>
      </c>
      <c r="D271" s="278">
        <v>0.58818943143036706</v>
      </c>
      <c r="E271" s="278">
        <f t="shared" si="126"/>
        <v>37.259025817208595</v>
      </c>
      <c r="F271" s="279"/>
      <c r="G271" s="278">
        <v>22.74706004220279</v>
      </c>
      <c r="H271" s="278">
        <v>2.9672787141022838</v>
      </c>
      <c r="I271" s="278">
        <v>0.45917362206134565</v>
      </c>
      <c r="J271" s="278">
        <f t="shared" si="129"/>
        <v>26.173512378366421</v>
      </c>
      <c r="K271" s="279"/>
      <c r="L271" s="278">
        <v>17.597945194522577</v>
      </c>
      <c r="M271" s="278">
        <v>2.764369317583129</v>
      </c>
      <c r="N271" s="278">
        <v>0.42600201370084717</v>
      </c>
      <c r="O271" s="278">
        <f t="shared" si="128"/>
        <v>20.788316525806554</v>
      </c>
    </row>
    <row r="272" spans="1:15" s="212" customFormat="1">
      <c r="A272" s="213" t="str">
        <f>name!E$12</f>
        <v>Elementary occupations</v>
      </c>
      <c r="B272" s="278">
        <v>9.0682713977058196</v>
      </c>
      <c r="C272" s="278">
        <v>2.072553570598203</v>
      </c>
      <c r="D272" s="278">
        <v>0.27933398137476206</v>
      </c>
      <c r="E272" s="278">
        <f t="shared" si="126"/>
        <v>11.420158949678784</v>
      </c>
      <c r="F272" s="279"/>
      <c r="G272" s="278">
        <v>6.1242647615219052</v>
      </c>
      <c r="H272" s="278">
        <v>1.6360228853474379</v>
      </c>
      <c r="I272" s="278">
        <v>0.26745900586500282</v>
      </c>
      <c r="J272" s="278">
        <f t="shared" si="129"/>
        <v>8.0277466527343453</v>
      </c>
      <c r="K272" s="279"/>
      <c r="L272" s="278">
        <v>4.9897728915161226</v>
      </c>
      <c r="M272" s="278">
        <v>2.3573447037240558</v>
      </c>
      <c r="N272" s="278">
        <v>0.29268270520363893</v>
      </c>
      <c r="O272" s="278">
        <f t="shared" si="128"/>
        <v>7.6398003004438166</v>
      </c>
    </row>
    <row r="273" spans="1:15" s="212" customFormat="1">
      <c r="A273" s="213"/>
      <c r="B273" s="278"/>
      <c r="C273" s="278"/>
      <c r="D273" s="278"/>
      <c r="E273" s="278"/>
      <c r="F273" s="279"/>
      <c r="G273" s="278"/>
      <c r="H273" s="278"/>
      <c r="I273" s="278"/>
      <c r="J273" s="278"/>
      <c r="K273" s="279"/>
      <c r="L273" s="278"/>
      <c r="M273" s="278"/>
      <c r="N273" s="278"/>
      <c r="O273" s="278"/>
    </row>
    <row r="274" spans="1:15" s="212" customFormat="1">
      <c r="A274" s="220" t="s">
        <v>119</v>
      </c>
      <c r="B274" s="282">
        <f>SUM(B264:B272)</f>
        <v>246.10599999935306</v>
      </c>
      <c r="C274" s="282">
        <f t="shared" ref="C274:E274" si="130">SUM(C264:C272)</f>
        <v>22.627000000264982</v>
      </c>
      <c r="D274" s="282">
        <f t="shared" si="130"/>
        <v>10.973999999987932</v>
      </c>
      <c r="E274" s="282">
        <f t="shared" si="130"/>
        <v>279.70699999960596</v>
      </c>
      <c r="F274" s="282"/>
      <c r="G274" s="282">
        <f t="shared" ref="G274:J274" si="131">SUM(G264:G272)</f>
        <v>204.88099999940366</v>
      </c>
      <c r="H274" s="282">
        <f t="shared" si="131"/>
        <v>22.768000000144678</v>
      </c>
      <c r="I274" s="282">
        <f t="shared" si="131"/>
        <v>9.7099999999287459</v>
      </c>
      <c r="J274" s="282">
        <f t="shared" si="131"/>
        <v>237.35899999947711</v>
      </c>
      <c r="K274" s="282"/>
      <c r="L274" s="282">
        <f t="shared" ref="L274:O274" si="132">SUM(L264:L272)</f>
        <v>175.1230000009277</v>
      </c>
      <c r="M274" s="282">
        <f t="shared" si="132"/>
        <v>19.552000000240163</v>
      </c>
      <c r="N274" s="282">
        <f t="shared" si="132"/>
        <v>7.5429999998938673</v>
      </c>
      <c r="O274" s="282">
        <f t="shared" si="132"/>
        <v>202.21800000106177</v>
      </c>
    </row>
    <row r="275" spans="1:15" s="212" customFormat="1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6"/>
    </row>
    <row r="276" spans="1:15" s="212" customFormat="1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6"/>
      <c r="O276" s="227" t="s">
        <v>114</v>
      </c>
    </row>
    <row r="277" spans="1:15" s="212" customFormat="1" ht="12.95">
      <c r="A277" s="218"/>
      <c r="B277" s="218"/>
      <c r="C277" s="218"/>
      <c r="D277" s="218"/>
      <c r="E277" s="218"/>
      <c r="F277" s="218"/>
      <c r="G277" s="218"/>
      <c r="H277" s="218"/>
      <c r="I277" s="218"/>
      <c r="J277" s="218"/>
      <c r="K277" s="218"/>
      <c r="L277" s="218"/>
      <c r="M277" s="218"/>
      <c r="N277" s="218"/>
      <c r="O277" s="218"/>
    </row>
    <row r="278" spans="1:15" s="212" customFormat="1" ht="12.95">
      <c r="A278" s="217" t="str">
        <f>name!A19</f>
        <v>Computer, etc</v>
      </c>
      <c r="B278" s="369">
        <f>$B$6</f>
        <v>2015</v>
      </c>
      <c r="C278" s="369"/>
      <c r="D278" s="369"/>
      <c r="E278" s="369"/>
      <c r="F278" s="239"/>
      <c r="G278" s="369">
        <f>$G$6</f>
        <v>2020</v>
      </c>
      <c r="H278" s="369"/>
      <c r="I278" s="369"/>
      <c r="J278" s="369"/>
      <c r="K278" s="239"/>
      <c r="L278" s="369">
        <f>$L$6</f>
        <v>2035</v>
      </c>
      <c r="M278" s="369"/>
      <c r="N278" s="369"/>
      <c r="O278" s="369"/>
    </row>
    <row r="279" spans="1:15" s="212" customFormat="1" ht="12.95">
      <c r="A279" s="230"/>
      <c r="B279" s="244" t="str">
        <f>$B$7</f>
        <v>FT</v>
      </c>
      <c r="C279" s="244" t="str">
        <f>$C$7</f>
        <v>PT</v>
      </c>
      <c r="D279" s="244" t="str">
        <f>$D$7</f>
        <v>SE</v>
      </c>
      <c r="E279" s="244" t="str">
        <f>$E$7</f>
        <v>Total</v>
      </c>
      <c r="F279" s="244"/>
      <c r="G279" s="244" t="str">
        <f>$G$7</f>
        <v>FT</v>
      </c>
      <c r="H279" s="244" t="str">
        <f>$H$7</f>
        <v>PT</v>
      </c>
      <c r="I279" s="244" t="str">
        <f>$I$7</f>
        <v>SE</v>
      </c>
      <c r="J279" s="244" t="str">
        <f>$J$7</f>
        <v>Total</v>
      </c>
      <c r="K279" s="244"/>
      <c r="L279" s="244" t="str">
        <f>$L$7</f>
        <v>FT</v>
      </c>
      <c r="M279" s="244" t="str">
        <f>$M$7</f>
        <v>PT</v>
      </c>
      <c r="N279" s="244" t="str">
        <f>$N$7</f>
        <v>SE</v>
      </c>
      <c r="O279" s="244" t="str">
        <f>$O$7</f>
        <v>Total</v>
      </c>
    </row>
    <row r="280" spans="1:15" s="212" customFormat="1" ht="12.95">
      <c r="A280" s="234"/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  <c r="N280" s="215"/>
      <c r="O280" s="215"/>
    </row>
    <row r="281" spans="1:15" s="212" customFormat="1">
      <c r="A281" s="213" t="str">
        <f>name!E$4</f>
        <v>Managers, directors and senior officials</v>
      </c>
      <c r="B281" s="278">
        <v>13.366627057332161</v>
      </c>
      <c r="C281" s="278">
        <v>0.79404084874188463</v>
      </c>
      <c r="D281" s="278">
        <v>0.83692905929726802</v>
      </c>
      <c r="E281" s="278">
        <f>SUM(B281:D281)</f>
        <v>14.997596965371315</v>
      </c>
      <c r="F281" s="279"/>
      <c r="G281" s="278">
        <v>15.539773569953633</v>
      </c>
      <c r="H281" s="278">
        <v>0.99052976015152616</v>
      </c>
      <c r="I281" s="278">
        <v>1.0553830163477806</v>
      </c>
      <c r="J281" s="278">
        <f>SUM(G281:I281)</f>
        <v>17.585686346452938</v>
      </c>
      <c r="K281" s="279"/>
      <c r="L281" s="278">
        <v>11.981257670616166</v>
      </c>
      <c r="M281" s="278">
        <v>0.82971014406354882</v>
      </c>
      <c r="N281" s="278">
        <v>0.97402321548558946</v>
      </c>
      <c r="O281" s="278">
        <f>SUM(L281:N281)</f>
        <v>13.784991030165305</v>
      </c>
    </row>
    <row r="282" spans="1:15" s="212" customFormat="1">
      <c r="A282" s="213" t="str">
        <f>name!E$5</f>
        <v>Professional occupations</v>
      </c>
      <c r="B282" s="278">
        <v>26.114248676161907</v>
      </c>
      <c r="C282" s="278">
        <v>0.75966171829424045</v>
      </c>
      <c r="D282" s="278">
        <v>1.3321724674395454</v>
      </c>
      <c r="E282" s="278">
        <f t="shared" ref="E282:E289" si="133">SUM(B282:D282)</f>
        <v>28.206082861895691</v>
      </c>
      <c r="F282" s="279"/>
      <c r="G282" s="278">
        <v>33.019613384715058</v>
      </c>
      <c r="H282" s="278">
        <v>0.9241706726912059</v>
      </c>
      <c r="I282" s="278">
        <v>1.279051173615136</v>
      </c>
      <c r="J282" s="278">
        <f t="shared" ref="J282:J284" si="134">SUM(G282:I282)</f>
        <v>35.222835231021399</v>
      </c>
      <c r="K282" s="279"/>
      <c r="L282" s="278">
        <v>35.58741642032556</v>
      </c>
      <c r="M282" s="278">
        <v>0.70543586150109971</v>
      </c>
      <c r="N282" s="278">
        <v>1.0241975394695346</v>
      </c>
      <c r="O282" s="278">
        <f t="shared" ref="O282:O289" si="135">SUM(L282:N282)</f>
        <v>37.317049821296195</v>
      </c>
    </row>
    <row r="283" spans="1:15" s="212" customFormat="1">
      <c r="A283" s="213" t="str">
        <f>name!E$6</f>
        <v>Associate professional occupations</v>
      </c>
      <c r="B283" s="278">
        <v>13.638628637312298</v>
      </c>
      <c r="C283" s="278">
        <v>0.89020318093151407</v>
      </c>
      <c r="D283" s="278">
        <v>0.77254537313571692</v>
      </c>
      <c r="E283" s="278">
        <f t="shared" si="133"/>
        <v>15.30137719137953</v>
      </c>
      <c r="F283" s="279"/>
      <c r="G283" s="278">
        <v>16.617629174155461</v>
      </c>
      <c r="H283" s="278">
        <v>0.99273780737141493</v>
      </c>
      <c r="I283" s="278">
        <v>0.85925846571593434</v>
      </c>
      <c r="J283" s="278">
        <f t="shared" si="134"/>
        <v>18.469625447242812</v>
      </c>
      <c r="K283" s="279"/>
      <c r="L283" s="278">
        <v>14.076775744431888</v>
      </c>
      <c r="M283" s="278">
        <v>0.71929466390729424</v>
      </c>
      <c r="N283" s="278">
        <v>0.60421695733940073</v>
      </c>
      <c r="O283" s="278">
        <f t="shared" si="135"/>
        <v>15.400287365678583</v>
      </c>
    </row>
    <row r="284" spans="1:15" s="212" customFormat="1">
      <c r="A284" s="213" t="str">
        <f>name!E$7</f>
        <v>Administrative and secretarial occupations</v>
      </c>
      <c r="B284" s="278">
        <v>5.5547748124788567</v>
      </c>
      <c r="C284" s="278">
        <v>1.8233429158473908</v>
      </c>
      <c r="D284" s="278">
        <v>0.13861041540408628</v>
      </c>
      <c r="E284" s="278">
        <f t="shared" si="133"/>
        <v>7.5167281437303339</v>
      </c>
      <c r="F284" s="279"/>
      <c r="G284" s="278">
        <v>5.739885140112901</v>
      </c>
      <c r="H284" s="278">
        <v>1.55344344301606</v>
      </c>
      <c r="I284" s="278">
        <v>0.16485403199503385</v>
      </c>
      <c r="J284" s="278">
        <f t="shared" si="134"/>
        <v>7.4581826151239952</v>
      </c>
      <c r="K284" s="279"/>
      <c r="L284" s="278">
        <v>4.4905798081691248</v>
      </c>
      <c r="M284" s="278">
        <v>0.77219933319850809</v>
      </c>
      <c r="N284" s="278">
        <v>0.11913104755987949</v>
      </c>
      <c r="O284" s="278">
        <f t="shared" si="135"/>
        <v>5.3819101889275132</v>
      </c>
    </row>
    <row r="285" spans="1:15" s="212" customFormat="1">
      <c r="A285" s="213" t="str">
        <f>name!E$8</f>
        <v>Skilled trades occupations</v>
      </c>
      <c r="B285" s="278">
        <v>13.869528110082427</v>
      </c>
      <c r="C285" s="278">
        <v>0.9370392250865256</v>
      </c>
      <c r="D285" s="278">
        <v>0.94659239575092247</v>
      </c>
      <c r="E285" s="278">
        <f t="shared" si="133"/>
        <v>15.753159730919876</v>
      </c>
      <c r="F285" s="279"/>
      <c r="G285" s="278">
        <v>10.991182784335143</v>
      </c>
      <c r="H285" s="278">
        <v>0.66037148000007717</v>
      </c>
      <c r="I285" s="278">
        <v>0.70415719950661182</v>
      </c>
      <c r="J285" s="278">
        <f>SUM(G285:I285)</f>
        <v>12.355711463841832</v>
      </c>
      <c r="K285" s="279"/>
      <c r="L285" s="278">
        <v>7.5550805523571292</v>
      </c>
      <c r="M285" s="278">
        <v>0.68061222275291378</v>
      </c>
      <c r="N285" s="278">
        <v>0.81291201365764898</v>
      </c>
      <c r="O285" s="278">
        <f t="shared" si="135"/>
        <v>9.0486047887676904</v>
      </c>
    </row>
    <row r="286" spans="1:15" s="212" customFormat="1">
      <c r="A286" s="213" t="str">
        <f>name!E$9</f>
        <v>Caring, leisure and other service occupations</v>
      </c>
      <c r="B286" s="278">
        <v>0.53392369296684716</v>
      </c>
      <c r="C286" s="278">
        <v>0.23207089288457761</v>
      </c>
      <c r="D286" s="278">
        <v>7.3412923111188438E-2</v>
      </c>
      <c r="E286" s="278">
        <f t="shared" si="133"/>
        <v>0.83940750896261318</v>
      </c>
      <c r="F286" s="279"/>
      <c r="G286" s="278">
        <v>0.52953427826013744</v>
      </c>
      <c r="H286" s="278">
        <v>0.20616575368927043</v>
      </c>
      <c r="I286" s="278">
        <v>9.2925947851350693E-2</v>
      </c>
      <c r="J286" s="278">
        <f t="shared" ref="J286:J289" si="136">SUM(G286:I286)</f>
        <v>0.82862597980075847</v>
      </c>
      <c r="K286" s="279"/>
      <c r="L286" s="278">
        <v>0.39948698512965458</v>
      </c>
      <c r="M286" s="278">
        <v>8.8687703089496014E-2</v>
      </c>
      <c r="N286" s="278">
        <v>0.14469449659804012</v>
      </c>
      <c r="O286" s="278">
        <f t="shared" si="135"/>
        <v>0.63286918481719079</v>
      </c>
    </row>
    <row r="287" spans="1:15" s="212" customFormat="1">
      <c r="A287" s="213" t="str">
        <f>name!E$10</f>
        <v>Sales and customer service occupations</v>
      </c>
      <c r="B287" s="278">
        <v>2.1049709281171767</v>
      </c>
      <c r="C287" s="278">
        <v>0.88229024684358337</v>
      </c>
      <c r="D287" s="278">
        <v>0.14420843126218033</v>
      </c>
      <c r="E287" s="278">
        <f t="shared" si="133"/>
        <v>3.1314696062229403</v>
      </c>
      <c r="F287" s="279"/>
      <c r="G287" s="278">
        <v>2.0974365011949248</v>
      </c>
      <c r="H287" s="278">
        <v>0.98628511967245591</v>
      </c>
      <c r="I287" s="278">
        <v>0.12588854711675593</v>
      </c>
      <c r="J287" s="278">
        <f t="shared" si="136"/>
        <v>3.2096101679841369</v>
      </c>
      <c r="K287" s="279"/>
      <c r="L287" s="278">
        <v>1.7655872718960108</v>
      </c>
      <c r="M287" s="278">
        <v>1.2989719814113205</v>
      </c>
      <c r="N287" s="278">
        <v>9.2806608418008849E-2</v>
      </c>
      <c r="O287" s="278">
        <f t="shared" si="135"/>
        <v>3.1573658617253404</v>
      </c>
    </row>
    <row r="288" spans="1:15" s="212" customFormat="1">
      <c r="A288" s="213" t="str">
        <f>name!E$11</f>
        <v>Process, plant and machine operatives</v>
      </c>
      <c r="B288" s="278">
        <v>7.2707341473990672</v>
      </c>
      <c r="C288" s="278">
        <v>1.7765957785290394</v>
      </c>
      <c r="D288" s="278">
        <v>0.30834066160845292</v>
      </c>
      <c r="E288" s="278">
        <f t="shared" si="133"/>
        <v>9.3556705875365598</v>
      </c>
      <c r="F288" s="279"/>
      <c r="G288" s="278">
        <v>5.0527502718575219</v>
      </c>
      <c r="H288" s="278">
        <v>1.3100515863047677</v>
      </c>
      <c r="I288" s="278">
        <v>0.43230185747718408</v>
      </c>
      <c r="J288" s="278">
        <f t="shared" si="136"/>
        <v>6.795103715639474</v>
      </c>
      <c r="K288" s="279"/>
      <c r="L288" s="278">
        <v>3.481511595085049</v>
      </c>
      <c r="M288" s="278">
        <v>0.93132520515694028</v>
      </c>
      <c r="N288" s="278">
        <v>0.55815199106739666</v>
      </c>
      <c r="O288" s="278">
        <f t="shared" si="135"/>
        <v>4.9709887913093862</v>
      </c>
    </row>
    <row r="289" spans="1:15" s="212" customFormat="1">
      <c r="A289" s="213" t="str">
        <f>name!E$12</f>
        <v>Elementary occupations</v>
      </c>
      <c r="B289" s="278">
        <v>2.2245639377067965</v>
      </c>
      <c r="C289" s="278">
        <v>0.79875519291912289</v>
      </c>
      <c r="D289" s="278">
        <v>0.21218827305737928</v>
      </c>
      <c r="E289" s="278">
        <f t="shared" si="133"/>
        <v>3.2355074036832985</v>
      </c>
      <c r="F289" s="279"/>
      <c r="G289" s="278">
        <v>1.5791948950392496</v>
      </c>
      <c r="H289" s="278">
        <v>0.50724437714206438</v>
      </c>
      <c r="I289" s="278">
        <v>0.25417976039876577</v>
      </c>
      <c r="J289" s="278">
        <f t="shared" si="136"/>
        <v>2.3406190325800798</v>
      </c>
      <c r="K289" s="279"/>
      <c r="L289" s="278">
        <v>1.2863039524857176</v>
      </c>
      <c r="M289" s="278">
        <v>0.84376288499270802</v>
      </c>
      <c r="N289" s="278">
        <v>0.35386613048464882</v>
      </c>
      <c r="O289" s="278">
        <f t="shared" si="135"/>
        <v>2.4839329679630744</v>
      </c>
    </row>
    <row r="290" spans="1:15" s="212" customFormat="1">
      <c r="A290" s="213"/>
      <c r="B290" s="278"/>
      <c r="C290" s="278"/>
      <c r="D290" s="278"/>
      <c r="E290" s="278"/>
      <c r="F290" s="279"/>
      <c r="G290" s="278"/>
      <c r="H290" s="278"/>
      <c r="I290" s="278"/>
      <c r="J290" s="278"/>
      <c r="K290" s="279"/>
      <c r="L290" s="278"/>
      <c r="M290" s="278"/>
      <c r="N290" s="278"/>
      <c r="O290" s="278"/>
    </row>
    <row r="291" spans="1:15" s="212" customFormat="1">
      <c r="A291" s="220" t="s">
        <v>119</v>
      </c>
      <c r="B291" s="282">
        <f>SUM(B281:B289)</f>
        <v>84.677999999557542</v>
      </c>
      <c r="C291" s="282">
        <f t="shared" ref="C291:E291" si="137">SUM(C281:C289)</f>
        <v>8.8940000000778774</v>
      </c>
      <c r="D291" s="282">
        <f t="shared" si="137"/>
        <v>4.765000000066741</v>
      </c>
      <c r="E291" s="282">
        <f t="shared" si="137"/>
        <v>98.336999999702158</v>
      </c>
      <c r="F291" s="282"/>
      <c r="G291" s="282">
        <f t="shared" ref="G291:J291" si="138">SUM(G281:G289)</f>
        <v>91.166999999624025</v>
      </c>
      <c r="H291" s="282">
        <f t="shared" si="138"/>
        <v>8.1310000000388438</v>
      </c>
      <c r="I291" s="282">
        <f t="shared" si="138"/>
        <v>4.9680000000245528</v>
      </c>
      <c r="J291" s="282">
        <f t="shared" si="138"/>
        <v>104.26599999968744</v>
      </c>
      <c r="K291" s="282"/>
      <c r="L291" s="282">
        <f t="shared" ref="L291:O291" si="139">SUM(L281:L289)</f>
        <v>80.624000000496309</v>
      </c>
      <c r="M291" s="282">
        <f t="shared" si="139"/>
        <v>6.8700000000738299</v>
      </c>
      <c r="N291" s="282">
        <f t="shared" si="139"/>
        <v>4.6840000000801476</v>
      </c>
      <c r="O291" s="282">
        <f t="shared" si="139"/>
        <v>92.178000000650272</v>
      </c>
    </row>
    <row r="292" spans="1:15" s="212" customFormat="1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6"/>
    </row>
    <row r="293" spans="1:15" s="212" customFormat="1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6"/>
      <c r="O293" s="227" t="s">
        <v>114</v>
      </c>
    </row>
    <row r="294" spans="1:15" s="212" customFormat="1" ht="12.95">
      <c r="A294" s="218"/>
      <c r="B294" s="218"/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</row>
    <row r="295" spans="1:15" s="212" customFormat="1" ht="12.95">
      <c r="A295" s="217" t="str">
        <f>name!A20</f>
        <v>Electrical equipment</v>
      </c>
      <c r="B295" s="369">
        <f>$B$6</f>
        <v>2015</v>
      </c>
      <c r="C295" s="369"/>
      <c r="D295" s="369"/>
      <c r="E295" s="369"/>
      <c r="F295" s="239"/>
      <c r="G295" s="369">
        <f>$G$6</f>
        <v>2020</v>
      </c>
      <c r="H295" s="369"/>
      <c r="I295" s="369"/>
      <c r="J295" s="369"/>
      <c r="K295" s="239"/>
      <c r="L295" s="369">
        <f>$L$6</f>
        <v>2035</v>
      </c>
      <c r="M295" s="369"/>
      <c r="N295" s="369"/>
      <c r="O295" s="369"/>
    </row>
    <row r="296" spans="1:15" s="212" customFormat="1" ht="12.95">
      <c r="A296" s="230"/>
      <c r="B296" s="244" t="str">
        <f>$B$7</f>
        <v>FT</v>
      </c>
      <c r="C296" s="244" t="str">
        <f>$C$7</f>
        <v>PT</v>
      </c>
      <c r="D296" s="244" t="str">
        <f>$D$7</f>
        <v>SE</v>
      </c>
      <c r="E296" s="244" t="str">
        <f>$E$7</f>
        <v>Total</v>
      </c>
      <c r="F296" s="244"/>
      <c r="G296" s="244" t="str">
        <f>$G$7</f>
        <v>FT</v>
      </c>
      <c r="H296" s="244" t="str">
        <f>$H$7</f>
        <v>PT</v>
      </c>
      <c r="I296" s="244" t="str">
        <f>$I$7</f>
        <v>SE</v>
      </c>
      <c r="J296" s="244" t="str">
        <f>$J$7</f>
        <v>Total</v>
      </c>
      <c r="K296" s="244"/>
      <c r="L296" s="244" t="str">
        <f>$L$7</f>
        <v>FT</v>
      </c>
      <c r="M296" s="244" t="str">
        <f>$M$7</f>
        <v>PT</v>
      </c>
      <c r="N296" s="244" t="str">
        <f>$N$7</f>
        <v>SE</v>
      </c>
      <c r="O296" s="244" t="str">
        <f>$O$7</f>
        <v>Total</v>
      </c>
    </row>
    <row r="297" spans="1:15" s="212" customFormat="1" ht="12.95">
      <c r="A297" s="234"/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  <c r="N297" s="215"/>
      <c r="O297" s="215"/>
    </row>
    <row r="298" spans="1:15" s="212" customFormat="1">
      <c r="A298" s="213" t="str">
        <f>name!E$4</f>
        <v>Managers, directors and senior officials</v>
      </c>
      <c r="B298" s="278">
        <v>9.4469371741146002</v>
      </c>
      <c r="C298" s="278">
        <v>0.50812147664710428</v>
      </c>
      <c r="D298" s="278">
        <v>0.58092407070056695</v>
      </c>
      <c r="E298" s="278">
        <f>SUM(B298:D298)</f>
        <v>10.535982721462272</v>
      </c>
      <c r="F298" s="279"/>
      <c r="G298" s="278">
        <v>8.287492629765735</v>
      </c>
      <c r="H298" s="278">
        <v>0.904470716883222</v>
      </c>
      <c r="I298" s="278">
        <v>1.0985155458365961</v>
      </c>
      <c r="J298" s="278">
        <f>SUM(G298:I298)</f>
        <v>10.290478892485554</v>
      </c>
      <c r="K298" s="279"/>
      <c r="L298" s="278">
        <v>6.7659901887822427</v>
      </c>
      <c r="M298" s="278">
        <v>1.0644617135730852</v>
      </c>
      <c r="N298" s="278">
        <v>1.1252148547672558</v>
      </c>
      <c r="O298" s="278">
        <f>SUM(L298:N298)</f>
        <v>8.9556667571225841</v>
      </c>
    </row>
    <row r="299" spans="1:15" s="212" customFormat="1">
      <c r="A299" s="213" t="str">
        <f>name!E$5</f>
        <v>Professional occupations</v>
      </c>
      <c r="B299" s="278">
        <v>12.392442312711593</v>
      </c>
      <c r="C299" s="278">
        <v>0.47796697989035808</v>
      </c>
      <c r="D299" s="278">
        <v>0.27632165439536904</v>
      </c>
      <c r="E299" s="278">
        <f t="shared" ref="E299:E306" si="140">SUM(B299:D299)</f>
        <v>13.146730946997319</v>
      </c>
      <c r="F299" s="279"/>
      <c r="G299" s="278">
        <v>11.840976780019133</v>
      </c>
      <c r="H299" s="278">
        <v>0.8622771299617118</v>
      </c>
      <c r="I299" s="278">
        <v>0.46666325949833226</v>
      </c>
      <c r="J299" s="278">
        <f t="shared" ref="J299:J301" si="141">SUM(G299:I299)</f>
        <v>13.169917169479177</v>
      </c>
      <c r="K299" s="279"/>
      <c r="L299" s="278">
        <v>13.543988258396793</v>
      </c>
      <c r="M299" s="278">
        <v>1.0813569260026175</v>
      </c>
      <c r="N299" s="278">
        <v>0.41532611530814839</v>
      </c>
      <c r="O299" s="278">
        <f t="shared" ref="O299:O306" si="142">SUM(L299:N299)</f>
        <v>15.04067129970756</v>
      </c>
    </row>
    <row r="300" spans="1:15" s="212" customFormat="1">
      <c r="A300" s="213" t="str">
        <f>name!E$6</f>
        <v>Associate professional occupations</v>
      </c>
      <c r="B300" s="278">
        <v>8.8979519289174576</v>
      </c>
      <c r="C300" s="278">
        <v>0.59594792476160707</v>
      </c>
      <c r="D300" s="278">
        <v>0.20652522780057905</v>
      </c>
      <c r="E300" s="278">
        <f t="shared" si="140"/>
        <v>9.7004250814796436</v>
      </c>
      <c r="F300" s="279"/>
      <c r="G300" s="278">
        <v>7.9845273265146135</v>
      </c>
      <c r="H300" s="278">
        <v>0.83920979675599261</v>
      </c>
      <c r="I300" s="278">
        <v>0.27168230064808718</v>
      </c>
      <c r="J300" s="278">
        <f t="shared" si="141"/>
        <v>9.0954194239186936</v>
      </c>
      <c r="K300" s="279"/>
      <c r="L300" s="278">
        <v>7.3380102407182726</v>
      </c>
      <c r="M300" s="278">
        <v>0.80716148542197419</v>
      </c>
      <c r="N300" s="278">
        <v>0.24881686240118539</v>
      </c>
      <c r="O300" s="278">
        <f t="shared" si="142"/>
        <v>8.3939885885414309</v>
      </c>
    </row>
    <row r="301" spans="1:15" s="212" customFormat="1">
      <c r="A301" s="213" t="str">
        <f>name!E$7</f>
        <v>Administrative and secretarial occupations</v>
      </c>
      <c r="B301" s="278">
        <v>5.1178652866208534</v>
      </c>
      <c r="C301" s="278">
        <v>1.572087057046621</v>
      </c>
      <c r="D301" s="278">
        <v>0.13513663920281216</v>
      </c>
      <c r="E301" s="278">
        <f t="shared" si="140"/>
        <v>6.8250889828702874</v>
      </c>
      <c r="F301" s="279"/>
      <c r="G301" s="278">
        <v>3.9302885658475497</v>
      </c>
      <c r="H301" s="278">
        <v>1.5882804283146315</v>
      </c>
      <c r="I301" s="278">
        <v>0.37945332906886065</v>
      </c>
      <c r="J301" s="278">
        <f t="shared" si="141"/>
        <v>5.898022323231042</v>
      </c>
      <c r="K301" s="279"/>
      <c r="L301" s="278">
        <v>3.617384601707093</v>
      </c>
      <c r="M301" s="278">
        <v>1.2821899202150169</v>
      </c>
      <c r="N301" s="278">
        <v>0.25716631199839696</v>
      </c>
      <c r="O301" s="278">
        <f t="shared" si="142"/>
        <v>5.156740833920507</v>
      </c>
    </row>
    <row r="302" spans="1:15" s="212" customFormat="1">
      <c r="A302" s="213" t="str">
        <f>name!E$8</f>
        <v>Skilled trades occupations</v>
      </c>
      <c r="B302" s="278">
        <v>15.343468694912216</v>
      </c>
      <c r="C302" s="278">
        <v>0.55870161232663618</v>
      </c>
      <c r="D302" s="278">
        <v>0.69632200640712538</v>
      </c>
      <c r="E302" s="278">
        <f t="shared" si="140"/>
        <v>16.598492313645977</v>
      </c>
      <c r="F302" s="279"/>
      <c r="G302" s="278">
        <v>9.3181433516532692</v>
      </c>
      <c r="H302" s="278">
        <v>0.54627837254360301</v>
      </c>
      <c r="I302" s="278">
        <v>0.41013540449948155</v>
      </c>
      <c r="J302" s="278">
        <f>SUM(G302:I302)</f>
        <v>10.274557128696353</v>
      </c>
      <c r="K302" s="279"/>
      <c r="L302" s="278">
        <v>6.8130832746738079</v>
      </c>
      <c r="M302" s="278">
        <v>0.48493450190193121</v>
      </c>
      <c r="N302" s="278">
        <v>0.63652317130741454</v>
      </c>
      <c r="O302" s="278">
        <f t="shared" si="142"/>
        <v>7.9345409478831543</v>
      </c>
    </row>
    <row r="303" spans="1:15" s="212" customFormat="1">
      <c r="A303" s="213" t="str">
        <f>name!E$9</f>
        <v>Caring, leisure and other service occupations</v>
      </c>
      <c r="B303" s="278">
        <v>1.0637194612042336</v>
      </c>
      <c r="C303" s="278">
        <v>0.21928087905755034</v>
      </c>
      <c r="D303" s="278">
        <v>7.5127962683741945E-2</v>
      </c>
      <c r="E303" s="278">
        <f t="shared" si="140"/>
        <v>1.358128302945526</v>
      </c>
      <c r="F303" s="279"/>
      <c r="G303" s="278">
        <v>0.81457604948407314</v>
      </c>
      <c r="H303" s="278">
        <v>0.21110474398188239</v>
      </c>
      <c r="I303" s="278">
        <v>0.26803799523624627</v>
      </c>
      <c r="J303" s="278">
        <f t="shared" ref="J303:J306" si="143">SUM(G303:I303)</f>
        <v>1.2937187887022019</v>
      </c>
      <c r="K303" s="279"/>
      <c r="L303" s="278">
        <v>0.66129827063810898</v>
      </c>
      <c r="M303" s="278">
        <v>0.14417808297575366</v>
      </c>
      <c r="N303" s="278">
        <v>0.34052820598773037</v>
      </c>
      <c r="O303" s="278">
        <f t="shared" si="142"/>
        <v>1.1460045596015931</v>
      </c>
    </row>
    <row r="304" spans="1:15" s="212" customFormat="1">
      <c r="A304" s="213" t="str">
        <f>name!E$10</f>
        <v>Sales and customer service occupations</v>
      </c>
      <c r="B304" s="278">
        <v>1.8667142851294412</v>
      </c>
      <c r="C304" s="278">
        <v>0.47175917472449724</v>
      </c>
      <c r="D304" s="278">
        <v>7.1393871345193052E-2</v>
      </c>
      <c r="E304" s="278">
        <f t="shared" si="140"/>
        <v>2.4098673311991314</v>
      </c>
      <c r="F304" s="279"/>
      <c r="G304" s="278">
        <v>1.4065559970824919</v>
      </c>
      <c r="H304" s="278">
        <v>0.60001826383954282</v>
      </c>
      <c r="I304" s="278">
        <v>0.12934140991109133</v>
      </c>
      <c r="J304" s="278">
        <f t="shared" si="143"/>
        <v>2.1359156708331262</v>
      </c>
      <c r="K304" s="279"/>
      <c r="L304" s="278">
        <v>1.3567206297007706</v>
      </c>
      <c r="M304" s="278">
        <v>0.69013971983310285</v>
      </c>
      <c r="N304" s="278">
        <v>0.10008277028397407</v>
      </c>
      <c r="O304" s="278">
        <f t="shared" si="142"/>
        <v>2.1469431198178475</v>
      </c>
    </row>
    <row r="305" spans="1:15" s="212" customFormat="1">
      <c r="A305" s="213" t="str">
        <f>name!E$11</f>
        <v>Process, plant and machine operatives</v>
      </c>
      <c r="B305" s="278">
        <v>10.514720048198823</v>
      </c>
      <c r="C305" s="278">
        <v>0.60931738094176013</v>
      </c>
      <c r="D305" s="278">
        <v>0.18968481509123172</v>
      </c>
      <c r="E305" s="278">
        <f t="shared" si="140"/>
        <v>11.313722244231815</v>
      </c>
      <c r="F305" s="279"/>
      <c r="G305" s="278">
        <v>5.628979361668744</v>
      </c>
      <c r="H305" s="278">
        <v>0.60983104120387976</v>
      </c>
      <c r="I305" s="278">
        <v>0.29635615990580538</v>
      </c>
      <c r="J305" s="278">
        <f t="shared" si="143"/>
        <v>6.5351665627784294</v>
      </c>
      <c r="K305" s="279"/>
      <c r="L305" s="278">
        <v>4.4465288694966807</v>
      </c>
      <c r="M305" s="278">
        <v>0.63011384673287529</v>
      </c>
      <c r="N305" s="278">
        <v>0.35654655552652342</v>
      </c>
      <c r="O305" s="278">
        <f t="shared" si="142"/>
        <v>5.4331892717560795</v>
      </c>
    </row>
    <row r="306" spans="1:15" s="212" customFormat="1">
      <c r="A306" s="213" t="str">
        <f>name!E$12</f>
        <v>Elementary occupations</v>
      </c>
      <c r="B306" s="278">
        <v>3.2831808079216334</v>
      </c>
      <c r="C306" s="278">
        <v>0.3358175146332969</v>
      </c>
      <c r="D306" s="278">
        <v>9.7563752378463625E-2</v>
      </c>
      <c r="E306" s="278">
        <f t="shared" si="140"/>
        <v>3.7165620749333939</v>
      </c>
      <c r="F306" s="279"/>
      <c r="G306" s="278">
        <v>1.8644599378050981</v>
      </c>
      <c r="H306" s="278">
        <v>0.35952950653968019</v>
      </c>
      <c r="I306" s="278">
        <v>0.16481459537282409</v>
      </c>
      <c r="J306" s="278">
        <f t="shared" si="143"/>
        <v>2.3888040397176025</v>
      </c>
      <c r="K306" s="279"/>
      <c r="L306" s="278">
        <v>1.6789956662494914</v>
      </c>
      <c r="M306" s="278">
        <v>0.64446380336930109</v>
      </c>
      <c r="N306" s="278">
        <v>0.37379515239002198</v>
      </c>
      <c r="O306" s="278">
        <f t="shared" si="142"/>
        <v>2.6972546220088143</v>
      </c>
    </row>
    <row r="307" spans="1:15" s="212" customFormat="1">
      <c r="A307" s="213"/>
      <c r="B307" s="278"/>
      <c r="C307" s="278"/>
      <c r="D307" s="278"/>
      <c r="E307" s="278"/>
      <c r="F307" s="279"/>
      <c r="G307" s="278"/>
      <c r="H307" s="278"/>
      <c r="I307" s="278"/>
      <c r="J307" s="278"/>
      <c r="K307" s="279"/>
      <c r="L307" s="278"/>
      <c r="M307" s="278"/>
      <c r="N307" s="278"/>
      <c r="O307" s="278"/>
    </row>
    <row r="308" spans="1:15" s="212" customFormat="1">
      <c r="A308" s="220" t="s">
        <v>119</v>
      </c>
      <c r="B308" s="282">
        <f>SUM(B298:B306)</f>
        <v>67.926999999730853</v>
      </c>
      <c r="C308" s="282">
        <f t="shared" ref="C308:E308" si="144">SUM(C298:C306)</f>
        <v>5.3490000000294309</v>
      </c>
      <c r="D308" s="282">
        <f t="shared" si="144"/>
        <v>2.3290000000050828</v>
      </c>
      <c r="E308" s="282">
        <f t="shared" si="144"/>
        <v>75.604999999765354</v>
      </c>
      <c r="F308" s="282"/>
      <c r="G308" s="282">
        <f t="shared" ref="G308:J308" si="145">SUM(G298:G306)</f>
        <v>51.075999999840711</v>
      </c>
      <c r="H308" s="282">
        <f t="shared" si="145"/>
        <v>6.5210000000241468</v>
      </c>
      <c r="I308" s="282">
        <f t="shared" si="145"/>
        <v>3.4849999999773247</v>
      </c>
      <c r="J308" s="282">
        <f t="shared" si="145"/>
        <v>61.081999999842175</v>
      </c>
      <c r="K308" s="282"/>
      <c r="L308" s="282">
        <f t="shared" ref="L308:O308" si="146">SUM(L298:L306)</f>
        <v>46.222000000363259</v>
      </c>
      <c r="M308" s="282">
        <f t="shared" si="146"/>
        <v>6.8290000000256583</v>
      </c>
      <c r="N308" s="282">
        <f t="shared" si="146"/>
        <v>3.8539999999706507</v>
      </c>
      <c r="O308" s="282">
        <f t="shared" si="146"/>
        <v>56.905000000359571</v>
      </c>
    </row>
    <row r="309" spans="1:15" s="212" customFormat="1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6"/>
    </row>
    <row r="310" spans="1:15" s="212" customFormat="1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6"/>
      <c r="O310" s="227" t="s">
        <v>114</v>
      </c>
    </row>
    <row r="311" spans="1:15" s="212" customFormat="1" ht="12.95">
      <c r="A311" s="218"/>
      <c r="B311" s="218"/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</row>
    <row r="312" spans="1:15" s="212" customFormat="1" ht="12.95">
      <c r="A312" s="217" t="str">
        <f>name!A21</f>
        <v>Machinery n.e.c.</v>
      </c>
      <c r="B312" s="369">
        <f>$B$6</f>
        <v>2015</v>
      </c>
      <c r="C312" s="369"/>
      <c r="D312" s="369"/>
      <c r="E312" s="369"/>
      <c r="F312" s="239"/>
      <c r="G312" s="369">
        <f>$G$6</f>
        <v>2020</v>
      </c>
      <c r="H312" s="369"/>
      <c r="I312" s="369"/>
      <c r="J312" s="369"/>
      <c r="K312" s="239"/>
      <c r="L312" s="369">
        <f>$L$6</f>
        <v>2035</v>
      </c>
      <c r="M312" s="369"/>
      <c r="N312" s="369"/>
      <c r="O312" s="369"/>
    </row>
    <row r="313" spans="1:15" s="212" customFormat="1" ht="12.95">
      <c r="A313" s="230"/>
      <c r="B313" s="244" t="str">
        <f>$B$7</f>
        <v>FT</v>
      </c>
      <c r="C313" s="244" t="str">
        <f>$C$7</f>
        <v>PT</v>
      </c>
      <c r="D313" s="244" t="str">
        <f>$D$7</f>
        <v>SE</v>
      </c>
      <c r="E313" s="244" t="str">
        <f>$E$7</f>
        <v>Total</v>
      </c>
      <c r="F313" s="244"/>
      <c r="G313" s="244" t="str">
        <f>$G$7</f>
        <v>FT</v>
      </c>
      <c r="H313" s="244" t="str">
        <f>$H$7</f>
        <v>PT</v>
      </c>
      <c r="I313" s="244" t="str">
        <f>$I$7</f>
        <v>SE</v>
      </c>
      <c r="J313" s="244" t="str">
        <f>$J$7</f>
        <v>Total</v>
      </c>
      <c r="K313" s="244"/>
      <c r="L313" s="244" t="str">
        <f>$L$7</f>
        <v>FT</v>
      </c>
      <c r="M313" s="244" t="str">
        <f>$M$7</f>
        <v>PT</v>
      </c>
      <c r="N313" s="244" t="str">
        <f>$N$7</f>
        <v>SE</v>
      </c>
      <c r="O313" s="244" t="str">
        <f>$O$7</f>
        <v>Total</v>
      </c>
    </row>
    <row r="314" spans="1:15" s="212" customFormat="1" ht="12.95">
      <c r="A314" s="234"/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  <c r="N314" s="215"/>
      <c r="O314" s="215"/>
    </row>
    <row r="315" spans="1:15" s="212" customFormat="1">
      <c r="A315" s="213" t="str">
        <f>name!E$4</f>
        <v>Managers, directors and senior officials</v>
      </c>
      <c r="B315" s="278">
        <v>18.635994545421973</v>
      </c>
      <c r="C315" s="278">
        <v>0.94284760732272677</v>
      </c>
      <c r="D315" s="278">
        <v>2.0444702384378139</v>
      </c>
      <c r="E315" s="278">
        <f>SUM(B315:D315)</f>
        <v>21.623312391182512</v>
      </c>
      <c r="F315" s="279"/>
      <c r="G315" s="278">
        <v>20.784485410344427</v>
      </c>
      <c r="H315" s="278">
        <v>1.6202810985613785</v>
      </c>
      <c r="I315" s="278">
        <v>2.1957083348302149</v>
      </c>
      <c r="J315" s="278">
        <f>SUM(G315:I315)</f>
        <v>24.60047484373602</v>
      </c>
      <c r="K315" s="279"/>
      <c r="L315" s="278">
        <v>17.2187871596985</v>
      </c>
      <c r="M315" s="278">
        <v>1.7039202383871199</v>
      </c>
      <c r="N315" s="278">
        <v>2.0277566979731838</v>
      </c>
      <c r="O315" s="278">
        <f>SUM(L315:N315)</f>
        <v>20.950464096058806</v>
      </c>
    </row>
    <row r="316" spans="1:15" s="212" customFormat="1">
      <c r="A316" s="213" t="str">
        <f>name!E$5</f>
        <v>Professional occupations</v>
      </c>
      <c r="B316" s="278">
        <v>26.785068297083839</v>
      </c>
      <c r="C316" s="278">
        <v>0.66132092930557651</v>
      </c>
      <c r="D316" s="278">
        <v>1.2956529861913655</v>
      </c>
      <c r="E316" s="278">
        <f t="shared" ref="E316:E323" si="147">SUM(B316:D316)</f>
        <v>28.742042212580785</v>
      </c>
      <c r="F316" s="279"/>
      <c r="G316" s="278">
        <v>33.172129217360727</v>
      </c>
      <c r="H316" s="278">
        <v>1.2377899488971102</v>
      </c>
      <c r="I316" s="278">
        <v>1.1538601046328945</v>
      </c>
      <c r="J316" s="278">
        <f t="shared" ref="J316:J318" si="148">SUM(G316:I316)</f>
        <v>35.563779270890734</v>
      </c>
      <c r="K316" s="279"/>
      <c r="L316" s="278">
        <v>38.323975787921498</v>
      </c>
      <c r="M316" s="278">
        <v>1.341018074640034</v>
      </c>
      <c r="N316" s="278">
        <v>0.76916310651065001</v>
      </c>
      <c r="O316" s="278">
        <f t="shared" ref="O316:O323" si="149">SUM(L316:N316)</f>
        <v>40.434156969072184</v>
      </c>
    </row>
    <row r="317" spans="1:15" s="212" customFormat="1">
      <c r="A317" s="213" t="str">
        <f>name!E$6</f>
        <v>Associate professional occupations</v>
      </c>
      <c r="B317" s="278">
        <v>16.754215620211287</v>
      </c>
      <c r="C317" s="278">
        <v>0.60518857441624607</v>
      </c>
      <c r="D317" s="278">
        <v>0.62585247632802121</v>
      </c>
      <c r="E317" s="278">
        <f t="shared" si="147"/>
        <v>17.985256670955554</v>
      </c>
      <c r="F317" s="279"/>
      <c r="G317" s="278">
        <v>19.617225663754784</v>
      </c>
      <c r="H317" s="278">
        <v>0.88755800582266309</v>
      </c>
      <c r="I317" s="278">
        <v>0.51795422140361336</v>
      </c>
      <c r="J317" s="278">
        <f t="shared" si="148"/>
        <v>21.022737890981059</v>
      </c>
      <c r="K317" s="279"/>
      <c r="L317" s="278">
        <v>17.353967688810688</v>
      </c>
      <c r="M317" s="278">
        <v>0.75089762970439189</v>
      </c>
      <c r="N317" s="278">
        <v>0.46790611527898213</v>
      </c>
      <c r="O317" s="278">
        <f t="shared" si="149"/>
        <v>18.572771433794063</v>
      </c>
    </row>
    <row r="318" spans="1:15" s="212" customFormat="1">
      <c r="A318" s="213" t="str">
        <f>name!E$7</f>
        <v>Administrative and secretarial occupations</v>
      </c>
      <c r="B318" s="278">
        <v>8.6009408581425291</v>
      </c>
      <c r="C318" s="278">
        <v>2.4563115390166756</v>
      </c>
      <c r="D318" s="278">
        <v>0.42323455165091856</v>
      </c>
      <c r="E318" s="278">
        <f t="shared" si="147"/>
        <v>11.480486948810123</v>
      </c>
      <c r="F318" s="279"/>
      <c r="G318" s="278">
        <v>9.3440300285167268</v>
      </c>
      <c r="H318" s="278">
        <v>3.021352977260348</v>
      </c>
      <c r="I318" s="278">
        <v>0.46927392096683185</v>
      </c>
      <c r="J318" s="278">
        <f t="shared" si="148"/>
        <v>12.834656926743905</v>
      </c>
      <c r="K318" s="279"/>
      <c r="L318" s="278">
        <v>8.166819167141723</v>
      </c>
      <c r="M318" s="278">
        <v>2.0356061180818759</v>
      </c>
      <c r="N318" s="278">
        <v>0.29399505409474963</v>
      </c>
      <c r="O318" s="278">
        <f t="shared" si="149"/>
        <v>10.496420339318348</v>
      </c>
    </row>
    <row r="319" spans="1:15" s="212" customFormat="1">
      <c r="A319" s="213" t="str">
        <f>name!E$8</f>
        <v>Skilled trades occupations</v>
      </c>
      <c r="B319" s="278">
        <v>39.069548489344122</v>
      </c>
      <c r="C319" s="278">
        <v>0.79556171802127551</v>
      </c>
      <c r="D319" s="278">
        <v>3.4347800955793857</v>
      </c>
      <c r="E319" s="278">
        <f t="shared" si="147"/>
        <v>43.299890302944782</v>
      </c>
      <c r="F319" s="279"/>
      <c r="G319" s="278">
        <v>31.740590796579763</v>
      </c>
      <c r="H319" s="278">
        <v>0.72793224127232314</v>
      </c>
      <c r="I319" s="278">
        <v>2.112129822686291</v>
      </c>
      <c r="J319" s="278">
        <f>SUM(G319:I319)</f>
        <v>34.580652860538379</v>
      </c>
      <c r="K319" s="279"/>
      <c r="L319" s="278">
        <v>22.869622047314923</v>
      </c>
      <c r="M319" s="278">
        <v>0.70667174700372071</v>
      </c>
      <c r="N319" s="278">
        <v>2.1062902731068194</v>
      </c>
      <c r="O319" s="278">
        <f t="shared" si="149"/>
        <v>25.682584067425463</v>
      </c>
    </row>
    <row r="320" spans="1:15" s="212" customFormat="1">
      <c r="A320" s="213" t="str">
        <f>name!E$9</f>
        <v>Caring, leisure and other service occupations</v>
      </c>
      <c r="B320" s="278">
        <v>1.1322984905739153</v>
      </c>
      <c r="C320" s="278">
        <v>0.37085932117498982</v>
      </c>
      <c r="D320" s="278">
        <v>0.21403979163344855</v>
      </c>
      <c r="E320" s="278">
        <f t="shared" si="147"/>
        <v>1.7171976033823535</v>
      </c>
      <c r="F320" s="279"/>
      <c r="G320" s="278">
        <v>1.0045880415562176</v>
      </c>
      <c r="H320" s="278">
        <v>0.36932027390180677</v>
      </c>
      <c r="I320" s="278">
        <v>0.30124399632153892</v>
      </c>
      <c r="J320" s="278">
        <f t="shared" ref="J320:J323" si="150">SUM(G320:I320)</f>
        <v>1.6751523117795633</v>
      </c>
      <c r="K320" s="279"/>
      <c r="L320" s="278">
        <v>0.67724467633860763</v>
      </c>
      <c r="M320" s="278">
        <v>0.23301834386110504</v>
      </c>
      <c r="N320" s="278">
        <v>0.39400943302937541</v>
      </c>
      <c r="O320" s="278">
        <f t="shared" si="149"/>
        <v>1.3042724532290881</v>
      </c>
    </row>
    <row r="321" spans="1:15" s="212" customFormat="1">
      <c r="A321" s="213" t="str">
        <f>name!E$10</f>
        <v>Sales and customer service occupations</v>
      </c>
      <c r="B321" s="278">
        <v>4.0363080492612857</v>
      </c>
      <c r="C321" s="278">
        <v>0.54676572051620942</v>
      </c>
      <c r="D321" s="278">
        <v>0.2416550794599609</v>
      </c>
      <c r="E321" s="278">
        <f t="shared" si="147"/>
        <v>4.8247288492374558</v>
      </c>
      <c r="F321" s="279"/>
      <c r="G321" s="278">
        <v>3.9914854459180207</v>
      </c>
      <c r="H321" s="278">
        <v>0.75165782463352937</v>
      </c>
      <c r="I321" s="278">
        <v>0.20258739078494112</v>
      </c>
      <c r="J321" s="278">
        <f t="shared" si="150"/>
        <v>4.9457306613364906</v>
      </c>
      <c r="K321" s="279"/>
      <c r="L321" s="278">
        <v>3.5334322796398454</v>
      </c>
      <c r="M321" s="278">
        <v>0.85475008735460134</v>
      </c>
      <c r="N321" s="278">
        <v>0.15142884577740748</v>
      </c>
      <c r="O321" s="278">
        <f t="shared" si="149"/>
        <v>4.5396112127718542</v>
      </c>
    </row>
    <row r="322" spans="1:15" s="212" customFormat="1">
      <c r="A322" s="213" t="str">
        <f>name!E$11</f>
        <v>Process, plant and machine operatives</v>
      </c>
      <c r="B322" s="278">
        <v>19.216826558088062</v>
      </c>
      <c r="C322" s="278">
        <v>0.62870861568293435</v>
      </c>
      <c r="D322" s="278">
        <v>0.53651856439666146</v>
      </c>
      <c r="E322" s="278">
        <f t="shared" si="147"/>
        <v>20.382053738167659</v>
      </c>
      <c r="F322" s="279"/>
      <c r="G322" s="278">
        <v>15.242783631582661</v>
      </c>
      <c r="H322" s="278">
        <v>0.77600612071774833</v>
      </c>
      <c r="I322" s="278">
        <v>0.46048060174507544</v>
      </c>
      <c r="J322" s="278">
        <f t="shared" si="150"/>
        <v>16.479270354045486</v>
      </c>
      <c r="K322" s="279"/>
      <c r="L322" s="278">
        <v>12.204149962871622</v>
      </c>
      <c r="M322" s="278">
        <v>0.65886547754833713</v>
      </c>
      <c r="N322" s="278">
        <v>0.55410236437004579</v>
      </c>
      <c r="O322" s="278">
        <f t="shared" si="149"/>
        <v>13.417117804790005</v>
      </c>
    </row>
    <row r="323" spans="1:15" s="212" customFormat="1">
      <c r="A323" s="213" t="str">
        <f>name!E$12</f>
        <v>Elementary occupations</v>
      </c>
      <c r="B323" s="278">
        <v>6.1727990913421742</v>
      </c>
      <c r="C323" s="278">
        <v>0.57643597458901163</v>
      </c>
      <c r="D323" s="278">
        <v>0.40879621632402202</v>
      </c>
      <c r="E323" s="278">
        <f t="shared" si="147"/>
        <v>7.1580312822552079</v>
      </c>
      <c r="F323" s="279"/>
      <c r="G323" s="278">
        <v>4.6496817639414125</v>
      </c>
      <c r="H323" s="278">
        <v>0.65310150897244945</v>
      </c>
      <c r="I323" s="278">
        <v>0.30276160658168422</v>
      </c>
      <c r="J323" s="278">
        <f t="shared" si="150"/>
        <v>5.6055448794955458</v>
      </c>
      <c r="K323" s="279"/>
      <c r="L323" s="278">
        <v>4.2280012309105954</v>
      </c>
      <c r="M323" s="278">
        <v>0.96825228347715753</v>
      </c>
      <c r="N323" s="278">
        <v>0.4993481097640135</v>
      </c>
      <c r="O323" s="278">
        <f t="shared" si="149"/>
        <v>5.6956016241517666</v>
      </c>
    </row>
    <row r="324" spans="1:15" s="212" customFormat="1">
      <c r="A324" s="213"/>
      <c r="B324" s="278"/>
      <c r="C324" s="278"/>
      <c r="D324" s="278"/>
      <c r="E324" s="278"/>
      <c r="F324" s="279"/>
      <c r="G324" s="278"/>
      <c r="H324" s="278"/>
      <c r="I324" s="278"/>
      <c r="J324" s="278"/>
      <c r="K324" s="279"/>
      <c r="L324" s="278"/>
      <c r="M324" s="278"/>
      <c r="N324" s="278"/>
      <c r="O324" s="278"/>
    </row>
    <row r="325" spans="1:15" s="212" customFormat="1">
      <c r="A325" s="220" t="s">
        <v>119</v>
      </c>
      <c r="B325" s="282">
        <f>SUM(B315:B323)</f>
        <v>140.40399999946919</v>
      </c>
      <c r="C325" s="282">
        <f t="shared" ref="C325:E325" si="151">SUM(C315:C323)</f>
        <v>7.5840000000456449</v>
      </c>
      <c r="D325" s="282">
        <f t="shared" si="151"/>
        <v>9.2250000000015966</v>
      </c>
      <c r="E325" s="282">
        <f t="shared" si="151"/>
        <v>157.2129999995164</v>
      </c>
      <c r="F325" s="282"/>
      <c r="G325" s="282">
        <f t="shared" ref="G325:J325" si="152">SUM(G315:G323)</f>
        <v>139.54699999955471</v>
      </c>
      <c r="H325" s="282">
        <f t="shared" si="152"/>
        <v>10.045000000039357</v>
      </c>
      <c r="I325" s="282">
        <f t="shared" si="152"/>
        <v>7.7159999999530839</v>
      </c>
      <c r="J325" s="282">
        <f t="shared" si="152"/>
        <v>157.30799999954718</v>
      </c>
      <c r="K325" s="282"/>
      <c r="L325" s="282">
        <f t="shared" ref="L325:O325" si="153">SUM(L315:L323)</f>
        <v>124.57600000064799</v>
      </c>
      <c r="M325" s="282">
        <f t="shared" si="153"/>
        <v>9.2530000000583428</v>
      </c>
      <c r="N325" s="282">
        <f t="shared" si="153"/>
        <v>7.2639999999052263</v>
      </c>
      <c r="O325" s="282">
        <f t="shared" si="153"/>
        <v>141.0930000006116</v>
      </c>
    </row>
    <row r="326" spans="1:15" s="212" customFormat="1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6"/>
    </row>
    <row r="327" spans="1:15" s="212" customFormat="1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6"/>
      <c r="O327" s="227" t="s">
        <v>114</v>
      </c>
    </row>
    <row r="328" spans="1:15" s="212" customFormat="1" ht="12.95">
      <c r="A328" s="218"/>
      <c r="B328" s="218"/>
      <c r="C328" s="218"/>
      <c r="D328" s="218"/>
      <c r="E328" s="218"/>
      <c r="F328" s="218"/>
      <c r="G328" s="218"/>
      <c r="H328" s="218"/>
      <c r="I328" s="218"/>
      <c r="J328" s="218"/>
      <c r="K328" s="218"/>
      <c r="L328" s="218"/>
      <c r="M328" s="218"/>
      <c r="N328" s="218"/>
      <c r="O328" s="218"/>
    </row>
    <row r="329" spans="1:15" s="212" customFormat="1" ht="12.95">
      <c r="A329" s="217" t="str">
        <f>name!A22</f>
        <v>Motor vehicles, etc</v>
      </c>
      <c r="B329" s="369">
        <f>$B$6</f>
        <v>2015</v>
      </c>
      <c r="C329" s="369"/>
      <c r="D329" s="369"/>
      <c r="E329" s="369"/>
      <c r="F329" s="239"/>
      <c r="G329" s="369">
        <f>$G$6</f>
        <v>2020</v>
      </c>
      <c r="H329" s="369"/>
      <c r="I329" s="369"/>
      <c r="J329" s="369"/>
      <c r="K329" s="239"/>
      <c r="L329" s="369">
        <f>$L$6</f>
        <v>2035</v>
      </c>
      <c r="M329" s="369"/>
      <c r="N329" s="369"/>
      <c r="O329" s="369"/>
    </row>
    <row r="330" spans="1:15" s="212" customFormat="1" ht="12.95">
      <c r="A330" s="230"/>
      <c r="B330" s="244" t="str">
        <f>$B$7</f>
        <v>FT</v>
      </c>
      <c r="C330" s="244" t="str">
        <f>$C$7</f>
        <v>PT</v>
      </c>
      <c r="D330" s="244" t="str">
        <f>$D$7</f>
        <v>SE</v>
      </c>
      <c r="E330" s="244" t="str">
        <f>$E$7</f>
        <v>Total</v>
      </c>
      <c r="F330" s="244"/>
      <c r="G330" s="244" t="str">
        <f>$G$7</f>
        <v>FT</v>
      </c>
      <c r="H330" s="244" t="str">
        <f>$H$7</f>
        <v>PT</v>
      </c>
      <c r="I330" s="244" t="str">
        <f>$I$7</f>
        <v>SE</v>
      </c>
      <c r="J330" s="244" t="str">
        <f>$J$7</f>
        <v>Total</v>
      </c>
      <c r="K330" s="244"/>
      <c r="L330" s="244" t="str">
        <f>$L$7</f>
        <v>FT</v>
      </c>
      <c r="M330" s="244" t="str">
        <f>$M$7</f>
        <v>PT</v>
      </c>
      <c r="N330" s="244" t="str">
        <f>$N$7</f>
        <v>SE</v>
      </c>
      <c r="O330" s="244" t="str">
        <f>$O$7</f>
        <v>Total</v>
      </c>
    </row>
    <row r="331" spans="1:15" s="212" customFormat="1" ht="12.95">
      <c r="A331" s="234"/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  <c r="N331" s="215"/>
      <c r="O331" s="215"/>
    </row>
    <row r="332" spans="1:15" s="212" customFormat="1">
      <c r="A332" s="213" t="str">
        <f>name!E$4</f>
        <v>Managers, directors and senior officials</v>
      </c>
      <c r="B332" s="278">
        <v>8.9866246316966034</v>
      </c>
      <c r="C332" s="278">
        <v>0.18265480439267551</v>
      </c>
      <c r="D332" s="278">
        <v>0.88050275989223792</v>
      </c>
      <c r="E332" s="278">
        <f>SUM(B332:D332)</f>
        <v>10.049782195981518</v>
      </c>
      <c r="F332" s="279"/>
      <c r="G332" s="278">
        <v>9.861088304139809</v>
      </c>
      <c r="H332" s="278">
        <v>0.47511322257189881</v>
      </c>
      <c r="I332" s="278">
        <v>0.75904631314947191</v>
      </c>
      <c r="J332" s="278">
        <f>SUM(G332:I332)</f>
        <v>11.09524783986118</v>
      </c>
      <c r="K332" s="279"/>
      <c r="L332" s="278">
        <v>7.8189387994285493</v>
      </c>
      <c r="M332" s="278">
        <v>0.43586186813474104</v>
      </c>
      <c r="N332" s="278">
        <v>0.68706153882157051</v>
      </c>
      <c r="O332" s="278">
        <f>SUM(L332:N332)</f>
        <v>8.9418622063848616</v>
      </c>
    </row>
    <row r="333" spans="1:15" s="212" customFormat="1">
      <c r="A333" s="213" t="str">
        <f>name!E$5</f>
        <v>Professional occupations</v>
      </c>
      <c r="B333" s="278">
        <v>23.775923481095344</v>
      </c>
      <c r="C333" s="278">
        <v>0.36565181612286257</v>
      </c>
      <c r="D333" s="278">
        <v>0.54634828457793283</v>
      </c>
      <c r="E333" s="278">
        <f t="shared" ref="E333:E340" si="154">SUM(B333:D333)</f>
        <v>24.687923581796142</v>
      </c>
      <c r="F333" s="279"/>
      <c r="G333" s="278">
        <v>28.713380315959618</v>
      </c>
      <c r="H333" s="278">
        <v>0.67982055784146589</v>
      </c>
      <c r="I333" s="278">
        <v>0.38171680678468145</v>
      </c>
      <c r="J333" s="278">
        <f t="shared" ref="J333:J335" si="155">SUM(G333:I333)</f>
        <v>29.774917680585766</v>
      </c>
      <c r="K333" s="279"/>
      <c r="L333" s="278">
        <v>33.939027817757498</v>
      </c>
      <c r="M333" s="278">
        <v>0.64569585575038191</v>
      </c>
      <c r="N333" s="278">
        <v>0.25244552507156981</v>
      </c>
      <c r="O333" s="278">
        <f t="shared" ref="O333:O340" si="156">SUM(L333:N333)</f>
        <v>34.837169198579453</v>
      </c>
    </row>
    <row r="334" spans="1:15" s="212" customFormat="1">
      <c r="A334" s="213" t="str">
        <f>name!E$6</f>
        <v>Associate professional occupations</v>
      </c>
      <c r="B334" s="278">
        <v>9.7906486722295316</v>
      </c>
      <c r="C334" s="278">
        <v>0.40259691032590661</v>
      </c>
      <c r="D334" s="278">
        <v>0.34981785243309649</v>
      </c>
      <c r="E334" s="278">
        <f t="shared" si="154"/>
        <v>10.543063434988534</v>
      </c>
      <c r="F334" s="279"/>
      <c r="G334" s="278">
        <v>11.817633920253812</v>
      </c>
      <c r="H334" s="278">
        <v>0.6002638480181427</v>
      </c>
      <c r="I334" s="278">
        <v>0.24317166899450168</v>
      </c>
      <c r="J334" s="278">
        <f t="shared" si="155"/>
        <v>12.661069437266455</v>
      </c>
      <c r="K334" s="279"/>
      <c r="L334" s="278">
        <v>10.454743698338218</v>
      </c>
      <c r="M334" s="278">
        <v>0.47246168731408661</v>
      </c>
      <c r="N334" s="278">
        <v>0.21757678033356104</v>
      </c>
      <c r="O334" s="278">
        <f t="shared" si="156"/>
        <v>11.144782165985866</v>
      </c>
    </row>
    <row r="335" spans="1:15" s="212" customFormat="1">
      <c r="A335" s="213" t="str">
        <f>name!E$7</f>
        <v>Administrative and secretarial occupations</v>
      </c>
      <c r="B335" s="278">
        <v>9.5793895888104359</v>
      </c>
      <c r="C335" s="278">
        <v>0.84703708586959303</v>
      </c>
      <c r="D335" s="278">
        <v>8.9989091403698734E-2</v>
      </c>
      <c r="E335" s="278">
        <f t="shared" si="154"/>
        <v>10.516415766083727</v>
      </c>
      <c r="F335" s="279"/>
      <c r="G335" s="278">
        <v>10.320244228895818</v>
      </c>
      <c r="H335" s="278">
        <v>0.87900533934398029</v>
      </c>
      <c r="I335" s="278">
        <v>6.3035167139242732E-2</v>
      </c>
      <c r="J335" s="278">
        <f t="shared" si="155"/>
        <v>11.262284735379041</v>
      </c>
      <c r="K335" s="279"/>
      <c r="L335" s="278">
        <v>10.270593407211818</v>
      </c>
      <c r="M335" s="278">
        <v>0.55020287878469898</v>
      </c>
      <c r="N335" s="278">
        <v>4.383659826031084E-2</v>
      </c>
      <c r="O335" s="278">
        <f t="shared" si="156"/>
        <v>10.864632884256828</v>
      </c>
    </row>
    <row r="336" spans="1:15" s="212" customFormat="1">
      <c r="A336" s="213" t="str">
        <f>name!E$8</f>
        <v>Skilled trades occupations</v>
      </c>
      <c r="B336" s="278">
        <v>35.055452355598597</v>
      </c>
      <c r="C336" s="278">
        <v>0.31568282550499671</v>
      </c>
      <c r="D336" s="278">
        <v>1.0009708362531635</v>
      </c>
      <c r="E336" s="278">
        <f t="shared" si="154"/>
        <v>36.372106017356764</v>
      </c>
      <c r="F336" s="279"/>
      <c r="G336" s="278">
        <v>28.524129606356183</v>
      </c>
      <c r="H336" s="278">
        <v>0.59959613264571454</v>
      </c>
      <c r="I336" s="278">
        <v>0.57869511320359623</v>
      </c>
      <c r="J336" s="278">
        <f>SUM(G336:I336)</f>
        <v>29.702420852205496</v>
      </c>
      <c r="K336" s="279"/>
      <c r="L336" s="278">
        <v>22.01062855784048</v>
      </c>
      <c r="M336" s="278">
        <v>0.63296968252070895</v>
      </c>
      <c r="N336" s="278">
        <v>0.62034092771088845</v>
      </c>
      <c r="O336" s="278">
        <f t="shared" si="156"/>
        <v>23.263939168072078</v>
      </c>
    </row>
    <row r="337" spans="1:15" s="212" customFormat="1">
      <c r="A337" s="213" t="str">
        <f>name!E$9</f>
        <v>Caring, leisure and other service occupations</v>
      </c>
      <c r="B337" s="278">
        <v>1.4951910249510021</v>
      </c>
      <c r="C337" s="278">
        <v>0.27170538848363968</v>
      </c>
      <c r="D337" s="278">
        <v>9.5246074238591036E-2</v>
      </c>
      <c r="E337" s="278">
        <f t="shared" si="154"/>
        <v>1.8621424876732326</v>
      </c>
      <c r="F337" s="279"/>
      <c r="G337" s="278">
        <v>1.5417843290874096</v>
      </c>
      <c r="H337" s="278">
        <v>0.5666231701882084</v>
      </c>
      <c r="I337" s="278">
        <v>8.900457903548166E-2</v>
      </c>
      <c r="J337" s="278">
        <f t="shared" ref="J337:J340" si="157">SUM(G337:I337)</f>
        <v>2.1974120783110997</v>
      </c>
      <c r="K337" s="279"/>
      <c r="L337" s="278">
        <v>1.5561929119300661</v>
      </c>
      <c r="M337" s="278">
        <v>0.52029727399960313</v>
      </c>
      <c r="N337" s="278">
        <v>0.13302471239475677</v>
      </c>
      <c r="O337" s="278">
        <f t="shared" si="156"/>
        <v>2.2095148983244259</v>
      </c>
    </row>
    <row r="338" spans="1:15" s="212" customFormat="1">
      <c r="A338" s="213" t="str">
        <f>name!E$10</f>
        <v>Sales and customer service occupations</v>
      </c>
      <c r="B338" s="278">
        <v>2.7560260652441793</v>
      </c>
      <c r="C338" s="278">
        <v>0.26704040860491018</v>
      </c>
      <c r="D338" s="278">
        <v>7.6587302105125044E-2</v>
      </c>
      <c r="E338" s="278">
        <f t="shared" si="154"/>
        <v>3.0996537759542142</v>
      </c>
      <c r="F338" s="279"/>
      <c r="G338" s="278">
        <v>2.6065951382464614</v>
      </c>
      <c r="H338" s="278">
        <v>0.44421542220406207</v>
      </c>
      <c r="I338" s="278">
        <v>4.4240962969297068E-2</v>
      </c>
      <c r="J338" s="278">
        <f t="shared" si="157"/>
        <v>3.0950515234198206</v>
      </c>
      <c r="K338" s="279"/>
      <c r="L338" s="278">
        <v>2.6333081601324078</v>
      </c>
      <c r="M338" s="278">
        <v>0.4172663160997237</v>
      </c>
      <c r="N338" s="278">
        <v>3.3501814824370417E-2</v>
      </c>
      <c r="O338" s="278">
        <f t="shared" si="156"/>
        <v>3.0840762910565021</v>
      </c>
    </row>
    <row r="339" spans="1:15" s="212" customFormat="1">
      <c r="A339" s="213" t="str">
        <f>name!E$11</f>
        <v>Process, plant and machine operatives</v>
      </c>
      <c r="B339" s="278">
        <v>31.119276840944725</v>
      </c>
      <c r="C339" s="278">
        <v>0.49277779532106453</v>
      </c>
      <c r="D339" s="278">
        <v>0.15356917759389385</v>
      </c>
      <c r="E339" s="278">
        <f t="shared" si="154"/>
        <v>31.765623813859683</v>
      </c>
      <c r="F339" s="279"/>
      <c r="G339" s="278">
        <v>24.208368400379367</v>
      </c>
      <c r="H339" s="278">
        <v>0.86119688002769612</v>
      </c>
      <c r="I339" s="278">
        <v>0.13625689966110888</v>
      </c>
      <c r="J339" s="278">
        <f t="shared" si="157"/>
        <v>25.205822180068171</v>
      </c>
      <c r="K339" s="279"/>
      <c r="L339" s="278">
        <v>20.32321007356482</v>
      </c>
      <c r="M339" s="278">
        <v>0.65631125977090332</v>
      </c>
      <c r="N339" s="278">
        <v>0.12501891629359649</v>
      </c>
      <c r="O339" s="278">
        <f t="shared" si="156"/>
        <v>21.10454024962932</v>
      </c>
    </row>
    <row r="340" spans="1:15" s="212" customFormat="1">
      <c r="A340" s="213" t="str">
        <f>name!E$12</f>
        <v>Elementary occupations</v>
      </c>
      <c r="B340" s="278">
        <v>6.1594673391903143</v>
      </c>
      <c r="C340" s="278">
        <v>0.42885296542898099</v>
      </c>
      <c r="D340" s="278">
        <v>9.7968621529959735E-2</v>
      </c>
      <c r="E340" s="278">
        <f t="shared" si="154"/>
        <v>6.6862889261492553</v>
      </c>
      <c r="F340" s="279"/>
      <c r="G340" s="278">
        <v>4.7607757561076429</v>
      </c>
      <c r="H340" s="278">
        <v>0.50216542719400603</v>
      </c>
      <c r="I340" s="278">
        <v>5.8832489061985606E-2</v>
      </c>
      <c r="J340" s="278">
        <f t="shared" si="157"/>
        <v>5.3217736723636344</v>
      </c>
      <c r="K340" s="279"/>
      <c r="L340" s="278">
        <v>3.9783565741533358</v>
      </c>
      <c r="M340" s="278">
        <v>0.58993317764569353</v>
      </c>
      <c r="N340" s="278">
        <v>4.7193186290121376E-2</v>
      </c>
      <c r="O340" s="278">
        <f t="shared" si="156"/>
        <v>4.6154829380891504</v>
      </c>
    </row>
    <row r="341" spans="1:15" s="212" customFormat="1">
      <c r="A341" s="213"/>
      <c r="B341" s="278"/>
      <c r="C341" s="278"/>
      <c r="D341" s="278"/>
      <c r="E341" s="278"/>
      <c r="F341" s="279"/>
      <c r="G341" s="278"/>
      <c r="H341" s="278"/>
      <c r="I341" s="278"/>
      <c r="J341" s="278"/>
      <c r="K341" s="279"/>
      <c r="L341" s="278"/>
      <c r="M341" s="278"/>
      <c r="N341" s="278"/>
      <c r="O341" s="278"/>
    </row>
    <row r="342" spans="1:15" s="212" customFormat="1">
      <c r="A342" s="220" t="s">
        <v>119</v>
      </c>
      <c r="B342" s="282">
        <f>SUM(B332:B340)</f>
        <v>128.71799999976071</v>
      </c>
      <c r="C342" s="282">
        <f t="shared" ref="C342:E342" si="158">SUM(C332:C340)</f>
        <v>3.5740000000546299</v>
      </c>
      <c r="D342" s="282">
        <f t="shared" si="158"/>
        <v>3.2910000000276991</v>
      </c>
      <c r="E342" s="282">
        <f t="shared" si="158"/>
        <v>135.58299999984305</v>
      </c>
      <c r="F342" s="282"/>
      <c r="G342" s="282">
        <f t="shared" ref="G342:J342" si="159">SUM(G332:G340)</f>
        <v>122.35399999942612</v>
      </c>
      <c r="H342" s="282">
        <f t="shared" si="159"/>
        <v>5.6080000000351742</v>
      </c>
      <c r="I342" s="282">
        <f t="shared" si="159"/>
        <v>2.3539999999993682</v>
      </c>
      <c r="J342" s="282">
        <f t="shared" si="159"/>
        <v>130.31599999946067</v>
      </c>
      <c r="K342" s="282"/>
      <c r="L342" s="282">
        <f t="shared" ref="L342:O342" si="160">SUM(L332:L340)</f>
        <v>112.9850000003572</v>
      </c>
      <c r="M342" s="282">
        <f t="shared" si="160"/>
        <v>4.9210000000205412</v>
      </c>
      <c r="N342" s="282">
        <f t="shared" si="160"/>
        <v>2.1600000000007458</v>
      </c>
      <c r="O342" s="282">
        <f t="shared" si="160"/>
        <v>120.06600000037849</v>
      </c>
    </row>
    <row r="343" spans="1:15" s="212" customFormat="1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6"/>
    </row>
    <row r="344" spans="1:15" s="212" customFormat="1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6"/>
      <c r="O344" s="227" t="s">
        <v>114</v>
      </c>
    </row>
    <row r="345" spans="1:15" s="212" customFormat="1" ht="12.95">
      <c r="A345" s="218"/>
      <c r="B345" s="218"/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</row>
    <row r="346" spans="1:15" s="212" customFormat="1" ht="12.95">
      <c r="A346" s="217" t="str">
        <f>name!A23</f>
        <v>Other transport equipment</v>
      </c>
      <c r="B346" s="369">
        <f>$B$6</f>
        <v>2015</v>
      </c>
      <c r="C346" s="369"/>
      <c r="D346" s="369"/>
      <c r="E346" s="369"/>
      <c r="F346" s="239"/>
      <c r="G346" s="369">
        <f>$G$6</f>
        <v>2020</v>
      </c>
      <c r="H346" s="369"/>
      <c r="I346" s="369"/>
      <c r="J346" s="369"/>
      <c r="K346" s="239"/>
      <c r="L346" s="369">
        <f>$L$6</f>
        <v>2035</v>
      </c>
      <c r="M346" s="369"/>
      <c r="N346" s="369"/>
      <c r="O346" s="369"/>
    </row>
    <row r="347" spans="1:15" s="212" customFormat="1" ht="12.95">
      <c r="A347" s="230"/>
      <c r="B347" s="244" t="str">
        <f>$B$7</f>
        <v>FT</v>
      </c>
      <c r="C347" s="244" t="str">
        <f>$C$7</f>
        <v>PT</v>
      </c>
      <c r="D347" s="244" t="str">
        <f>$D$7</f>
        <v>SE</v>
      </c>
      <c r="E347" s="244" t="str">
        <f>$E$7</f>
        <v>Total</v>
      </c>
      <c r="F347" s="244"/>
      <c r="G347" s="244" t="str">
        <f>$G$7</f>
        <v>FT</v>
      </c>
      <c r="H347" s="244" t="str">
        <f>$H$7</f>
        <v>PT</v>
      </c>
      <c r="I347" s="244" t="str">
        <f>$I$7</f>
        <v>SE</v>
      </c>
      <c r="J347" s="244" t="str">
        <f>$J$7</f>
        <v>Total</v>
      </c>
      <c r="K347" s="244"/>
      <c r="L347" s="244" t="str">
        <f>$L$7</f>
        <v>FT</v>
      </c>
      <c r="M347" s="244" t="str">
        <f>$M$7</f>
        <v>PT</v>
      </c>
      <c r="N347" s="244" t="str">
        <f>$N$7</f>
        <v>SE</v>
      </c>
      <c r="O347" s="244" t="str">
        <f>$O$7</f>
        <v>Total</v>
      </c>
    </row>
    <row r="348" spans="1:15" s="212" customFormat="1" ht="12.95">
      <c r="A348" s="234"/>
      <c r="B348" s="215"/>
      <c r="C348" s="215"/>
      <c r="D348" s="215"/>
      <c r="E348" s="215"/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</row>
    <row r="349" spans="1:15" s="212" customFormat="1">
      <c r="A349" s="213" t="str">
        <f>name!E$4</f>
        <v>Managers, directors and senior officials</v>
      </c>
      <c r="B349" s="278">
        <v>9.5755507281522085</v>
      </c>
      <c r="C349" s="278">
        <v>0.17831355928620254</v>
      </c>
      <c r="D349" s="278">
        <v>0.25542665883546156</v>
      </c>
      <c r="E349" s="278">
        <f>SUM(B349:D349)</f>
        <v>10.009290946273872</v>
      </c>
      <c r="F349" s="279"/>
      <c r="G349" s="278">
        <v>10.564577214460469</v>
      </c>
      <c r="H349" s="278">
        <v>0.6250017067950846</v>
      </c>
      <c r="I349" s="278">
        <v>0.65555357796975788</v>
      </c>
      <c r="J349" s="278">
        <f>SUM(G349:I349)</f>
        <v>11.845132499225311</v>
      </c>
      <c r="K349" s="279"/>
      <c r="L349" s="278">
        <v>7.7121621865723595</v>
      </c>
      <c r="M349" s="278">
        <v>0.53948502691927136</v>
      </c>
      <c r="N349" s="278">
        <v>0.59137266318003046</v>
      </c>
      <c r="O349" s="278">
        <f>SUM(L349:N349)</f>
        <v>8.8430198766716615</v>
      </c>
    </row>
    <row r="350" spans="1:15" s="212" customFormat="1">
      <c r="A350" s="213" t="str">
        <f>name!E$5</f>
        <v>Professional occupations</v>
      </c>
      <c r="B350" s="278">
        <v>29.372760327927629</v>
      </c>
      <c r="C350" s="278">
        <v>0.26082266195582066</v>
      </c>
      <c r="D350" s="278">
        <v>0.32620204943981007</v>
      </c>
      <c r="E350" s="278">
        <f t="shared" ref="E350:E357" si="161">SUM(B350:D350)</f>
        <v>29.959785039323261</v>
      </c>
      <c r="F350" s="279"/>
      <c r="G350" s="278">
        <v>35.560810248470048</v>
      </c>
      <c r="H350" s="278">
        <v>0.88457752714124038</v>
      </c>
      <c r="I350" s="278">
        <v>0.75237904483045825</v>
      </c>
      <c r="J350" s="278">
        <f t="shared" ref="J350:J352" si="162">SUM(G350:I350)</f>
        <v>37.197766820441743</v>
      </c>
      <c r="K350" s="279"/>
      <c r="L350" s="278">
        <v>37.605747192932284</v>
      </c>
      <c r="M350" s="278">
        <v>0.80327057594195872</v>
      </c>
      <c r="N350" s="278">
        <v>0.43469126548837822</v>
      </c>
      <c r="O350" s="278">
        <f t="shared" ref="O350:O357" si="163">SUM(L350:N350)</f>
        <v>38.843709034362618</v>
      </c>
    </row>
    <row r="351" spans="1:15" s="212" customFormat="1">
      <c r="A351" s="213" t="str">
        <f>name!E$6</f>
        <v>Associate professional occupations</v>
      </c>
      <c r="B351" s="278">
        <v>11.40872014170467</v>
      </c>
      <c r="C351" s="278">
        <v>0.13375669437085561</v>
      </c>
      <c r="D351" s="278">
        <v>0.1793278356707966</v>
      </c>
      <c r="E351" s="278">
        <f t="shared" si="161"/>
        <v>11.721804671746323</v>
      </c>
      <c r="F351" s="279"/>
      <c r="G351" s="278">
        <v>13.648517872881417</v>
      </c>
      <c r="H351" s="278">
        <v>0.40548474819783148</v>
      </c>
      <c r="I351" s="278">
        <v>0.36970083736250164</v>
      </c>
      <c r="J351" s="278">
        <f t="shared" si="162"/>
        <v>14.42370345844175</v>
      </c>
      <c r="K351" s="279"/>
      <c r="L351" s="278">
        <v>10.857196516807432</v>
      </c>
      <c r="M351" s="278">
        <v>0.29578700331634128</v>
      </c>
      <c r="N351" s="278">
        <v>0.29879866584088721</v>
      </c>
      <c r="O351" s="278">
        <f t="shared" si="163"/>
        <v>11.451782185964662</v>
      </c>
    </row>
    <row r="352" spans="1:15" s="212" customFormat="1">
      <c r="A352" s="213" t="str">
        <f>name!E$7</f>
        <v>Administrative and secretarial occupations</v>
      </c>
      <c r="B352" s="278">
        <v>7.8614900057745274</v>
      </c>
      <c r="C352" s="278">
        <v>0.43478536910120241</v>
      </c>
      <c r="D352" s="278">
        <v>5.0300382201431619E-2</v>
      </c>
      <c r="E352" s="278">
        <f t="shared" si="161"/>
        <v>8.3465757570771615</v>
      </c>
      <c r="F352" s="279"/>
      <c r="G352" s="278">
        <v>8.7789755201196371</v>
      </c>
      <c r="H352" s="278">
        <v>1.051243562984495</v>
      </c>
      <c r="I352" s="278">
        <v>8.4809428005655954E-2</v>
      </c>
      <c r="J352" s="278">
        <f t="shared" si="162"/>
        <v>9.9150285111097887</v>
      </c>
      <c r="K352" s="279"/>
      <c r="L352" s="278">
        <v>8.8480741490671377</v>
      </c>
      <c r="M352" s="278">
        <v>0.78303795208589821</v>
      </c>
      <c r="N352" s="278">
        <v>0.12942682609431486</v>
      </c>
      <c r="O352" s="278">
        <f t="shared" si="163"/>
        <v>9.7605389272473513</v>
      </c>
    </row>
    <row r="353" spans="1:15" s="212" customFormat="1">
      <c r="A353" s="213" t="str">
        <f>name!E$8</f>
        <v>Skilled trades occupations</v>
      </c>
      <c r="B353" s="278">
        <v>35.704170119019651</v>
      </c>
      <c r="C353" s="278">
        <v>0.12757239129977319</v>
      </c>
      <c r="D353" s="278">
        <v>1.5544678201478681</v>
      </c>
      <c r="E353" s="278">
        <f t="shared" si="161"/>
        <v>37.386210330467293</v>
      </c>
      <c r="F353" s="279"/>
      <c r="G353" s="278">
        <v>28.778078438026235</v>
      </c>
      <c r="H353" s="278">
        <v>0.23053893963387004</v>
      </c>
      <c r="I353" s="278">
        <v>2.8739564094382875</v>
      </c>
      <c r="J353" s="278">
        <f>SUM(G353:I353)</f>
        <v>31.882573787098394</v>
      </c>
      <c r="K353" s="279"/>
      <c r="L353" s="278">
        <v>19.242094773031837</v>
      </c>
      <c r="M353" s="278">
        <v>0.19523843832316434</v>
      </c>
      <c r="N353" s="278">
        <v>2.4652614698375555</v>
      </c>
      <c r="O353" s="278">
        <f t="shared" si="163"/>
        <v>21.902594681192561</v>
      </c>
    </row>
    <row r="354" spans="1:15" s="212" customFormat="1">
      <c r="A354" s="213" t="str">
        <f>name!E$9</f>
        <v>Caring, leisure and other service occupations</v>
      </c>
      <c r="B354" s="278">
        <v>0.32741594694591397</v>
      </c>
      <c r="C354" s="278">
        <v>2.1910789840135152E-2</v>
      </c>
      <c r="D354" s="278">
        <v>5.4853935710068288E-2</v>
      </c>
      <c r="E354" s="278">
        <f t="shared" si="161"/>
        <v>0.40418067249611744</v>
      </c>
      <c r="F354" s="279"/>
      <c r="G354" s="278">
        <v>0.34800511517567934</v>
      </c>
      <c r="H354" s="278">
        <v>6.5150352905791103E-2</v>
      </c>
      <c r="I354" s="278">
        <v>7.4936526803741826E-2</v>
      </c>
      <c r="J354" s="278">
        <f t="shared" ref="J354:J357" si="164">SUM(G354:I354)</f>
        <v>0.48809199488521227</v>
      </c>
      <c r="K354" s="279"/>
      <c r="L354" s="278">
        <v>0.30459829377418551</v>
      </c>
      <c r="M354" s="278">
        <v>4.4997074394023624E-2</v>
      </c>
      <c r="N354" s="278">
        <v>5.5907322558874137E-2</v>
      </c>
      <c r="O354" s="278">
        <f t="shared" si="163"/>
        <v>0.40550269072708328</v>
      </c>
    </row>
    <row r="355" spans="1:15" s="212" customFormat="1">
      <c r="A355" s="213" t="str">
        <f>name!E$10</f>
        <v>Sales and customer service occupations</v>
      </c>
      <c r="B355" s="278">
        <v>1.3301161414716325</v>
      </c>
      <c r="C355" s="278">
        <v>0.23894537363873816</v>
      </c>
      <c r="D355" s="278">
        <v>0.10970548907884362</v>
      </c>
      <c r="E355" s="278">
        <f t="shared" si="161"/>
        <v>1.6787670041892142</v>
      </c>
      <c r="F355" s="279"/>
      <c r="G355" s="278">
        <v>1.3639699449372338</v>
      </c>
      <c r="H355" s="278">
        <v>0.61721297579277623</v>
      </c>
      <c r="I355" s="278">
        <v>0.16490364775305999</v>
      </c>
      <c r="J355" s="278">
        <f t="shared" si="164"/>
        <v>2.1460865684830699</v>
      </c>
      <c r="K355" s="279"/>
      <c r="L355" s="278">
        <v>1.2640172840699633</v>
      </c>
      <c r="M355" s="278">
        <v>0.63192133210689094</v>
      </c>
      <c r="N355" s="278">
        <v>0.12239530267821766</v>
      </c>
      <c r="O355" s="278">
        <f t="shared" si="163"/>
        <v>2.0183339188550717</v>
      </c>
    </row>
    <row r="356" spans="1:15" s="212" customFormat="1">
      <c r="A356" s="213" t="str">
        <f>name!E$11</f>
        <v>Process, plant and machine operatives</v>
      </c>
      <c r="B356" s="278">
        <v>11.55639752321787</v>
      </c>
      <c r="C356" s="278">
        <v>0.16365227361633355</v>
      </c>
      <c r="D356" s="278">
        <v>0.31211256362885886</v>
      </c>
      <c r="E356" s="278">
        <f t="shared" si="161"/>
        <v>12.032162360463062</v>
      </c>
      <c r="F356" s="279"/>
      <c r="G356" s="278">
        <v>8.8665474908929358</v>
      </c>
      <c r="H356" s="278">
        <v>0.33886439090153658</v>
      </c>
      <c r="I356" s="278">
        <v>0.65909298564328322</v>
      </c>
      <c r="J356" s="278">
        <f t="shared" si="164"/>
        <v>9.8645048674377556</v>
      </c>
      <c r="K356" s="279"/>
      <c r="L356" s="278">
        <v>6.53242464906468</v>
      </c>
      <c r="M356" s="278">
        <v>0.32135850295605112</v>
      </c>
      <c r="N356" s="278">
        <v>0.6906690432229311</v>
      </c>
      <c r="O356" s="278">
        <f t="shared" si="163"/>
        <v>7.5444521952436618</v>
      </c>
    </row>
    <row r="357" spans="1:15" s="212" customFormat="1">
      <c r="A357" s="213" t="str">
        <f>name!E$12</f>
        <v>Elementary occupations</v>
      </c>
      <c r="B357" s="278">
        <v>2.213379065329165</v>
      </c>
      <c r="C357" s="278">
        <v>0.2222408868980697</v>
      </c>
      <c r="D357" s="278">
        <v>0.14860326525298412</v>
      </c>
      <c r="E357" s="278">
        <f t="shared" si="161"/>
        <v>2.5842232174802189</v>
      </c>
      <c r="F357" s="279"/>
      <c r="G357" s="278">
        <v>1.7075181546468834</v>
      </c>
      <c r="H357" s="278">
        <v>0.35892579567425975</v>
      </c>
      <c r="I357" s="278">
        <v>0.22266754212522222</v>
      </c>
      <c r="J357" s="278">
        <f t="shared" si="164"/>
        <v>2.2891114924463656</v>
      </c>
      <c r="K357" s="279"/>
      <c r="L357" s="278">
        <v>1.2646849551160757</v>
      </c>
      <c r="M357" s="278">
        <v>0.33290409398327947</v>
      </c>
      <c r="N357" s="278">
        <v>0.21347744093973783</v>
      </c>
      <c r="O357" s="278">
        <f t="shared" si="163"/>
        <v>1.8110664900390929</v>
      </c>
    </row>
    <row r="358" spans="1:15" s="212" customFormat="1">
      <c r="A358" s="213"/>
      <c r="B358" s="278"/>
      <c r="C358" s="278"/>
      <c r="D358" s="278"/>
      <c r="E358" s="278"/>
      <c r="F358" s="279"/>
      <c r="G358" s="278"/>
      <c r="H358" s="278"/>
      <c r="I358" s="278"/>
      <c r="J358" s="278"/>
      <c r="K358" s="279"/>
      <c r="L358" s="278"/>
      <c r="M358" s="278"/>
      <c r="N358" s="278"/>
      <c r="O358" s="278"/>
    </row>
    <row r="359" spans="1:15" s="212" customFormat="1">
      <c r="A359" s="220" t="s">
        <v>119</v>
      </c>
      <c r="B359" s="282">
        <f>SUM(B349:B357)</f>
        <v>109.34999999954327</v>
      </c>
      <c r="C359" s="282">
        <f t="shared" ref="C359:E359" si="165">SUM(C349:C357)</f>
        <v>1.782000000007131</v>
      </c>
      <c r="D359" s="282">
        <f t="shared" si="165"/>
        <v>2.9909999999661223</v>
      </c>
      <c r="E359" s="282">
        <f t="shared" si="165"/>
        <v>114.12299999951651</v>
      </c>
      <c r="F359" s="282"/>
      <c r="G359" s="282">
        <f t="shared" ref="G359:J359" si="166">SUM(G349:G357)</f>
        <v>109.61699999961053</v>
      </c>
      <c r="H359" s="282">
        <f t="shared" si="166"/>
        <v>4.5770000000268851</v>
      </c>
      <c r="I359" s="282">
        <f t="shared" si="166"/>
        <v>5.8579999999319696</v>
      </c>
      <c r="J359" s="282">
        <f t="shared" si="166"/>
        <v>120.0519999995694</v>
      </c>
      <c r="K359" s="282"/>
      <c r="L359" s="282">
        <f t="shared" ref="L359:O359" si="167">SUM(L349:L357)</f>
        <v>93.631000000435961</v>
      </c>
      <c r="M359" s="282">
        <f t="shared" si="167"/>
        <v>3.9480000000268793</v>
      </c>
      <c r="N359" s="282">
        <f t="shared" si="167"/>
        <v>5.001999999840927</v>
      </c>
      <c r="O359" s="282">
        <f t="shared" si="167"/>
        <v>102.58100000030379</v>
      </c>
    </row>
    <row r="360" spans="1:15" s="212" customFormat="1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6"/>
    </row>
    <row r="361" spans="1:15" s="212" customFormat="1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6"/>
      <c r="O361" s="227" t="s">
        <v>114</v>
      </c>
    </row>
    <row r="362" spans="1:15" s="212" customFormat="1" ht="12.95">
      <c r="A362" s="218"/>
      <c r="B362" s="218"/>
      <c r="C362" s="218"/>
      <c r="D362" s="218"/>
      <c r="E362" s="218"/>
      <c r="F362" s="218"/>
      <c r="G362" s="218"/>
      <c r="H362" s="218"/>
      <c r="I362" s="218"/>
      <c r="J362" s="218"/>
      <c r="K362" s="218"/>
      <c r="L362" s="218"/>
      <c r="M362" s="218"/>
      <c r="N362" s="218"/>
      <c r="O362" s="218"/>
    </row>
    <row r="363" spans="1:15" s="212" customFormat="1" ht="12.95">
      <c r="A363" s="217" t="str">
        <f>name!A24</f>
        <v>Furniture</v>
      </c>
      <c r="B363" s="369">
        <f>$B$6</f>
        <v>2015</v>
      </c>
      <c r="C363" s="369"/>
      <c r="D363" s="369"/>
      <c r="E363" s="369"/>
      <c r="F363" s="239"/>
      <c r="G363" s="369">
        <f>$G$6</f>
        <v>2020</v>
      </c>
      <c r="H363" s="369"/>
      <c r="I363" s="369"/>
      <c r="J363" s="369"/>
      <c r="K363" s="239"/>
      <c r="L363" s="369">
        <f>$L$6</f>
        <v>2035</v>
      </c>
      <c r="M363" s="369"/>
      <c r="N363" s="369"/>
      <c r="O363" s="369"/>
    </row>
    <row r="364" spans="1:15" s="212" customFormat="1" ht="12.95">
      <c r="A364" s="230"/>
      <c r="B364" s="244" t="str">
        <f>$B$7</f>
        <v>FT</v>
      </c>
      <c r="C364" s="244" t="str">
        <f>$C$7</f>
        <v>PT</v>
      </c>
      <c r="D364" s="244" t="str">
        <f>$D$7</f>
        <v>SE</v>
      </c>
      <c r="E364" s="244" t="str">
        <f>$E$7</f>
        <v>Total</v>
      </c>
      <c r="F364" s="244"/>
      <c r="G364" s="244" t="str">
        <f>$G$7</f>
        <v>FT</v>
      </c>
      <c r="H364" s="244" t="str">
        <f>$H$7</f>
        <v>PT</v>
      </c>
      <c r="I364" s="244" t="str">
        <f>$I$7</f>
        <v>SE</v>
      </c>
      <c r="J364" s="244" t="str">
        <f>$J$7</f>
        <v>Total</v>
      </c>
      <c r="K364" s="244"/>
      <c r="L364" s="244" t="str">
        <f>$L$7</f>
        <v>FT</v>
      </c>
      <c r="M364" s="244" t="str">
        <f>$M$7</f>
        <v>PT</v>
      </c>
      <c r="N364" s="244" t="str">
        <f>$N$7</f>
        <v>SE</v>
      </c>
      <c r="O364" s="244" t="str">
        <f>$O$7</f>
        <v>Total</v>
      </c>
    </row>
    <row r="365" spans="1:15" s="212" customFormat="1" ht="12.95">
      <c r="A365" s="234"/>
      <c r="B365" s="215"/>
      <c r="C365" s="215"/>
      <c r="D365" s="215"/>
      <c r="E365" s="215"/>
      <c r="F365" s="215"/>
      <c r="G365" s="215"/>
      <c r="H365" s="215"/>
      <c r="I365" s="215"/>
      <c r="J365" s="215"/>
      <c r="K365" s="215"/>
      <c r="L365" s="215"/>
      <c r="M365" s="215"/>
      <c r="N365" s="215"/>
      <c r="O365" s="215"/>
    </row>
    <row r="366" spans="1:15" s="212" customFormat="1">
      <c r="A366" s="213" t="str">
        <f>name!E$4</f>
        <v>Managers, directors and senior officials</v>
      </c>
      <c r="B366" s="278">
        <v>5.7457452748029034</v>
      </c>
      <c r="C366" s="278">
        <v>0.40842183285193467</v>
      </c>
      <c r="D366" s="278">
        <v>1.2698026105157405</v>
      </c>
      <c r="E366" s="278">
        <f>SUM(B366:D366)</f>
        <v>7.4239697181705786</v>
      </c>
      <c r="F366" s="279"/>
      <c r="G366" s="278">
        <v>8.1451256396885228</v>
      </c>
      <c r="H366" s="278">
        <v>0.83984879047421079</v>
      </c>
      <c r="I366" s="278">
        <v>0.64082958514058053</v>
      </c>
      <c r="J366" s="278">
        <f>SUM(G366:I366)</f>
        <v>9.6258040153033129</v>
      </c>
      <c r="K366" s="279"/>
      <c r="L366" s="278">
        <v>6.3930269321024031</v>
      </c>
      <c r="M366" s="278">
        <v>0.64322915348832821</v>
      </c>
      <c r="N366" s="278">
        <v>0.49473288610092414</v>
      </c>
      <c r="O366" s="278">
        <f>SUM(L366:N366)</f>
        <v>7.5309889716916558</v>
      </c>
    </row>
    <row r="367" spans="1:15" s="212" customFormat="1">
      <c r="A367" s="213" t="str">
        <f>name!E$5</f>
        <v>Professional occupations</v>
      </c>
      <c r="B367" s="278">
        <v>5.1855553237330003</v>
      </c>
      <c r="C367" s="278">
        <v>0.29674200273758861</v>
      </c>
      <c r="D367" s="278">
        <v>0.51578259785391467</v>
      </c>
      <c r="E367" s="278">
        <f t="shared" ref="E367:E374" si="168">SUM(B367:D367)</f>
        <v>5.9980799243245038</v>
      </c>
      <c r="F367" s="279"/>
      <c r="G367" s="278">
        <v>8.2279078077412642</v>
      </c>
      <c r="H367" s="278">
        <v>0.77621388917694567</v>
      </c>
      <c r="I367" s="278">
        <v>0.30211646199577807</v>
      </c>
      <c r="J367" s="278">
        <f t="shared" ref="J367:J369" si="169">SUM(G367:I367)</f>
        <v>9.3062381589139882</v>
      </c>
      <c r="K367" s="279"/>
      <c r="L367" s="278">
        <v>8.928234664155978</v>
      </c>
      <c r="M367" s="278">
        <v>0.63325975921948241</v>
      </c>
      <c r="N367" s="278">
        <v>0.19086940737063632</v>
      </c>
      <c r="O367" s="278">
        <f t="shared" ref="O367:O374" si="170">SUM(L367:N367)</f>
        <v>9.7523638307460967</v>
      </c>
    </row>
    <row r="368" spans="1:15" s="212" customFormat="1">
      <c r="A368" s="213" t="str">
        <f>name!E$6</f>
        <v>Associate professional occupations</v>
      </c>
      <c r="B368" s="278">
        <v>4.5618266154539944</v>
      </c>
      <c r="C368" s="278">
        <v>0.49633640795729084</v>
      </c>
      <c r="D368" s="278">
        <v>0.72137556674334546</v>
      </c>
      <c r="E368" s="278">
        <f t="shared" si="168"/>
        <v>5.7795385901546306</v>
      </c>
      <c r="F368" s="279"/>
      <c r="G368" s="278">
        <v>6.7141276498414877</v>
      </c>
      <c r="H368" s="278">
        <v>0.89436665104116086</v>
      </c>
      <c r="I368" s="278">
        <v>0.42245984642985296</v>
      </c>
      <c r="J368" s="278">
        <f t="shared" si="169"/>
        <v>8.0309541473125012</v>
      </c>
      <c r="K368" s="279"/>
      <c r="L368" s="278">
        <v>5.6787595391782926</v>
      </c>
      <c r="M368" s="278">
        <v>0.54383483598282489</v>
      </c>
      <c r="N368" s="278">
        <v>0.29987135080689981</v>
      </c>
      <c r="O368" s="278">
        <f t="shared" si="170"/>
        <v>6.5224657259680168</v>
      </c>
    </row>
    <row r="369" spans="1:15" s="212" customFormat="1">
      <c r="A369" s="213" t="str">
        <f>name!E$7</f>
        <v>Administrative and secretarial occupations</v>
      </c>
      <c r="B369" s="278">
        <v>4.8324874176349493</v>
      </c>
      <c r="C369" s="278">
        <v>1.6808399553102973</v>
      </c>
      <c r="D369" s="278">
        <v>0.21876427697360376</v>
      </c>
      <c r="E369" s="278">
        <f t="shared" si="168"/>
        <v>6.7320916499188499</v>
      </c>
      <c r="F369" s="279"/>
      <c r="G369" s="278">
        <v>6.2659167340199682</v>
      </c>
      <c r="H369" s="278">
        <v>2.1655044411378519</v>
      </c>
      <c r="I369" s="278">
        <v>0.11295104313424034</v>
      </c>
      <c r="J369" s="278">
        <f t="shared" si="169"/>
        <v>8.5443722182920592</v>
      </c>
      <c r="K369" s="279"/>
      <c r="L369" s="278">
        <v>5.7783961483567756</v>
      </c>
      <c r="M369" s="278">
        <v>1.2229012720510724</v>
      </c>
      <c r="N369" s="278">
        <v>5.6321137706697798E-2</v>
      </c>
      <c r="O369" s="278">
        <f t="shared" si="170"/>
        <v>7.0576185581145463</v>
      </c>
    </row>
    <row r="370" spans="1:15" s="212" customFormat="1">
      <c r="A370" s="213" t="str">
        <f>name!E$8</f>
        <v>Skilled trades occupations</v>
      </c>
      <c r="B370" s="278">
        <v>22.954720124307272</v>
      </c>
      <c r="C370" s="278">
        <v>0.86141756148835003</v>
      </c>
      <c r="D370" s="278">
        <v>10.399019477931542</v>
      </c>
      <c r="E370" s="278">
        <f t="shared" si="168"/>
        <v>34.215157163727163</v>
      </c>
      <c r="F370" s="279"/>
      <c r="G370" s="278">
        <v>23.590974699494708</v>
      </c>
      <c r="H370" s="278">
        <v>1.1268203656596698</v>
      </c>
      <c r="I370" s="278">
        <v>3.6595741783731501</v>
      </c>
      <c r="J370" s="278">
        <f>SUM(G370:I370)</f>
        <v>28.377369243527525</v>
      </c>
      <c r="K370" s="279"/>
      <c r="L370" s="278">
        <v>17.578933536942344</v>
      </c>
      <c r="M370" s="278">
        <v>0.83328967014671995</v>
      </c>
      <c r="N370" s="278">
        <v>2.9388391151765108</v>
      </c>
      <c r="O370" s="278">
        <f t="shared" si="170"/>
        <v>21.351062322265573</v>
      </c>
    </row>
    <row r="371" spans="1:15" s="212" customFormat="1">
      <c r="A371" s="213" t="str">
        <f>name!E$9</f>
        <v>Caring, leisure and other service occupations</v>
      </c>
      <c r="B371" s="278">
        <v>0.22583887741337116</v>
      </c>
      <c r="C371" s="278">
        <v>0.1259817688544396</v>
      </c>
      <c r="D371" s="278">
        <v>7.4830537220488394E-2</v>
      </c>
      <c r="E371" s="278">
        <f t="shared" si="168"/>
        <v>0.42665118348829911</v>
      </c>
      <c r="F371" s="279"/>
      <c r="G371" s="278">
        <v>0.29356910267530001</v>
      </c>
      <c r="H371" s="278">
        <v>0.30972782678425809</v>
      </c>
      <c r="I371" s="278">
        <v>8.078128945407835E-2</v>
      </c>
      <c r="J371" s="278">
        <f t="shared" ref="J371:J374" si="171">SUM(G371:I371)</f>
        <v>0.6840782189136364</v>
      </c>
      <c r="K371" s="279"/>
      <c r="L371" s="278">
        <v>0.21797643322399227</v>
      </c>
      <c r="M371" s="278">
        <v>0.29186109039102276</v>
      </c>
      <c r="N371" s="278">
        <v>6.5371626801459429E-2</v>
      </c>
      <c r="O371" s="278">
        <f t="shared" si="170"/>
        <v>0.57520915041647447</v>
      </c>
    </row>
    <row r="372" spans="1:15" s="212" customFormat="1">
      <c r="A372" s="213" t="str">
        <f>name!E$10</f>
        <v>Sales and customer service occupations</v>
      </c>
      <c r="B372" s="278">
        <v>2.5623784760459567</v>
      </c>
      <c r="C372" s="278">
        <v>0.60543803271223107</v>
      </c>
      <c r="D372" s="278">
        <v>0.26365868079667626</v>
      </c>
      <c r="E372" s="278">
        <f t="shared" si="168"/>
        <v>3.4314751895548641</v>
      </c>
      <c r="F372" s="279"/>
      <c r="G372" s="278">
        <v>2.9982511684273851</v>
      </c>
      <c r="H372" s="278">
        <v>1.1386669235714046</v>
      </c>
      <c r="I372" s="278">
        <v>9.5854334742585867E-2</v>
      </c>
      <c r="J372" s="278">
        <f t="shared" si="171"/>
        <v>4.2327724267413753</v>
      </c>
      <c r="K372" s="279"/>
      <c r="L372" s="278">
        <v>2.8225941861628412</v>
      </c>
      <c r="M372" s="278">
        <v>1.0358258184208522</v>
      </c>
      <c r="N372" s="278">
        <v>5.5855978610661987E-2</v>
      </c>
      <c r="O372" s="278">
        <f t="shared" si="170"/>
        <v>3.9142759831943552</v>
      </c>
    </row>
    <row r="373" spans="1:15" s="212" customFormat="1">
      <c r="A373" s="213" t="str">
        <f>name!E$11</f>
        <v>Process, plant and machine operatives</v>
      </c>
      <c r="B373" s="278">
        <v>10.939442116638419</v>
      </c>
      <c r="C373" s="278">
        <v>0.84045726553317701</v>
      </c>
      <c r="D373" s="278">
        <v>1.2887751415759161</v>
      </c>
      <c r="E373" s="278">
        <f t="shared" si="168"/>
        <v>13.068674523747513</v>
      </c>
      <c r="F373" s="279"/>
      <c r="G373" s="278">
        <v>10.969819516317184</v>
      </c>
      <c r="H373" s="278">
        <v>1.1928322279615666</v>
      </c>
      <c r="I373" s="278">
        <v>0.73546959009021384</v>
      </c>
      <c r="J373" s="278">
        <f t="shared" si="171"/>
        <v>12.898121334368964</v>
      </c>
      <c r="K373" s="279"/>
      <c r="L373" s="278">
        <v>8.6631839079123889</v>
      </c>
      <c r="M373" s="278">
        <v>1.2424430928256958</v>
      </c>
      <c r="N373" s="278">
        <v>0.56246730292577196</v>
      </c>
      <c r="O373" s="278">
        <f t="shared" si="170"/>
        <v>10.468094303663856</v>
      </c>
    </row>
    <row r="374" spans="1:15" s="212" customFormat="1">
      <c r="A374" s="213" t="str">
        <f>name!E$12</f>
        <v>Elementary occupations</v>
      </c>
      <c r="B374" s="278">
        <v>4.4320057738896192</v>
      </c>
      <c r="C374" s="278">
        <v>0.51036517263549952</v>
      </c>
      <c r="D374" s="278">
        <v>0.40799111035507979</v>
      </c>
      <c r="E374" s="278">
        <f t="shared" si="168"/>
        <v>5.3503620568801988</v>
      </c>
      <c r="F374" s="279"/>
      <c r="G374" s="278">
        <v>4.1663076817740201</v>
      </c>
      <c r="H374" s="278">
        <v>1.0600188842515115</v>
      </c>
      <c r="I374" s="278">
        <v>0.16496367057261163</v>
      </c>
      <c r="J374" s="278">
        <f t="shared" si="171"/>
        <v>5.3912902365981434</v>
      </c>
      <c r="K374" s="279"/>
      <c r="L374" s="278">
        <v>3.478894652384287</v>
      </c>
      <c r="M374" s="278">
        <v>1.047355307591918</v>
      </c>
      <c r="N374" s="278">
        <v>0.22967119446800915</v>
      </c>
      <c r="O374" s="278">
        <f t="shared" si="170"/>
        <v>4.7559211544442146</v>
      </c>
    </row>
    <row r="375" spans="1:15" s="212" customFormat="1">
      <c r="A375" s="213"/>
      <c r="B375" s="278"/>
      <c r="C375" s="278"/>
      <c r="D375" s="278"/>
      <c r="E375" s="278"/>
      <c r="F375" s="279"/>
      <c r="G375" s="278"/>
      <c r="H375" s="278"/>
      <c r="I375" s="278"/>
      <c r="J375" s="278"/>
      <c r="K375" s="279"/>
      <c r="L375" s="278"/>
      <c r="M375" s="278"/>
      <c r="N375" s="278"/>
      <c r="O375" s="278"/>
    </row>
    <row r="376" spans="1:15" s="212" customFormat="1">
      <c r="A376" s="220" t="s">
        <v>119</v>
      </c>
      <c r="B376" s="282">
        <f>SUM(B366:B374)</f>
        <v>61.439999999919486</v>
      </c>
      <c r="C376" s="282">
        <f t="shared" ref="C376:E376" si="172">SUM(C366:C374)</f>
        <v>5.8260000000808079</v>
      </c>
      <c r="D376" s="282">
        <f t="shared" si="172"/>
        <v>15.159999999966308</v>
      </c>
      <c r="E376" s="282">
        <f t="shared" si="172"/>
        <v>82.425999999966606</v>
      </c>
      <c r="F376" s="282"/>
      <c r="G376" s="282">
        <f t="shared" ref="G376:J376" si="173">SUM(G366:G374)</f>
        <v>71.371999999979835</v>
      </c>
      <c r="H376" s="282">
        <f t="shared" si="173"/>
        <v>9.504000000058582</v>
      </c>
      <c r="I376" s="282">
        <f t="shared" si="173"/>
        <v>6.2149999999330925</v>
      </c>
      <c r="J376" s="282">
        <f t="shared" si="173"/>
        <v>87.090999999971501</v>
      </c>
      <c r="K376" s="282"/>
      <c r="L376" s="282">
        <f t="shared" ref="L376:O376" si="174">SUM(L366:L374)</f>
        <v>59.540000000419305</v>
      </c>
      <c r="M376" s="282">
        <f t="shared" si="174"/>
        <v>7.4940000001179161</v>
      </c>
      <c r="N376" s="282">
        <f t="shared" si="174"/>
        <v>4.8939999999675718</v>
      </c>
      <c r="O376" s="282">
        <f t="shared" si="174"/>
        <v>71.928000000504795</v>
      </c>
    </row>
    <row r="377" spans="1:15" s="212" customFormat="1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6"/>
    </row>
    <row r="378" spans="1:15" s="212" customFormat="1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6"/>
      <c r="O378" s="227" t="s">
        <v>114</v>
      </c>
    </row>
    <row r="379" spans="1:15" s="212" customFormat="1" ht="12.95">
      <c r="A379" s="218"/>
      <c r="B379" s="218"/>
      <c r="C379" s="218"/>
      <c r="D379" s="218"/>
      <c r="E379" s="218"/>
      <c r="F379" s="218"/>
      <c r="G379" s="218"/>
      <c r="H379" s="218"/>
      <c r="I379" s="218"/>
      <c r="J379" s="218"/>
      <c r="K379" s="218"/>
      <c r="L379" s="218"/>
      <c r="M379" s="218"/>
      <c r="N379" s="218"/>
      <c r="O379" s="218"/>
    </row>
    <row r="380" spans="1:15" s="212" customFormat="1" ht="12.95">
      <c r="A380" s="217" t="str">
        <f>name!A25</f>
        <v>Other manufacturing</v>
      </c>
      <c r="B380" s="369">
        <f>$B$6</f>
        <v>2015</v>
      </c>
      <c r="C380" s="369"/>
      <c r="D380" s="369"/>
      <c r="E380" s="369"/>
      <c r="F380" s="239"/>
      <c r="G380" s="369">
        <f>$G$6</f>
        <v>2020</v>
      </c>
      <c r="H380" s="369"/>
      <c r="I380" s="369"/>
      <c r="J380" s="369"/>
      <c r="K380" s="239"/>
      <c r="L380" s="369">
        <f>$L$6</f>
        <v>2035</v>
      </c>
      <c r="M380" s="369"/>
      <c r="N380" s="369"/>
      <c r="O380" s="369"/>
    </row>
    <row r="381" spans="1:15" s="212" customFormat="1" ht="12.95">
      <c r="A381" s="230"/>
      <c r="B381" s="244" t="str">
        <f>$B$7</f>
        <v>FT</v>
      </c>
      <c r="C381" s="244" t="str">
        <f>$C$7</f>
        <v>PT</v>
      </c>
      <c r="D381" s="244" t="str">
        <f>$D$7</f>
        <v>SE</v>
      </c>
      <c r="E381" s="244" t="str">
        <f>$E$7</f>
        <v>Total</v>
      </c>
      <c r="F381" s="244"/>
      <c r="G381" s="244" t="str">
        <f>$G$7</f>
        <v>FT</v>
      </c>
      <c r="H381" s="244" t="str">
        <f>$H$7</f>
        <v>PT</v>
      </c>
      <c r="I381" s="244" t="str">
        <f>$I$7</f>
        <v>SE</v>
      </c>
      <c r="J381" s="244" t="str">
        <f>$J$7</f>
        <v>Total</v>
      </c>
      <c r="K381" s="244"/>
      <c r="L381" s="244" t="str">
        <f>$L$7</f>
        <v>FT</v>
      </c>
      <c r="M381" s="244" t="str">
        <f>$M$7</f>
        <v>PT</v>
      </c>
      <c r="N381" s="244" t="str">
        <f>$N$7</f>
        <v>SE</v>
      </c>
      <c r="O381" s="244" t="str">
        <f>$O$7</f>
        <v>Total</v>
      </c>
    </row>
    <row r="382" spans="1:15" s="212" customFormat="1" ht="12.95">
      <c r="A382" s="234"/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  <c r="N382" s="215"/>
      <c r="O382" s="215"/>
    </row>
    <row r="383" spans="1:15" s="212" customFormat="1">
      <c r="A383" s="213" t="str">
        <f>name!E$4</f>
        <v>Managers, directors and senior officials</v>
      </c>
      <c r="B383" s="278">
        <v>7.2644978164906862</v>
      </c>
      <c r="C383" s="278">
        <v>0.69607465543362335</v>
      </c>
      <c r="D383" s="278">
        <v>1.190082094804422</v>
      </c>
      <c r="E383" s="278">
        <f>SUM(B383:D383)</f>
        <v>9.1506545667287309</v>
      </c>
      <c r="F383" s="279"/>
      <c r="G383" s="278">
        <v>9.4952029244772191</v>
      </c>
      <c r="H383" s="278">
        <v>1.0805543867372416</v>
      </c>
      <c r="I383" s="278">
        <v>1.1126620464963544</v>
      </c>
      <c r="J383" s="278">
        <f>SUM(G383:I383)</f>
        <v>11.688419357710814</v>
      </c>
      <c r="K383" s="279"/>
      <c r="L383" s="278">
        <v>7.3195184470024142</v>
      </c>
      <c r="M383" s="278">
        <v>0.94742072549012357</v>
      </c>
      <c r="N383" s="278">
        <v>0.81318253984076194</v>
      </c>
      <c r="O383" s="278">
        <f>SUM(L383:N383)</f>
        <v>9.0801217123333</v>
      </c>
    </row>
    <row r="384" spans="1:15" s="212" customFormat="1">
      <c r="A384" s="213" t="str">
        <f>name!E$5</f>
        <v>Professional occupations</v>
      </c>
      <c r="B384" s="278">
        <v>8.0843851353963423</v>
      </c>
      <c r="C384" s="278">
        <v>0.53475237158765254</v>
      </c>
      <c r="D384" s="278">
        <v>0.69449763238917217</v>
      </c>
      <c r="E384" s="278">
        <f t="shared" ref="E384:E391" si="175">SUM(B384:D384)</f>
        <v>9.3136351393731669</v>
      </c>
      <c r="F384" s="279"/>
      <c r="G384" s="278">
        <v>11.848660045657319</v>
      </c>
      <c r="H384" s="278">
        <v>0.99075152035392833</v>
      </c>
      <c r="I384" s="278">
        <v>0.66745290742865793</v>
      </c>
      <c r="J384" s="278">
        <f t="shared" ref="J384:J386" si="176">SUM(G384:I384)</f>
        <v>13.506864473439904</v>
      </c>
      <c r="K384" s="279"/>
      <c r="L384" s="278">
        <v>12.478881776012349</v>
      </c>
      <c r="M384" s="278">
        <v>1.0202012606893212</v>
      </c>
      <c r="N384" s="278">
        <v>0.4503156758733296</v>
      </c>
      <c r="O384" s="278">
        <f t="shared" ref="O384:O391" si="177">SUM(L384:N384)</f>
        <v>13.949398712575</v>
      </c>
    </row>
    <row r="385" spans="1:15" s="212" customFormat="1">
      <c r="A385" s="213" t="str">
        <f>name!E$6</f>
        <v>Associate professional occupations</v>
      </c>
      <c r="B385" s="278">
        <v>6.7221119786991181</v>
      </c>
      <c r="C385" s="278">
        <v>0.83963185077228064</v>
      </c>
      <c r="D385" s="278">
        <v>1.0763307215496252</v>
      </c>
      <c r="E385" s="278">
        <f t="shared" si="175"/>
        <v>8.638074551021024</v>
      </c>
      <c r="F385" s="279"/>
      <c r="G385" s="278">
        <v>9.0183245312236409</v>
      </c>
      <c r="H385" s="278">
        <v>0.97597411568504444</v>
      </c>
      <c r="I385" s="278">
        <v>0.78097492930872725</v>
      </c>
      <c r="J385" s="278">
        <f t="shared" si="176"/>
        <v>10.775273576217412</v>
      </c>
      <c r="K385" s="279"/>
      <c r="L385" s="278">
        <v>7.6601544427722139</v>
      </c>
      <c r="M385" s="278">
        <v>0.65095296090589139</v>
      </c>
      <c r="N385" s="278">
        <v>0.56006484541113744</v>
      </c>
      <c r="O385" s="278">
        <f t="shared" si="177"/>
        <v>8.8711722490892431</v>
      </c>
    </row>
    <row r="386" spans="1:15" s="212" customFormat="1">
      <c r="A386" s="213" t="str">
        <f>name!E$7</f>
        <v>Administrative and secretarial occupations</v>
      </c>
      <c r="B386" s="278">
        <v>6.7790949407990935</v>
      </c>
      <c r="C386" s="278">
        <v>2.9747896083216947</v>
      </c>
      <c r="D386" s="278">
        <v>0.34606130698530957</v>
      </c>
      <c r="E386" s="278">
        <f t="shared" si="175"/>
        <v>10.099945856106096</v>
      </c>
      <c r="F386" s="279"/>
      <c r="G386" s="278">
        <v>7.7865723719884787</v>
      </c>
      <c r="H386" s="278">
        <v>2.5648568693143257</v>
      </c>
      <c r="I386" s="278">
        <v>0.2693306131369827</v>
      </c>
      <c r="J386" s="278">
        <f t="shared" si="176"/>
        <v>10.620759854439788</v>
      </c>
      <c r="K386" s="279"/>
      <c r="L386" s="278">
        <v>6.0951113843246683</v>
      </c>
      <c r="M386" s="278">
        <v>1.5702492281887355</v>
      </c>
      <c r="N386" s="278">
        <v>0.15931252103191462</v>
      </c>
      <c r="O386" s="278">
        <f t="shared" si="177"/>
        <v>7.8246731335453177</v>
      </c>
    </row>
    <row r="387" spans="1:15" s="212" customFormat="1">
      <c r="A387" s="213" t="str">
        <f>name!E$8</f>
        <v>Skilled trades occupations</v>
      </c>
      <c r="B387" s="278">
        <v>17.066474277726858</v>
      </c>
      <c r="C387" s="278">
        <v>1.429696304953618</v>
      </c>
      <c r="D387" s="278">
        <v>7.8775715351959263</v>
      </c>
      <c r="E387" s="278">
        <f t="shared" si="175"/>
        <v>26.373742117876404</v>
      </c>
      <c r="F387" s="279"/>
      <c r="G387" s="278">
        <v>15.791087189340269</v>
      </c>
      <c r="H387" s="278">
        <v>1.1152078877746736</v>
      </c>
      <c r="I387" s="278">
        <v>4.9786086959602516</v>
      </c>
      <c r="J387" s="278">
        <f>SUM(G387:I387)</f>
        <v>21.884903773075195</v>
      </c>
      <c r="K387" s="279"/>
      <c r="L387" s="278">
        <v>11.785797150307667</v>
      </c>
      <c r="M387" s="278">
        <v>0.90737311029269452</v>
      </c>
      <c r="N387" s="278">
        <v>3.3909531478073069</v>
      </c>
      <c r="O387" s="278">
        <f t="shared" si="177"/>
        <v>16.084123408407667</v>
      </c>
    </row>
    <row r="388" spans="1:15" s="212" customFormat="1">
      <c r="A388" s="213" t="str">
        <f>name!E$9</f>
        <v>Caring, leisure and other service occupations</v>
      </c>
      <c r="B388" s="278">
        <v>0.385224836525699</v>
      </c>
      <c r="C388" s="278">
        <v>0.30695263959897362</v>
      </c>
      <c r="D388" s="278">
        <v>0.111750237243866</v>
      </c>
      <c r="E388" s="278">
        <f t="shared" si="175"/>
        <v>0.80392771336853863</v>
      </c>
      <c r="F388" s="279"/>
      <c r="G388" s="278">
        <v>0.42096281301332195</v>
      </c>
      <c r="H388" s="278">
        <v>0.25261509356552586</v>
      </c>
      <c r="I388" s="278">
        <v>0.26048745799279366</v>
      </c>
      <c r="J388" s="278">
        <f t="shared" ref="J388:J391" si="178">SUM(G388:I388)</f>
        <v>0.93406536457164147</v>
      </c>
      <c r="K388" s="279"/>
      <c r="L388" s="278">
        <v>0.30974760461858902</v>
      </c>
      <c r="M388" s="278">
        <v>0.15485687761943023</v>
      </c>
      <c r="N388" s="278">
        <v>0.21274730897553495</v>
      </c>
      <c r="O388" s="278">
        <f t="shared" si="177"/>
        <v>0.67735179121355427</v>
      </c>
    </row>
    <row r="389" spans="1:15" s="212" customFormat="1">
      <c r="A389" s="213" t="str">
        <f>name!E$10</f>
        <v>Sales and customer service occupations</v>
      </c>
      <c r="B389" s="278">
        <v>2.8198566341637687</v>
      </c>
      <c r="C389" s="278">
        <v>1.0708657239725461</v>
      </c>
      <c r="D389" s="278">
        <v>0.29440852046823851</v>
      </c>
      <c r="E389" s="278">
        <f t="shared" si="175"/>
        <v>4.1851308786045536</v>
      </c>
      <c r="F389" s="279"/>
      <c r="G389" s="278">
        <v>3.0463748829614632</v>
      </c>
      <c r="H389" s="278">
        <v>0.99961995003531157</v>
      </c>
      <c r="I389" s="278">
        <v>0.18116034437095196</v>
      </c>
      <c r="J389" s="278">
        <f t="shared" si="178"/>
        <v>4.2271551773677274</v>
      </c>
      <c r="K389" s="279"/>
      <c r="L389" s="278">
        <v>2.6476163943537303</v>
      </c>
      <c r="M389" s="278">
        <v>0.7764605227454151</v>
      </c>
      <c r="N389" s="278">
        <v>0.10208940280075403</v>
      </c>
      <c r="O389" s="278">
        <f t="shared" si="177"/>
        <v>3.5261663198998994</v>
      </c>
    </row>
    <row r="390" spans="1:15" s="212" customFormat="1">
      <c r="A390" s="213" t="str">
        <f>name!E$11</f>
        <v>Process, plant and machine operatives</v>
      </c>
      <c r="B390" s="278">
        <v>9.3977560147799331</v>
      </c>
      <c r="C390" s="278">
        <v>1.4968332772725588</v>
      </c>
      <c r="D390" s="278">
        <v>1.0879669638300813</v>
      </c>
      <c r="E390" s="278">
        <f t="shared" si="175"/>
        <v>11.982556255882574</v>
      </c>
      <c r="F390" s="279"/>
      <c r="G390" s="278">
        <v>8.0661351394826664</v>
      </c>
      <c r="H390" s="278">
        <v>1.4907526843382244</v>
      </c>
      <c r="I390" s="278">
        <v>1.6348040010763982</v>
      </c>
      <c r="J390" s="278">
        <f t="shared" si="178"/>
        <v>11.191691824897289</v>
      </c>
      <c r="K390" s="279"/>
      <c r="L390" s="278">
        <v>6.1746150265706241</v>
      </c>
      <c r="M390" s="278">
        <v>1.519644720746429</v>
      </c>
      <c r="N390" s="278">
        <v>1.1507779537755309</v>
      </c>
      <c r="O390" s="278">
        <f t="shared" si="177"/>
        <v>8.8450377010925845</v>
      </c>
    </row>
    <row r="391" spans="1:15" s="212" customFormat="1">
      <c r="A391" s="213" t="str">
        <f>name!E$12</f>
        <v>Elementary occupations</v>
      </c>
      <c r="B391" s="278">
        <v>3.5245983652463466</v>
      </c>
      <c r="C391" s="278">
        <v>0.90140356824929857</v>
      </c>
      <c r="D391" s="278">
        <v>0.65733098756435704</v>
      </c>
      <c r="E391" s="278">
        <f t="shared" si="175"/>
        <v>5.0833329210600029</v>
      </c>
      <c r="F391" s="279"/>
      <c r="G391" s="278">
        <v>2.9496801015837502</v>
      </c>
      <c r="H391" s="278">
        <v>0.67266749230803102</v>
      </c>
      <c r="I391" s="278">
        <v>0.44451900416586099</v>
      </c>
      <c r="J391" s="278">
        <f t="shared" si="178"/>
        <v>4.0668665980576417</v>
      </c>
      <c r="K391" s="279"/>
      <c r="L391" s="278">
        <v>2.3655577747411209</v>
      </c>
      <c r="M391" s="278">
        <v>0.91284059339522527</v>
      </c>
      <c r="N391" s="278">
        <v>0.71855660443430136</v>
      </c>
      <c r="O391" s="278">
        <f t="shared" si="177"/>
        <v>3.9969549725706477</v>
      </c>
    </row>
    <row r="392" spans="1:15" s="212" customFormat="1">
      <c r="A392" s="213"/>
      <c r="B392" s="278"/>
      <c r="C392" s="278"/>
      <c r="D392" s="278"/>
      <c r="E392" s="278"/>
      <c r="F392" s="279"/>
      <c r="G392" s="278"/>
      <c r="H392" s="278"/>
      <c r="I392" s="278"/>
      <c r="J392" s="278"/>
      <c r="K392" s="279"/>
      <c r="L392" s="278"/>
      <c r="M392" s="278"/>
      <c r="N392" s="278"/>
      <c r="O392" s="278"/>
    </row>
    <row r="393" spans="1:15" s="212" customFormat="1">
      <c r="A393" s="220" t="s">
        <v>119</v>
      </c>
      <c r="B393" s="282">
        <f>SUM(B383:B391)</f>
        <v>62.043999999827847</v>
      </c>
      <c r="C393" s="282">
        <f t="shared" ref="C393:E393" si="179">SUM(C383:C391)</f>
        <v>10.251000000162247</v>
      </c>
      <c r="D393" s="282">
        <f t="shared" si="179"/>
        <v>13.336000000031</v>
      </c>
      <c r="E393" s="282">
        <f t="shared" si="179"/>
        <v>85.631000000021089</v>
      </c>
      <c r="F393" s="282"/>
      <c r="G393" s="282">
        <f t="shared" ref="G393:J393" si="180">SUM(G383:G391)</f>
        <v>68.422999999728134</v>
      </c>
      <c r="H393" s="282">
        <f t="shared" si="180"/>
        <v>10.143000000112306</v>
      </c>
      <c r="I393" s="282">
        <f t="shared" si="180"/>
        <v>10.329999999936977</v>
      </c>
      <c r="J393" s="282">
        <f t="shared" si="180"/>
        <v>88.895999999777416</v>
      </c>
      <c r="K393" s="282"/>
      <c r="L393" s="282">
        <f t="shared" ref="L393:O393" si="181">SUM(L383:L391)</f>
        <v>56.83700000070337</v>
      </c>
      <c r="M393" s="282">
        <f t="shared" si="181"/>
        <v>8.4600000000732649</v>
      </c>
      <c r="N393" s="282">
        <f t="shared" si="181"/>
        <v>7.5579999999505718</v>
      </c>
      <c r="O393" s="282">
        <f t="shared" si="181"/>
        <v>72.855000000727202</v>
      </c>
    </row>
    <row r="394" spans="1:15" s="212" customFormat="1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6"/>
    </row>
    <row r="395" spans="1:15" s="212" customFormat="1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13"/>
      <c r="M395" s="213"/>
      <c r="N395" s="216"/>
      <c r="O395" s="227" t="s">
        <v>114</v>
      </c>
    </row>
    <row r="396" spans="1:15" s="212" customFormat="1" ht="12.95">
      <c r="A396" s="218"/>
      <c r="B396" s="218"/>
      <c r="C396" s="218"/>
      <c r="D396" s="218"/>
      <c r="E396" s="218"/>
      <c r="F396" s="218"/>
      <c r="G396" s="218"/>
      <c r="H396" s="218"/>
      <c r="I396" s="218"/>
      <c r="J396" s="218"/>
      <c r="K396" s="218"/>
      <c r="L396" s="218"/>
      <c r="M396" s="218"/>
      <c r="N396" s="218"/>
      <c r="O396" s="218"/>
    </row>
    <row r="397" spans="1:15" s="212" customFormat="1" ht="12.95">
      <c r="A397" s="217" t="str">
        <f>name!A26</f>
        <v>Repair and installation</v>
      </c>
      <c r="B397" s="369">
        <f>$B$6</f>
        <v>2015</v>
      </c>
      <c r="C397" s="369"/>
      <c r="D397" s="369"/>
      <c r="E397" s="369"/>
      <c r="F397" s="239"/>
      <c r="G397" s="369">
        <f>$G$6</f>
        <v>2020</v>
      </c>
      <c r="H397" s="369"/>
      <c r="I397" s="369"/>
      <c r="J397" s="369"/>
      <c r="K397" s="239"/>
      <c r="L397" s="369">
        <f>$L$6</f>
        <v>2035</v>
      </c>
      <c r="M397" s="369"/>
      <c r="N397" s="369"/>
      <c r="O397" s="369"/>
    </row>
    <row r="398" spans="1:15" s="212" customFormat="1" ht="12.95">
      <c r="A398" s="230"/>
      <c r="B398" s="244" t="str">
        <f>$B$7</f>
        <v>FT</v>
      </c>
      <c r="C398" s="244" t="str">
        <f>$C$7</f>
        <v>PT</v>
      </c>
      <c r="D398" s="244" t="str">
        <f>$D$7</f>
        <v>SE</v>
      </c>
      <c r="E398" s="244" t="str">
        <f>$E$7</f>
        <v>Total</v>
      </c>
      <c r="F398" s="244"/>
      <c r="G398" s="244" t="str">
        <f>$G$7</f>
        <v>FT</v>
      </c>
      <c r="H398" s="244" t="str">
        <f>$H$7</f>
        <v>PT</v>
      </c>
      <c r="I398" s="244" t="str">
        <f>$I$7</f>
        <v>SE</v>
      </c>
      <c r="J398" s="244" t="str">
        <f>$J$7</f>
        <v>Total</v>
      </c>
      <c r="K398" s="244"/>
      <c r="L398" s="244" t="str">
        <f>$L$7</f>
        <v>FT</v>
      </c>
      <c r="M398" s="244" t="str">
        <f>$M$7</f>
        <v>PT</v>
      </c>
      <c r="N398" s="244" t="str">
        <f>$N$7</f>
        <v>SE</v>
      </c>
      <c r="O398" s="244" t="str">
        <f>$O$7</f>
        <v>Total</v>
      </c>
    </row>
    <row r="399" spans="1:15" s="212" customFormat="1" ht="12.95">
      <c r="A399" s="234"/>
      <c r="B399" s="215"/>
      <c r="C399" s="215"/>
      <c r="D399" s="215"/>
      <c r="E399" s="215"/>
      <c r="F399" s="215"/>
      <c r="G399" s="215"/>
      <c r="H399" s="215"/>
      <c r="I399" s="215"/>
      <c r="J399" s="215"/>
      <c r="K399" s="215"/>
      <c r="L399" s="215"/>
      <c r="M399" s="215"/>
      <c r="N399" s="215"/>
      <c r="O399" s="215"/>
    </row>
    <row r="400" spans="1:15" s="212" customFormat="1">
      <c r="A400" s="213" t="str">
        <f>name!E$4</f>
        <v>Managers, directors and senior officials</v>
      </c>
      <c r="B400" s="278">
        <v>8.0048062704188201</v>
      </c>
      <c r="C400" s="278">
        <v>0.68143610412853295</v>
      </c>
      <c r="D400" s="278">
        <v>4.3526308397593985</v>
      </c>
      <c r="E400" s="278">
        <f>SUM(B400:D400)</f>
        <v>13.038873214306751</v>
      </c>
      <c r="F400" s="279"/>
      <c r="G400" s="278">
        <v>12.296609836299069</v>
      </c>
      <c r="H400" s="278">
        <v>1.3389141268339404</v>
      </c>
      <c r="I400" s="278">
        <v>6.162779772261251</v>
      </c>
      <c r="J400" s="278">
        <f>SUM(G400:I400)</f>
        <v>19.79830373539426</v>
      </c>
      <c r="K400" s="279"/>
      <c r="L400" s="278">
        <v>8.3946451830912849</v>
      </c>
      <c r="M400" s="278">
        <v>1.1272904277308302</v>
      </c>
      <c r="N400" s="278">
        <v>5.7741271536815999</v>
      </c>
      <c r="O400" s="278">
        <f>SUM(L400:N400)</f>
        <v>15.296062764503716</v>
      </c>
    </row>
    <row r="401" spans="1:15" s="212" customFormat="1">
      <c r="A401" s="213" t="str">
        <f>name!E$5</f>
        <v>Professional occupations</v>
      </c>
      <c r="B401" s="278">
        <v>16.947448666948887</v>
      </c>
      <c r="C401" s="278">
        <v>0.7096755983342985</v>
      </c>
      <c r="D401" s="278">
        <v>3.0658446694132908</v>
      </c>
      <c r="E401" s="278">
        <f t="shared" ref="E401:E408" si="182">SUM(B401:D401)</f>
        <v>20.722968934696478</v>
      </c>
      <c r="F401" s="279"/>
      <c r="G401" s="278">
        <v>28.954200707718794</v>
      </c>
      <c r="H401" s="278">
        <v>1.2411138158956807</v>
      </c>
      <c r="I401" s="278">
        <v>3.7544726418581744</v>
      </c>
      <c r="J401" s="278">
        <f t="shared" ref="J401:J403" si="183">SUM(G401:I401)</f>
        <v>33.94978716547265</v>
      </c>
      <c r="K401" s="279"/>
      <c r="L401" s="278">
        <v>29.782646590460804</v>
      </c>
      <c r="M401" s="278">
        <v>1.0535977915062467</v>
      </c>
      <c r="N401" s="278">
        <v>2.4930563481260122</v>
      </c>
      <c r="O401" s="278">
        <f t="shared" ref="O401:O408" si="184">SUM(L401:N401)</f>
        <v>33.32930073009306</v>
      </c>
    </row>
    <row r="402" spans="1:15" s="212" customFormat="1">
      <c r="A402" s="213" t="str">
        <f>name!E$6</f>
        <v>Associate professional occupations</v>
      </c>
      <c r="B402" s="278">
        <v>7.9621651790429278</v>
      </c>
      <c r="C402" s="278">
        <v>0.61185321757988775</v>
      </c>
      <c r="D402" s="278">
        <v>1.6947259807190851</v>
      </c>
      <c r="E402" s="278">
        <f t="shared" si="182"/>
        <v>10.2687443773419</v>
      </c>
      <c r="F402" s="279"/>
      <c r="G402" s="278">
        <v>13.201389982741588</v>
      </c>
      <c r="H402" s="278">
        <v>0.97779662473608997</v>
      </c>
      <c r="I402" s="278">
        <v>2.0104323749816664</v>
      </c>
      <c r="J402" s="278">
        <f t="shared" si="183"/>
        <v>16.189618982459343</v>
      </c>
      <c r="K402" s="279"/>
      <c r="L402" s="278">
        <v>10.019681439215056</v>
      </c>
      <c r="M402" s="278">
        <v>0.6724586865492328</v>
      </c>
      <c r="N402" s="278">
        <v>1.8636240339501577</v>
      </c>
      <c r="O402" s="278">
        <f t="shared" si="184"/>
        <v>12.555764159714446</v>
      </c>
    </row>
    <row r="403" spans="1:15" s="212" customFormat="1">
      <c r="A403" s="213" t="str">
        <f>name!E$7</f>
        <v>Administrative and secretarial occupations</v>
      </c>
      <c r="B403" s="278">
        <v>3.396435581377053</v>
      </c>
      <c r="C403" s="278">
        <v>1.8277402964100633</v>
      </c>
      <c r="D403" s="278">
        <v>0.69012961063990041</v>
      </c>
      <c r="E403" s="278">
        <f t="shared" si="182"/>
        <v>5.9143054884270168</v>
      </c>
      <c r="F403" s="279"/>
      <c r="G403" s="278">
        <v>5.0347811639040643</v>
      </c>
      <c r="H403" s="278">
        <v>1.9766494074453249</v>
      </c>
      <c r="I403" s="278">
        <v>0.6488626440861226</v>
      </c>
      <c r="J403" s="278">
        <f t="shared" si="183"/>
        <v>7.6602932154355114</v>
      </c>
      <c r="K403" s="279"/>
      <c r="L403" s="278">
        <v>4.3006715329780949</v>
      </c>
      <c r="M403" s="278">
        <v>1.1450691783995253</v>
      </c>
      <c r="N403" s="278">
        <v>0.5213834711821681</v>
      </c>
      <c r="O403" s="278">
        <f t="shared" si="184"/>
        <v>5.9671241825597887</v>
      </c>
    </row>
    <row r="404" spans="1:15" s="212" customFormat="1">
      <c r="A404" s="213" t="str">
        <f>name!E$8</f>
        <v>Skilled trades occupations</v>
      </c>
      <c r="B404" s="278">
        <v>19.662445469976461</v>
      </c>
      <c r="C404" s="278">
        <v>0.80225914922587827</v>
      </c>
      <c r="D404" s="278">
        <v>6.3351464100843238</v>
      </c>
      <c r="E404" s="278">
        <f t="shared" si="182"/>
        <v>26.799851029286664</v>
      </c>
      <c r="F404" s="279"/>
      <c r="G404" s="278">
        <v>21.120201803008722</v>
      </c>
      <c r="H404" s="278">
        <v>0.81760522127676749</v>
      </c>
      <c r="I404" s="278">
        <v>6.0258176451664802</v>
      </c>
      <c r="J404" s="278">
        <f>SUM(G404:I404)</f>
        <v>27.963624669451971</v>
      </c>
      <c r="K404" s="279"/>
      <c r="L404" s="278">
        <v>13.946490495629396</v>
      </c>
      <c r="M404" s="278">
        <v>0.75327969661436822</v>
      </c>
      <c r="N404" s="278">
        <v>6.2549107352728823</v>
      </c>
      <c r="O404" s="278">
        <f t="shared" si="184"/>
        <v>20.954680927516648</v>
      </c>
    </row>
    <row r="405" spans="1:15" s="212" customFormat="1">
      <c r="A405" s="213" t="str">
        <f>name!E$9</f>
        <v>Caring, leisure and other service occupations</v>
      </c>
      <c r="B405" s="278">
        <v>0.53605360766096133</v>
      </c>
      <c r="C405" s="278">
        <v>0.33456041719786977</v>
      </c>
      <c r="D405" s="278">
        <v>0.45672183047137072</v>
      </c>
      <c r="E405" s="278">
        <f t="shared" si="182"/>
        <v>1.3273358553302019</v>
      </c>
      <c r="F405" s="279"/>
      <c r="G405" s="278">
        <v>0.79701052603916001</v>
      </c>
      <c r="H405" s="278">
        <v>0.66652053644762843</v>
      </c>
      <c r="I405" s="278">
        <v>0.44163287636288295</v>
      </c>
      <c r="J405" s="278">
        <f t="shared" ref="J405:J408" si="185">SUM(G405:I405)</f>
        <v>1.9051639388496713</v>
      </c>
      <c r="K405" s="279"/>
      <c r="L405" s="278">
        <v>0.67474912437251966</v>
      </c>
      <c r="M405" s="278">
        <v>0.46974303399673617</v>
      </c>
      <c r="N405" s="278">
        <v>0.48430369191654543</v>
      </c>
      <c r="O405" s="278">
        <f t="shared" si="184"/>
        <v>1.6287958502858011</v>
      </c>
    </row>
    <row r="406" spans="1:15" s="212" customFormat="1">
      <c r="A406" s="213" t="str">
        <f>name!E$10</f>
        <v>Sales and customer service occupations</v>
      </c>
      <c r="B406" s="278">
        <v>1.4239934153485467</v>
      </c>
      <c r="C406" s="278">
        <v>0.54946678916492464</v>
      </c>
      <c r="D406" s="278">
        <v>0.48029864732398769</v>
      </c>
      <c r="E406" s="278">
        <f t="shared" si="182"/>
        <v>2.4537588518374589</v>
      </c>
      <c r="F406" s="279"/>
      <c r="G406" s="278">
        <v>1.8733164744598299</v>
      </c>
      <c r="H406" s="278">
        <v>0.76835120744814212</v>
      </c>
      <c r="I406" s="278">
        <v>0.44119619710891411</v>
      </c>
      <c r="J406" s="278">
        <f t="shared" si="185"/>
        <v>3.0828638790168861</v>
      </c>
      <c r="K406" s="279"/>
      <c r="L406" s="278">
        <v>1.6079819077396831</v>
      </c>
      <c r="M406" s="278">
        <v>0.69887313943592699</v>
      </c>
      <c r="N406" s="278">
        <v>0.34017020247585478</v>
      </c>
      <c r="O406" s="278">
        <f t="shared" si="184"/>
        <v>2.647025249651465</v>
      </c>
    </row>
    <row r="407" spans="1:15" s="212" customFormat="1">
      <c r="A407" s="213" t="str">
        <f>name!E$11</f>
        <v>Process, plant and machine operatives</v>
      </c>
      <c r="B407" s="278">
        <v>9.8186496834814498</v>
      </c>
      <c r="C407" s="278">
        <v>0.79452290289271488</v>
      </c>
      <c r="D407" s="278">
        <v>1.1208493042466539</v>
      </c>
      <c r="E407" s="278">
        <f t="shared" si="182"/>
        <v>11.734021890620818</v>
      </c>
      <c r="F407" s="279"/>
      <c r="G407" s="278">
        <v>9.6172166039466411</v>
      </c>
      <c r="H407" s="278">
        <v>0.85871031067056425</v>
      </c>
      <c r="I407" s="278">
        <v>1.5662258897772181</v>
      </c>
      <c r="J407" s="278">
        <f t="shared" si="185"/>
        <v>12.042152804394423</v>
      </c>
      <c r="K407" s="279"/>
      <c r="L407" s="278">
        <v>6.8005336085182764</v>
      </c>
      <c r="M407" s="278">
        <v>0.63363643271984549</v>
      </c>
      <c r="N407" s="278">
        <v>1.7384331408554787</v>
      </c>
      <c r="O407" s="278">
        <f t="shared" si="184"/>
        <v>9.1726031820936011</v>
      </c>
    </row>
    <row r="408" spans="1:15" s="212" customFormat="1">
      <c r="A408" s="213" t="str">
        <f>name!E$12</f>
        <v>Elementary occupations</v>
      </c>
      <c r="B408" s="278">
        <v>2.5170021255010457</v>
      </c>
      <c r="C408" s="278">
        <v>0.61748552512227417</v>
      </c>
      <c r="D408" s="278">
        <v>0.78165270743909698</v>
      </c>
      <c r="E408" s="278">
        <f t="shared" si="182"/>
        <v>3.9161403580624166</v>
      </c>
      <c r="F408" s="279"/>
      <c r="G408" s="278">
        <v>2.607272901497204</v>
      </c>
      <c r="H408" s="278">
        <v>0.59933874924532171</v>
      </c>
      <c r="I408" s="278">
        <v>0.57457995837936782</v>
      </c>
      <c r="J408" s="278">
        <f t="shared" si="185"/>
        <v>3.7811916091218936</v>
      </c>
      <c r="K408" s="279"/>
      <c r="L408" s="278">
        <v>1.8776001181323709</v>
      </c>
      <c r="M408" s="278">
        <v>0.81505161309314034</v>
      </c>
      <c r="N408" s="278">
        <v>0.56599122246782252</v>
      </c>
      <c r="O408" s="278">
        <f t="shared" si="184"/>
        <v>3.2586429536933341</v>
      </c>
    </row>
    <row r="409" spans="1:15" s="212" customFormat="1">
      <c r="A409" s="213"/>
      <c r="B409" s="278"/>
      <c r="C409" s="278"/>
      <c r="D409" s="278"/>
      <c r="E409" s="278"/>
      <c r="F409" s="279"/>
      <c r="G409" s="278"/>
      <c r="H409" s="278"/>
      <c r="I409" s="278"/>
      <c r="J409" s="278"/>
      <c r="K409" s="279"/>
      <c r="L409" s="278"/>
      <c r="M409" s="278"/>
      <c r="N409" s="278"/>
      <c r="O409" s="278"/>
    </row>
    <row r="410" spans="1:15" s="212" customFormat="1">
      <c r="A410" s="220" t="s">
        <v>119</v>
      </c>
      <c r="B410" s="282">
        <f>SUM(B400:B408)</f>
        <v>70.268999999756161</v>
      </c>
      <c r="C410" s="282">
        <f t="shared" ref="C410:E410" si="186">SUM(C400:C408)</f>
        <v>6.929000000056444</v>
      </c>
      <c r="D410" s="282">
        <f t="shared" si="186"/>
        <v>18.978000000097108</v>
      </c>
      <c r="E410" s="282">
        <f t="shared" si="186"/>
        <v>96.175999999909735</v>
      </c>
      <c r="F410" s="282"/>
      <c r="G410" s="282">
        <f t="shared" ref="G410:J410" si="187">SUM(G400:G408)</f>
        <v>95.501999999615066</v>
      </c>
      <c r="H410" s="282">
        <f t="shared" si="187"/>
        <v>9.2449999999994592</v>
      </c>
      <c r="I410" s="282">
        <f t="shared" si="187"/>
        <v>21.625999999982074</v>
      </c>
      <c r="J410" s="282">
        <f t="shared" si="187"/>
        <v>126.3729999995966</v>
      </c>
      <c r="K410" s="282"/>
      <c r="L410" s="282">
        <f t="shared" ref="L410:O410" si="188">SUM(L400:L408)</f>
        <v>77.405000000137491</v>
      </c>
      <c r="M410" s="282">
        <f t="shared" si="188"/>
        <v>7.369000000045852</v>
      </c>
      <c r="N410" s="282">
        <f t="shared" si="188"/>
        <v>20.035999999928517</v>
      </c>
      <c r="O410" s="282">
        <f t="shared" si="188"/>
        <v>104.81000000011186</v>
      </c>
    </row>
    <row r="411" spans="1:15" s="212" customFormat="1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3"/>
      <c r="M411" s="213"/>
      <c r="N411" s="216"/>
    </row>
    <row r="412" spans="1:15" s="212" customFormat="1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13"/>
      <c r="M412" s="213"/>
      <c r="N412" s="216"/>
      <c r="O412" s="227" t="s">
        <v>114</v>
      </c>
    </row>
    <row r="413" spans="1:15" s="212" customFormat="1" ht="12.95">
      <c r="A413" s="218"/>
      <c r="B413" s="218"/>
      <c r="C413" s="218"/>
      <c r="D413" s="218"/>
      <c r="E413" s="218"/>
      <c r="F413" s="218"/>
      <c r="G413" s="218"/>
      <c r="H413" s="218"/>
      <c r="I413" s="218"/>
      <c r="J413" s="218"/>
      <c r="K413" s="218"/>
      <c r="L413" s="218"/>
      <c r="M413" s="218"/>
      <c r="N413" s="218"/>
      <c r="O413" s="218"/>
    </row>
    <row r="414" spans="1:15" s="212" customFormat="1" ht="12.95">
      <c r="A414" s="217" t="str">
        <f>name!A27</f>
        <v>Electricity, gas, etc</v>
      </c>
      <c r="B414" s="369">
        <f>$B$6</f>
        <v>2015</v>
      </c>
      <c r="C414" s="369"/>
      <c r="D414" s="369"/>
      <c r="E414" s="369"/>
      <c r="F414" s="239"/>
      <c r="G414" s="369">
        <f>$G$6</f>
        <v>2020</v>
      </c>
      <c r="H414" s="369"/>
      <c r="I414" s="369"/>
      <c r="J414" s="369"/>
      <c r="K414" s="239"/>
      <c r="L414" s="369">
        <f>$L$6</f>
        <v>2035</v>
      </c>
      <c r="M414" s="369"/>
      <c r="N414" s="369"/>
      <c r="O414" s="369"/>
    </row>
    <row r="415" spans="1:15" s="212" customFormat="1" ht="12.95">
      <c r="A415" s="230"/>
      <c r="B415" s="244" t="str">
        <f>$B$7</f>
        <v>FT</v>
      </c>
      <c r="C415" s="244" t="str">
        <f>$C$7</f>
        <v>PT</v>
      </c>
      <c r="D415" s="244" t="str">
        <f>$D$7</f>
        <v>SE</v>
      </c>
      <c r="E415" s="244" t="str">
        <f>$E$7</f>
        <v>Total</v>
      </c>
      <c r="F415" s="244"/>
      <c r="G415" s="244" t="str">
        <f>$G$7</f>
        <v>FT</v>
      </c>
      <c r="H415" s="244" t="str">
        <f>$H$7</f>
        <v>PT</v>
      </c>
      <c r="I415" s="244" t="str">
        <f>$I$7</f>
        <v>SE</v>
      </c>
      <c r="J415" s="244" t="str">
        <f>$J$7</f>
        <v>Total</v>
      </c>
      <c r="K415" s="244"/>
      <c r="L415" s="244" t="str">
        <f>$L$7</f>
        <v>FT</v>
      </c>
      <c r="M415" s="244" t="str">
        <f>$M$7</f>
        <v>PT</v>
      </c>
      <c r="N415" s="244" t="str">
        <f>$N$7</f>
        <v>SE</v>
      </c>
      <c r="O415" s="244" t="str">
        <f>$O$7</f>
        <v>Total</v>
      </c>
    </row>
    <row r="416" spans="1:15" s="212" customFormat="1" ht="12.95">
      <c r="A416" s="234"/>
      <c r="B416" s="215"/>
      <c r="C416" s="215"/>
      <c r="D416" s="215"/>
      <c r="E416" s="215"/>
      <c r="F416" s="215"/>
      <c r="G416" s="215"/>
      <c r="H416" s="215"/>
      <c r="I416" s="215"/>
      <c r="J416" s="215"/>
      <c r="K416" s="215"/>
      <c r="L416" s="215"/>
      <c r="M416" s="215"/>
      <c r="N416" s="215"/>
      <c r="O416" s="215"/>
    </row>
    <row r="417" spans="1:15" s="212" customFormat="1">
      <c r="A417" s="213" t="str">
        <f>name!E$4</f>
        <v>Managers, directors and senior officials</v>
      </c>
      <c r="B417" s="278">
        <v>9.6520279901699571</v>
      </c>
      <c r="C417" s="278">
        <v>0.33512701555003543</v>
      </c>
      <c r="D417" s="278">
        <v>1.2396513317145172</v>
      </c>
      <c r="E417" s="278">
        <f>SUM(B417:D417)</f>
        <v>11.22680633743451</v>
      </c>
      <c r="F417" s="279"/>
      <c r="G417" s="278">
        <v>12.724028184070288</v>
      </c>
      <c r="H417" s="278">
        <v>0.54344184384375982</v>
      </c>
      <c r="I417" s="278">
        <v>1.2378867220734993</v>
      </c>
      <c r="J417" s="278">
        <f>SUM(G417:I417)</f>
        <v>14.505356749987547</v>
      </c>
      <c r="K417" s="279"/>
      <c r="L417" s="278">
        <v>11.433886915785889</v>
      </c>
      <c r="M417" s="278">
        <v>0.59682285958273429</v>
      </c>
      <c r="N417" s="278">
        <v>1.3489450313084141</v>
      </c>
      <c r="O417" s="278">
        <f>SUM(L417:N417)</f>
        <v>13.379654806677038</v>
      </c>
    </row>
    <row r="418" spans="1:15" s="212" customFormat="1">
      <c r="A418" s="213" t="str">
        <f>name!E$5</f>
        <v>Professional occupations</v>
      </c>
      <c r="B418" s="278">
        <v>19.778158954399615</v>
      </c>
      <c r="C418" s="278">
        <v>0.46449716355863335</v>
      </c>
      <c r="D418" s="278">
        <v>1.578773120668395</v>
      </c>
      <c r="E418" s="278">
        <f t="shared" ref="E418:E425" si="189">SUM(B418:D418)</f>
        <v>21.821429238626642</v>
      </c>
      <c r="F418" s="279"/>
      <c r="G418" s="278">
        <v>29.198565343572849</v>
      </c>
      <c r="H418" s="278">
        <v>0.62984251249178125</v>
      </c>
      <c r="I418" s="278">
        <v>1.3388388220947018</v>
      </c>
      <c r="J418" s="278">
        <f t="shared" ref="J418:J420" si="190">SUM(G418:I418)</f>
        <v>31.16724667815933</v>
      </c>
      <c r="K418" s="279"/>
      <c r="L418" s="278">
        <v>34.664240628916261</v>
      </c>
      <c r="M418" s="278">
        <v>0.68567357204327417</v>
      </c>
      <c r="N418" s="278">
        <v>0.88312776218054001</v>
      </c>
      <c r="O418" s="278">
        <f t="shared" ref="O418:O425" si="191">SUM(L418:N418)</f>
        <v>36.233041963140074</v>
      </c>
    </row>
    <row r="419" spans="1:15" s="212" customFormat="1">
      <c r="A419" s="213" t="str">
        <f>name!E$6</f>
        <v>Associate professional occupations</v>
      </c>
      <c r="B419" s="278">
        <v>12.478178893848803</v>
      </c>
      <c r="C419" s="278">
        <v>0.58545986529588001</v>
      </c>
      <c r="D419" s="278">
        <v>0.74427925541297213</v>
      </c>
      <c r="E419" s="278">
        <f t="shared" si="189"/>
        <v>13.807918014557654</v>
      </c>
      <c r="F419" s="279"/>
      <c r="G419" s="278">
        <v>17.915650327044553</v>
      </c>
      <c r="H419" s="278">
        <v>0.73248127508939676</v>
      </c>
      <c r="I419" s="278">
        <v>0.77374514911815506</v>
      </c>
      <c r="J419" s="278">
        <f t="shared" si="190"/>
        <v>19.421876751252107</v>
      </c>
      <c r="K419" s="279"/>
      <c r="L419" s="278">
        <v>16.196364538007501</v>
      </c>
      <c r="M419" s="278">
        <v>0.71179062585063346</v>
      </c>
      <c r="N419" s="278">
        <v>0.67511784056040802</v>
      </c>
      <c r="O419" s="278">
        <f t="shared" si="191"/>
        <v>17.58327300441854</v>
      </c>
    </row>
    <row r="420" spans="1:15" s="212" customFormat="1">
      <c r="A420" s="213" t="str">
        <f>name!E$7</f>
        <v>Administrative and secretarial occupations</v>
      </c>
      <c r="B420" s="278">
        <v>9.4829520423056604</v>
      </c>
      <c r="C420" s="278">
        <v>1.7266855876970344</v>
      </c>
      <c r="D420" s="278">
        <v>0.4000846787062145</v>
      </c>
      <c r="E420" s="278">
        <f t="shared" si="189"/>
        <v>11.609722308708909</v>
      </c>
      <c r="F420" s="279"/>
      <c r="G420" s="278">
        <v>11.057135965464035</v>
      </c>
      <c r="H420" s="278">
        <v>1.7378535389497196</v>
      </c>
      <c r="I420" s="278">
        <v>0.33517945261018683</v>
      </c>
      <c r="J420" s="278">
        <f t="shared" si="190"/>
        <v>13.130168957023942</v>
      </c>
      <c r="K420" s="279"/>
      <c r="L420" s="278">
        <v>9.1075005349615523</v>
      </c>
      <c r="M420" s="278">
        <v>1.4583716338201316</v>
      </c>
      <c r="N420" s="278">
        <v>0.68188851975925313</v>
      </c>
      <c r="O420" s="278">
        <f t="shared" si="191"/>
        <v>11.247760688540938</v>
      </c>
    </row>
    <row r="421" spans="1:15" s="212" customFormat="1">
      <c r="A421" s="213" t="str">
        <f>name!E$8</f>
        <v>Skilled trades occupations</v>
      </c>
      <c r="B421" s="278">
        <v>17.572990363501052</v>
      </c>
      <c r="C421" s="278">
        <v>0.5179121052115655</v>
      </c>
      <c r="D421" s="278">
        <v>1.5842698339930932</v>
      </c>
      <c r="E421" s="278">
        <f t="shared" si="189"/>
        <v>19.675172302705711</v>
      </c>
      <c r="F421" s="279"/>
      <c r="G421" s="278">
        <v>15.98573207441296</v>
      </c>
      <c r="H421" s="278">
        <v>0.29433666646957207</v>
      </c>
      <c r="I421" s="278">
        <v>1.2790567766187384</v>
      </c>
      <c r="J421" s="278">
        <f>SUM(G421:I421)</f>
        <v>17.559125517501268</v>
      </c>
      <c r="K421" s="279"/>
      <c r="L421" s="278">
        <v>11.461332786041817</v>
      </c>
      <c r="M421" s="278">
        <v>0.27174413449800089</v>
      </c>
      <c r="N421" s="278">
        <v>1.3012729995246939</v>
      </c>
      <c r="O421" s="278">
        <f t="shared" si="191"/>
        <v>13.034349920064511</v>
      </c>
    </row>
    <row r="422" spans="1:15" s="212" customFormat="1">
      <c r="A422" s="213" t="str">
        <f>name!E$9</f>
        <v>Caring, leisure and other service occupations</v>
      </c>
      <c r="B422" s="278">
        <v>1.7553226813901082</v>
      </c>
      <c r="C422" s="278">
        <v>0.28742579330109264</v>
      </c>
      <c r="D422" s="278">
        <v>0.19527791947717468</v>
      </c>
      <c r="E422" s="278">
        <f t="shared" si="189"/>
        <v>2.2380263941683753</v>
      </c>
      <c r="F422" s="279"/>
      <c r="G422" s="278">
        <v>2.2139242642246701</v>
      </c>
      <c r="H422" s="278">
        <v>0.32738248518233176</v>
      </c>
      <c r="I422" s="278">
        <v>0.35751014969766381</v>
      </c>
      <c r="J422" s="278">
        <f t="shared" ref="J422:J425" si="192">SUM(G422:I422)</f>
        <v>2.8988168991046654</v>
      </c>
      <c r="K422" s="279"/>
      <c r="L422" s="278">
        <v>2.0620522875647951</v>
      </c>
      <c r="M422" s="278">
        <v>0.23509719147548833</v>
      </c>
      <c r="N422" s="278">
        <v>0.32791324401320687</v>
      </c>
      <c r="O422" s="278">
        <f t="shared" si="191"/>
        <v>2.6250627230534906</v>
      </c>
    </row>
    <row r="423" spans="1:15" s="212" customFormat="1">
      <c r="A423" s="213" t="str">
        <f>name!E$10</f>
        <v>Sales and customer service occupations</v>
      </c>
      <c r="B423" s="278">
        <v>8.0331630172511588</v>
      </c>
      <c r="C423" s="278">
        <v>2.8199018249577792</v>
      </c>
      <c r="D423" s="278">
        <v>0.71803791192965749</v>
      </c>
      <c r="E423" s="278">
        <f t="shared" si="189"/>
        <v>11.571102754138595</v>
      </c>
      <c r="F423" s="279"/>
      <c r="G423" s="278">
        <v>9.5132286961351511</v>
      </c>
      <c r="H423" s="278">
        <v>3.454854756415306</v>
      </c>
      <c r="I423" s="278">
        <v>0.40742186995160917</v>
      </c>
      <c r="J423" s="278">
        <f t="shared" si="192"/>
        <v>13.375505322502066</v>
      </c>
      <c r="K423" s="279"/>
      <c r="L423" s="278">
        <v>9.6156941610695661</v>
      </c>
      <c r="M423" s="278">
        <v>3.6128901494271202</v>
      </c>
      <c r="N423" s="278">
        <v>0.34568321100566157</v>
      </c>
      <c r="O423" s="278">
        <f t="shared" si="191"/>
        <v>13.574267521502348</v>
      </c>
    </row>
    <row r="424" spans="1:15" s="212" customFormat="1">
      <c r="A424" s="213" t="str">
        <f>name!E$11</f>
        <v>Process, plant and machine operatives</v>
      </c>
      <c r="B424" s="278">
        <v>3.7966766942894652</v>
      </c>
      <c r="C424" s="278">
        <v>0.17334550577226485</v>
      </c>
      <c r="D424" s="278">
        <v>0.67061378201404753</v>
      </c>
      <c r="E424" s="278">
        <f t="shared" si="189"/>
        <v>4.6406359820757777</v>
      </c>
      <c r="F424" s="279"/>
      <c r="G424" s="278">
        <v>3.8258226649749676</v>
      </c>
      <c r="H424" s="278">
        <v>0.16523269414289637</v>
      </c>
      <c r="I424" s="278">
        <v>0.56158168726103486</v>
      </c>
      <c r="J424" s="278">
        <f t="shared" si="192"/>
        <v>4.5526370463788988</v>
      </c>
      <c r="K424" s="279"/>
      <c r="L424" s="278">
        <v>3.4263768737890943</v>
      </c>
      <c r="M424" s="278">
        <v>0.18068008322913726</v>
      </c>
      <c r="N424" s="278">
        <v>0.57178190857225664</v>
      </c>
      <c r="O424" s="278">
        <f t="shared" si="191"/>
        <v>4.178838865590488</v>
      </c>
    </row>
    <row r="425" spans="1:15" s="212" customFormat="1">
      <c r="A425" s="213" t="str">
        <f>name!E$12</f>
        <v>Elementary occupations</v>
      </c>
      <c r="B425" s="278">
        <v>1.2725293623336684</v>
      </c>
      <c r="C425" s="278">
        <v>0.51664513874603069</v>
      </c>
      <c r="D425" s="278">
        <v>0.40601216606853152</v>
      </c>
      <c r="E425" s="278">
        <f t="shared" si="189"/>
        <v>2.1951866671482305</v>
      </c>
      <c r="F425" s="279"/>
      <c r="G425" s="278">
        <v>1.3169124794676863</v>
      </c>
      <c r="H425" s="278">
        <v>0.49657422751854885</v>
      </c>
      <c r="I425" s="278">
        <v>0.30677937057429788</v>
      </c>
      <c r="J425" s="278">
        <f t="shared" si="192"/>
        <v>2.1202660775605331</v>
      </c>
      <c r="K425" s="279"/>
      <c r="L425" s="278">
        <v>0.98855127408604315</v>
      </c>
      <c r="M425" s="278">
        <v>0.33892975018420329</v>
      </c>
      <c r="N425" s="278">
        <v>0.31026948325365489</v>
      </c>
      <c r="O425" s="278">
        <f t="shared" si="191"/>
        <v>1.6377505075239012</v>
      </c>
    </row>
    <row r="426" spans="1:15" s="212" customFormat="1">
      <c r="A426" s="213"/>
      <c r="B426" s="278"/>
      <c r="C426" s="278"/>
      <c r="D426" s="278"/>
      <c r="E426" s="278"/>
      <c r="F426" s="279"/>
      <c r="G426" s="278"/>
      <c r="H426" s="278"/>
      <c r="I426" s="278"/>
      <c r="J426" s="278"/>
      <c r="K426" s="279"/>
      <c r="L426" s="278"/>
      <c r="M426" s="278"/>
      <c r="N426" s="278"/>
      <c r="O426" s="278"/>
    </row>
    <row r="427" spans="1:15" s="212" customFormat="1">
      <c r="A427" s="220" t="s">
        <v>119</v>
      </c>
      <c r="B427" s="282">
        <f>SUM(B417:B425)</f>
        <v>83.821999999489492</v>
      </c>
      <c r="C427" s="282">
        <f t="shared" ref="C427:E427" si="193">SUM(C417:C425)</f>
        <v>7.4270000000903167</v>
      </c>
      <c r="D427" s="282">
        <f t="shared" si="193"/>
        <v>7.5369999999846033</v>
      </c>
      <c r="E427" s="282">
        <f t="shared" si="193"/>
        <v>98.78599999956441</v>
      </c>
      <c r="F427" s="282"/>
      <c r="G427" s="282">
        <f t="shared" ref="G427:J427" si="194">SUM(G417:G425)</f>
        <v>103.75099999936718</v>
      </c>
      <c r="H427" s="282">
        <f t="shared" si="194"/>
        <v>8.3820000001033144</v>
      </c>
      <c r="I427" s="282">
        <f t="shared" si="194"/>
        <v>6.5979999999998871</v>
      </c>
      <c r="J427" s="282">
        <f t="shared" si="194"/>
        <v>118.73099999947036</v>
      </c>
      <c r="K427" s="282"/>
      <c r="L427" s="282">
        <f t="shared" ref="L427:O427" si="195">SUM(L417:L425)</f>
        <v>98.956000000222531</v>
      </c>
      <c r="M427" s="282">
        <f t="shared" si="195"/>
        <v>8.0920000001107226</v>
      </c>
      <c r="N427" s="282">
        <f t="shared" si="195"/>
        <v>6.4460000001780893</v>
      </c>
      <c r="O427" s="282">
        <f t="shared" si="195"/>
        <v>113.49400000051133</v>
      </c>
    </row>
    <row r="428" spans="1:15" s="212" customFormat="1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3"/>
      <c r="M428" s="213"/>
      <c r="N428" s="216"/>
    </row>
    <row r="429" spans="1:15" s="212" customFormat="1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13"/>
      <c r="M429" s="213"/>
      <c r="N429" s="216"/>
      <c r="O429" s="227" t="s">
        <v>114</v>
      </c>
    </row>
    <row r="430" spans="1:15" s="212" customFormat="1" ht="12.95">
      <c r="A430" s="218"/>
      <c r="B430" s="218"/>
      <c r="C430" s="218"/>
      <c r="D430" s="218"/>
      <c r="E430" s="218"/>
      <c r="F430" s="218"/>
      <c r="G430" s="218"/>
      <c r="H430" s="218"/>
      <c r="I430" s="218"/>
      <c r="J430" s="218"/>
      <c r="K430" s="218"/>
      <c r="L430" s="218"/>
      <c r="M430" s="218"/>
      <c r="N430" s="218"/>
      <c r="O430" s="218"/>
    </row>
    <row r="431" spans="1:15" s="212" customFormat="1" ht="12.95">
      <c r="A431" s="217" t="str">
        <f>name!A28</f>
        <v>Water</v>
      </c>
      <c r="B431" s="369">
        <f>$B$6</f>
        <v>2015</v>
      </c>
      <c r="C431" s="369"/>
      <c r="D431" s="369"/>
      <c r="E431" s="369"/>
      <c r="F431" s="239"/>
      <c r="G431" s="369">
        <f>$G$6</f>
        <v>2020</v>
      </c>
      <c r="H431" s="369"/>
      <c r="I431" s="369"/>
      <c r="J431" s="369"/>
      <c r="K431" s="239"/>
      <c r="L431" s="369">
        <f>$L$6</f>
        <v>2035</v>
      </c>
      <c r="M431" s="369"/>
      <c r="N431" s="369"/>
      <c r="O431" s="369"/>
    </row>
    <row r="432" spans="1:15" s="212" customFormat="1" ht="12.95">
      <c r="A432" s="230"/>
      <c r="B432" s="244" t="str">
        <f>$B$7</f>
        <v>FT</v>
      </c>
      <c r="C432" s="244" t="str">
        <f>$C$7</f>
        <v>PT</v>
      </c>
      <c r="D432" s="244" t="str">
        <f>$D$7</f>
        <v>SE</v>
      </c>
      <c r="E432" s="244" t="str">
        <f>$E$7</f>
        <v>Total</v>
      </c>
      <c r="F432" s="244"/>
      <c r="G432" s="244" t="str">
        <f>$G$7</f>
        <v>FT</v>
      </c>
      <c r="H432" s="244" t="str">
        <f>$H$7</f>
        <v>PT</v>
      </c>
      <c r="I432" s="244" t="str">
        <f>$I$7</f>
        <v>SE</v>
      </c>
      <c r="J432" s="244" t="str">
        <f>$J$7</f>
        <v>Total</v>
      </c>
      <c r="K432" s="244"/>
      <c r="L432" s="244" t="str">
        <f>$L$7</f>
        <v>FT</v>
      </c>
      <c r="M432" s="244" t="str">
        <f>$M$7</f>
        <v>PT</v>
      </c>
      <c r="N432" s="244" t="str">
        <f>$N$7</f>
        <v>SE</v>
      </c>
      <c r="O432" s="244" t="str">
        <f>$O$7</f>
        <v>Total</v>
      </c>
    </row>
    <row r="433" spans="1:15" s="212" customFormat="1" ht="12.95">
      <c r="A433" s="234"/>
      <c r="B433" s="215"/>
      <c r="C433" s="215"/>
      <c r="D433" s="215"/>
      <c r="E433" s="215"/>
      <c r="F433" s="215"/>
      <c r="G433" s="215"/>
      <c r="H433" s="215"/>
      <c r="I433" s="215"/>
      <c r="J433" s="215"/>
      <c r="K433" s="215"/>
      <c r="L433" s="215"/>
      <c r="M433" s="215"/>
      <c r="N433" s="215"/>
      <c r="O433" s="215"/>
    </row>
    <row r="434" spans="1:15" s="212" customFormat="1">
      <c r="A434" s="213" t="str">
        <f>name!E$4</f>
        <v>Managers, directors and senior officials</v>
      </c>
      <c r="B434" s="278">
        <v>3.4960872959012348</v>
      </c>
      <c r="C434" s="278">
        <v>0.29607844395149779</v>
      </c>
      <c r="D434" s="278">
        <v>0.2224943735942336</v>
      </c>
      <c r="E434" s="278">
        <f>SUM(B434:D434)</f>
        <v>4.0146601134469666</v>
      </c>
      <c r="F434" s="279"/>
      <c r="G434" s="278">
        <v>4.6092621066064314</v>
      </c>
      <c r="H434" s="278">
        <v>0.40202521149219639</v>
      </c>
      <c r="I434" s="278">
        <v>0.19759725752644264</v>
      </c>
      <c r="J434" s="278">
        <f>SUM(G434:I434)</f>
        <v>5.2088845756250706</v>
      </c>
      <c r="K434" s="279"/>
      <c r="L434" s="278">
        <v>4.7185764484649431</v>
      </c>
      <c r="M434" s="278">
        <v>0.46499003476597572</v>
      </c>
      <c r="N434" s="278">
        <v>0.19426656197540831</v>
      </c>
      <c r="O434" s="278">
        <f>SUM(L434:N434)</f>
        <v>5.3778330452063274</v>
      </c>
    </row>
    <row r="435" spans="1:15" s="212" customFormat="1">
      <c r="A435" s="213" t="str">
        <f>name!E$5</f>
        <v>Professional occupations</v>
      </c>
      <c r="B435" s="278">
        <v>5.2613377091595082</v>
      </c>
      <c r="C435" s="278">
        <v>0.48334141381809209</v>
      </c>
      <c r="D435" s="278">
        <v>0.26650506027529647</v>
      </c>
      <c r="E435" s="278">
        <f t="shared" ref="E435:E442" si="196">SUM(B435:D435)</f>
        <v>6.0111841832528965</v>
      </c>
      <c r="F435" s="279"/>
      <c r="G435" s="278">
        <v>7.7395199277314966</v>
      </c>
      <c r="H435" s="278">
        <v>0.59795779899595569</v>
      </c>
      <c r="I435" s="278">
        <v>0.35800246945002223</v>
      </c>
      <c r="J435" s="278">
        <f t="shared" ref="J435:J437" si="197">SUM(G435:I435)</f>
        <v>8.6954801961774759</v>
      </c>
      <c r="K435" s="279"/>
      <c r="L435" s="278">
        <v>11.195924560057939</v>
      </c>
      <c r="M435" s="278">
        <v>0.79981440962760808</v>
      </c>
      <c r="N435" s="278">
        <v>0.35597710923509862</v>
      </c>
      <c r="O435" s="278">
        <f t="shared" ref="O435:O442" si="198">SUM(L435:N435)</f>
        <v>12.351716078920646</v>
      </c>
    </row>
    <row r="436" spans="1:15" s="212" customFormat="1">
      <c r="A436" s="213" t="str">
        <f>name!E$6</f>
        <v>Associate professional occupations</v>
      </c>
      <c r="B436" s="278">
        <v>4.4509592728149689</v>
      </c>
      <c r="C436" s="278">
        <v>0.74537661255722398</v>
      </c>
      <c r="D436" s="278">
        <v>0.2297492301148531</v>
      </c>
      <c r="E436" s="278">
        <f t="shared" si="196"/>
        <v>5.4260851154870462</v>
      </c>
      <c r="F436" s="279"/>
      <c r="G436" s="278">
        <v>5.752003305455788</v>
      </c>
      <c r="H436" s="278">
        <v>0.86410516479308397</v>
      </c>
      <c r="I436" s="278">
        <v>0.11175933986804502</v>
      </c>
      <c r="J436" s="278">
        <f t="shared" si="197"/>
        <v>6.7278678101169165</v>
      </c>
      <c r="K436" s="279"/>
      <c r="L436" s="278">
        <v>6.4054659256657631</v>
      </c>
      <c r="M436" s="278">
        <v>0.9247035349456656</v>
      </c>
      <c r="N436" s="278">
        <v>0.14311171372015766</v>
      </c>
      <c r="O436" s="278">
        <f t="shared" si="198"/>
        <v>7.4732811743315866</v>
      </c>
    </row>
    <row r="437" spans="1:15" s="212" customFormat="1">
      <c r="A437" s="213" t="str">
        <f>name!E$7</f>
        <v>Administrative and secretarial occupations</v>
      </c>
      <c r="B437" s="278">
        <v>2.5781730064735076</v>
      </c>
      <c r="C437" s="278">
        <v>0.81902125431664285</v>
      </c>
      <c r="D437" s="278">
        <v>9.302698318793122E-2</v>
      </c>
      <c r="E437" s="278">
        <f t="shared" si="196"/>
        <v>3.4902212439780813</v>
      </c>
      <c r="F437" s="279"/>
      <c r="G437" s="278">
        <v>2.5164675160968191</v>
      </c>
      <c r="H437" s="278">
        <v>0.70617574195720245</v>
      </c>
      <c r="I437" s="278">
        <v>4.3349329452468083E-2</v>
      </c>
      <c r="J437" s="278">
        <f t="shared" si="197"/>
        <v>3.2659925875064895</v>
      </c>
      <c r="K437" s="279"/>
      <c r="L437" s="278">
        <v>2.8098312914005401</v>
      </c>
      <c r="M437" s="278">
        <v>0.75312032621846092</v>
      </c>
      <c r="N437" s="278">
        <v>8.9028545445465082E-2</v>
      </c>
      <c r="O437" s="278">
        <f t="shared" si="198"/>
        <v>3.6519801630644664</v>
      </c>
    </row>
    <row r="438" spans="1:15" s="212" customFormat="1">
      <c r="A438" s="213" t="str">
        <f>name!E$8</f>
        <v>Skilled trades occupations</v>
      </c>
      <c r="B438" s="278">
        <v>4.2406931342665084</v>
      </c>
      <c r="C438" s="278">
        <v>0.14776129367338894</v>
      </c>
      <c r="D438" s="278">
        <v>0.32084010755574233</v>
      </c>
      <c r="E438" s="278">
        <f t="shared" si="196"/>
        <v>4.7092945354956397</v>
      </c>
      <c r="F438" s="279"/>
      <c r="G438" s="278">
        <v>4.114342113609502</v>
      </c>
      <c r="H438" s="278">
        <v>0.12733101338497491</v>
      </c>
      <c r="I438" s="278">
        <v>0.26836558603450805</v>
      </c>
      <c r="J438" s="278">
        <f>SUM(G438:I438)</f>
        <v>4.510038713028985</v>
      </c>
      <c r="K438" s="279"/>
      <c r="L438" s="278">
        <v>3.6758755972294499</v>
      </c>
      <c r="M438" s="278">
        <v>0.17453693997624764</v>
      </c>
      <c r="N438" s="278">
        <v>0.28019766309561911</v>
      </c>
      <c r="O438" s="278">
        <f t="shared" si="198"/>
        <v>4.1306102003013168</v>
      </c>
    </row>
    <row r="439" spans="1:15" s="212" customFormat="1">
      <c r="A439" s="213" t="str">
        <f>name!E$9</f>
        <v>Caring, leisure and other service occupations</v>
      </c>
      <c r="B439" s="278">
        <v>0.29662684892881991</v>
      </c>
      <c r="C439" s="278">
        <v>0.18357354558847294</v>
      </c>
      <c r="D439" s="278">
        <v>0.1937275547059446</v>
      </c>
      <c r="E439" s="278">
        <f t="shared" si="196"/>
        <v>0.67392794922323751</v>
      </c>
      <c r="F439" s="279"/>
      <c r="G439" s="278">
        <v>0.2686885123501157</v>
      </c>
      <c r="H439" s="278">
        <v>0.16370787329629505</v>
      </c>
      <c r="I439" s="278">
        <v>3.9611360742399855E-2</v>
      </c>
      <c r="J439" s="278">
        <f t="shared" ref="J439:J442" si="199">SUM(G439:I439)</f>
        <v>0.4720077463888106</v>
      </c>
      <c r="K439" s="279"/>
      <c r="L439" s="278">
        <v>0.34419477016969463</v>
      </c>
      <c r="M439" s="278">
        <v>0.14685043494934955</v>
      </c>
      <c r="N439" s="278">
        <v>4.3931428724679304E-2</v>
      </c>
      <c r="O439" s="278">
        <f t="shared" si="198"/>
        <v>0.5349766338437234</v>
      </c>
    </row>
    <row r="440" spans="1:15" s="212" customFormat="1">
      <c r="A440" s="213" t="str">
        <f>name!E$10</f>
        <v>Sales and customer service occupations</v>
      </c>
      <c r="B440" s="278">
        <v>1.350981747114453</v>
      </c>
      <c r="C440" s="278">
        <v>0.82705735342654696</v>
      </c>
      <c r="D440" s="278">
        <v>9.6873372910547817E-2</v>
      </c>
      <c r="E440" s="278">
        <f t="shared" si="196"/>
        <v>2.2749124734515478</v>
      </c>
      <c r="F440" s="279"/>
      <c r="G440" s="278">
        <v>1.4581023708375787</v>
      </c>
      <c r="H440" s="278">
        <v>0.77627419367020412</v>
      </c>
      <c r="I440" s="278">
        <v>5.0812624433472398E-2</v>
      </c>
      <c r="J440" s="278">
        <f t="shared" si="199"/>
        <v>2.2851891889412554</v>
      </c>
      <c r="K440" s="279"/>
      <c r="L440" s="278">
        <v>1.7386063212659657</v>
      </c>
      <c r="M440" s="278">
        <v>0.92053084342694369</v>
      </c>
      <c r="N440" s="278">
        <v>4.493823366007816E-2</v>
      </c>
      <c r="O440" s="278">
        <f t="shared" si="198"/>
        <v>2.7040753983529875</v>
      </c>
    </row>
    <row r="441" spans="1:15" s="212" customFormat="1">
      <c r="A441" s="213" t="str">
        <f>name!E$11</f>
        <v>Process, plant and machine operatives</v>
      </c>
      <c r="B441" s="278">
        <v>3.5258646403650484</v>
      </c>
      <c r="C441" s="278">
        <v>0.3692323370851413</v>
      </c>
      <c r="D441" s="278">
        <v>0.10400354008187311</v>
      </c>
      <c r="E441" s="278">
        <f t="shared" si="196"/>
        <v>3.9991005175320629</v>
      </c>
      <c r="F441" s="279"/>
      <c r="G441" s="278">
        <v>3.4163572036194507</v>
      </c>
      <c r="H441" s="278">
        <v>0.45563024817729353</v>
      </c>
      <c r="I441" s="278">
        <v>0.20705096179304866</v>
      </c>
      <c r="J441" s="278">
        <f t="shared" si="199"/>
        <v>4.0790384135897932</v>
      </c>
      <c r="K441" s="279"/>
      <c r="L441" s="278">
        <v>3.1805427649610256</v>
      </c>
      <c r="M441" s="278">
        <v>0.49303981040176148</v>
      </c>
      <c r="N441" s="278">
        <v>0.21978565758573612</v>
      </c>
      <c r="O441" s="278">
        <f t="shared" si="198"/>
        <v>3.8933682329485233</v>
      </c>
    </row>
    <row r="442" spans="1:15" s="212" customFormat="1">
      <c r="A442" s="213" t="str">
        <f>name!E$12</f>
        <v>Elementary occupations</v>
      </c>
      <c r="B442" s="278">
        <v>0.72527634479996683</v>
      </c>
      <c r="C442" s="278">
        <v>0.37455774560164823</v>
      </c>
      <c r="D442" s="278">
        <v>0.26577977758096866</v>
      </c>
      <c r="E442" s="278">
        <f t="shared" si="196"/>
        <v>1.3656138679825838</v>
      </c>
      <c r="F442" s="279"/>
      <c r="G442" s="278">
        <v>0.70725694351511925</v>
      </c>
      <c r="H442" s="278">
        <v>0.33379275425281962</v>
      </c>
      <c r="I442" s="278">
        <v>0.19645107069300399</v>
      </c>
      <c r="J442" s="278">
        <f t="shared" si="199"/>
        <v>1.2375007684609429</v>
      </c>
      <c r="K442" s="279"/>
      <c r="L442" s="278">
        <v>0.74198232103940565</v>
      </c>
      <c r="M442" s="278">
        <v>0.34741366572356641</v>
      </c>
      <c r="N442" s="278">
        <v>0.20976308655654743</v>
      </c>
      <c r="O442" s="278">
        <f t="shared" si="198"/>
        <v>1.2991590733195195</v>
      </c>
    </row>
    <row r="443" spans="1:15" s="212" customFormat="1">
      <c r="A443" s="213"/>
      <c r="B443" s="278"/>
      <c r="C443" s="278"/>
      <c r="D443" s="278"/>
      <c r="E443" s="278"/>
      <c r="F443" s="279"/>
      <c r="G443" s="278"/>
      <c r="H443" s="278"/>
      <c r="I443" s="278"/>
      <c r="J443" s="278"/>
      <c r="K443" s="279"/>
      <c r="L443" s="278"/>
      <c r="M443" s="278"/>
      <c r="N443" s="278"/>
      <c r="O443" s="278"/>
    </row>
    <row r="444" spans="1:15" s="212" customFormat="1">
      <c r="A444" s="220" t="s">
        <v>119</v>
      </c>
      <c r="B444" s="282">
        <f>SUM(B434:B442)</f>
        <v>25.925999999824015</v>
      </c>
      <c r="C444" s="282">
        <f t="shared" ref="C444:E444" si="200">SUM(C434:C442)</f>
        <v>4.2460000000186557</v>
      </c>
      <c r="D444" s="282">
        <f t="shared" si="200"/>
        <v>1.7930000000073911</v>
      </c>
      <c r="E444" s="282">
        <f t="shared" si="200"/>
        <v>31.964999999850065</v>
      </c>
      <c r="F444" s="282"/>
      <c r="G444" s="282">
        <f t="shared" ref="G444:J444" si="201">SUM(G434:G442)</f>
        <v>30.581999999822305</v>
      </c>
      <c r="H444" s="282">
        <f t="shared" si="201"/>
        <v>4.4270000000200245</v>
      </c>
      <c r="I444" s="282">
        <f t="shared" si="201"/>
        <v>1.4729999999934109</v>
      </c>
      <c r="J444" s="282">
        <f t="shared" si="201"/>
        <v>36.481999999835743</v>
      </c>
      <c r="K444" s="282"/>
      <c r="L444" s="282">
        <f t="shared" ref="L444:O444" si="202">SUM(L434:L442)</f>
        <v>34.81100000025473</v>
      </c>
      <c r="M444" s="282">
        <f t="shared" si="202"/>
        <v>5.025000000035579</v>
      </c>
      <c r="N444" s="282">
        <f t="shared" si="202"/>
        <v>1.5809999999987898</v>
      </c>
      <c r="O444" s="282">
        <f t="shared" si="202"/>
        <v>41.417000000289107</v>
      </c>
    </row>
    <row r="445" spans="1:15" s="212" customFormat="1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3"/>
      <c r="M445" s="213"/>
      <c r="N445" s="216"/>
    </row>
    <row r="446" spans="1:15" s="212" customFormat="1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13"/>
      <c r="M446" s="213"/>
      <c r="N446" s="216"/>
      <c r="O446" s="227" t="s">
        <v>114</v>
      </c>
    </row>
    <row r="447" spans="1:15" s="212" customFormat="1" ht="12.95">
      <c r="A447" s="218"/>
      <c r="B447" s="218"/>
      <c r="C447" s="218"/>
      <c r="D447" s="218"/>
      <c r="E447" s="218"/>
      <c r="F447" s="218"/>
      <c r="G447" s="218"/>
      <c r="H447" s="218"/>
      <c r="I447" s="218"/>
      <c r="J447" s="218"/>
      <c r="K447" s="218"/>
      <c r="L447" s="218"/>
      <c r="M447" s="218"/>
      <c r="N447" s="218"/>
      <c r="O447" s="218"/>
    </row>
    <row r="448" spans="1:15" s="212" customFormat="1" ht="12.95">
      <c r="A448" s="217" t="str">
        <f>name!A29</f>
        <v>Sewerage</v>
      </c>
      <c r="B448" s="369">
        <f>$B$6</f>
        <v>2015</v>
      </c>
      <c r="C448" s="369"/>
      <c r="D448" s="369"/>
      <c r="E448" s="369"/>
      <c r="F448" s="239"/>
      <c r="G448" s="369">
        <f>$G$6</f>
        <v>2020</v>
      </c>
      <c r="H448" s="369"/>
      <c r="I448" s="369"/>
      <c r="J448" s="369"/>
      <c r="K448" s="239"/>
      <c r="L448" s="369">
        <f>$L$6</f>
        <v>2035</v>
      </c>
      <c r="M448" s="369"/>
      <c r="N448" s="369"/>
      <c r="O448" s="369"/>
    </row>
    <row r="449" spans="1:15" s="212" customFormat="1" ht="12.95">
      <c r="A449" s="230"/>
      <c r="B449" s="244" t="str">
        <f>$B$7</f>
        <v>FT</v>
      </c>
      <c r="C449" s="244" t="str">
        <f>$C$7</f>
        <v>PT</v>
      </c>
      <c r="D449" s="244" t="str">
        <f>$D$7</f>
        <v>SE</v>
      </c>
      <c r="E449" s="244" t="str">
        <f>$E$7</f>
        <v>Total</v>
      </c>
      <c r="F449" s="244"/>
      <c r="G449" s="244" t="str">
        <f>$G$7</f>
        <v>FT</v>
      </c>
      <c r="H449" s="244" t="str">
        <f>$H$7</f>
        <v>PT</v>
      </c>
      <c r="I449" s="244" t="str">
        <f>$I$7</f>
        <v>SE</v>
      </c>
      <c r="J449" s="244" t="str">
        <f>$J$7</f>
        <v>Total</v>
      </c>
      <c r="K449" s="244"/>
      <c r="L449" s="244" t="str">
        <f>$L$7</f>
        <v>FT</v>
      </c>
      <c r="M449" s="244" t="str">
        <f>$M$7</f>
        <v>PT</v>
      </c>
      <c r="N449" s="244" t="str">
        <f>$N$7</f>
        <v>SE</v>
      </c>
      <c r="O449" s="244" t="str">
        <f>$O$7</f>
        <v>Total</v>
      </c>
    </row>
    <row r="450" spans="1:15" s="212" customFormat="1" ht="12.95">
      <c r="A450" s="234"/>
      <c r="B450" s="215"/>
      <c r="C450" s="215"/>
      <c r="D450" s="215"/>
      <c r="E450" s="215"/>
      <c r="F450" s="215"/>
      <c r="G450" s="215"/>
      <c r="H450" s="215"/>
      <c r="I450" s="215"/>
      <c r="J450" s="215"/>
      <c r="K450" s="215"/>
      <c r="L450" s="215"/>
      <c r="M450" s="215"/>
      <c r="N450" s="215"/>
      <c r="O450" s="215"/>
    </row>
    <row r="451" spans="1:15" s="212" customFormat="1">
      <c r="A451" s="213" t="str">
        <f>name!E$4</f>
        <v>Managers, directors and senior officials</v>
      </c>
      <c r="B451" s="278">
        <v>1.8905190599887842</v>
      </c>
      <c r="C451" s="278">
        <v>6.4285299884157376E-2</v>
      </c>
      <c r="D451" s="278">
        <v>0.21535901824671735</v>
      </c>
      <c r="E451" s="278">
        <f>SUM(B451:D451)</f>
        <v>2.1701633781196592</v>
      </c>
      <c r="F451" s="279"/>
      <c r="G451" s="278">
        <v>1.8756903709533947</v>
      </c>
      <c r="H451" s="278">
        <v>6.1997272854282602E-2</v>
      </c>
      <c r="I451" s="278">
        <v>3.707342108133567E-2</v>
      </c>
      <c r="J451" s="278">
        <f>SUM(G451:I451)</f>
        <v>1.974761064889013</v>
      </c>
      <c r="K451" s="279"/>
      <c r="L451" s="278">
        <v>1.9374076914355178</v>
      </c>
      <c r="M451" s="278">
        <v>7.3103930828772576E-2</v>
      </c>
      <c r="N451" s="278">
        <v>3.9471110129822656E-2</v>
      </c>
      <c r="O451" s="278">
        <f>SUM(L451:N451)</f>
        <v>2.0499827323941133</v>
      </c>
    </row>
    <row r="452" spans="1:15" s="212" customFormat="1">
      <c r="A452" s="213" t="str">
        <f>name!E$5</f>
        <v>Professional occupations</v>
      </c>
      <c r="B452" s="278">
        <v>1.795320448140199</v>
      </c>
      <c r="C452" s="278">
        <v>0.19456650259094027</v>
      </c>
      <c r="D452" s="278">
        <v>0.22713173600099212</v>
      </c>
      <c r="E452" s="278">
        <f t="shared" ref="E452:E459" si="203">SUM(B452:D452)</f>
        <v>2.2170186867321311</v>
      </c>
      <c r="F452" s="279"/>
      <c r="G452" s="278">
        <v>2.0293740803988527</v>
      </c>
      <c r="H452" s="278">
        <v>0.19039575285798227</v>
      </c>
      <c r="I452" s="278">
        <v>3.9552141458262427E-2</v>
      </c>
      <c r="J452" s="278">
        <f t="shared" ref="J452:J454" si="204">SUM(G452:I452)</f>
        <v>2.2593219747150974</v>
      </c>
      <c r="K452" s="279"/>
      <c r="L452" s="278">
        <v>2.6666125707794999</v>
      </c>
      <c r="M452" s="278">
        <v>0.24924257242515499</v>
      </c>
      <c r="N452" s="278">
        <v>3.6612485073747848E-2</v>
      </c>
      <c r="O452" s="278">
        <f t="shared" ref="O452:O459" si="205">SUM(L452:N452)</f>
        <v>2.9524676282784026</v>
      </c>
    </row>
    <row r="453" spans="1:15" s="212" customFormat="1">
      <c r="A453" s="213" t="str">
        <f>name!E$6</f>
        <v>Associate professional occupations</v>
      </c>
      <c r="B453" s="278">
        <v>2.2528826053348676</v>
      </c>
      <c r="C453" s="278">
        <v>0.46830078249195789</v>
      </c>
      <c r="D453" s="278">
        <v>0.18832732581747796</v>
      </c>
      <c r="E453" s="278">
        <f t="shared" si="203"/>
        <v>2.9095107136443037</v>
      </c>
      <c r="F453" s="279"/>
      <c r="G453" s="278">
        <v>2.6373669822339498</v>
      </c>
      <c r="H453" s="278">
        <v>0.31496743478186817</v>
      </c>
      <c r="I453" s="278">
        <v>2.744822023690293E-2</v>
      </c>
      <c r="J453" s="278">
        <f t="shared" si="204"/>
        <v>2.979782637252721</v>
      </c>
      <c r="K453" s="279"/>
      <c r="L453" s="278">
        <v>3.3192374065120847</v>
      </c>
      <c r="M453" s="278">
        <v>0.32925477652285223</v>
      </c>
      <c r="N453" s="278">
        <v>2.6176668197094202E-2</v>
      </c>
      <c r="O453" s="278">
        <f t="shared" si="205"/>
        <v>3.6746688512320311</v>
      </c>
    </row>
    <row r="454" spans="1:15" s="212" customFormat="1">
      <c r="A454" s="213" t="str">
        <f>name!E$7</f>
        <v>Administrative and secretarial occupations</v>
      </c>
      <c r="B454" s="278">
        <v>1.2309905610158485</v>
      </c>
      <c r="C454" s="278">
        <v>0.54376488719260729</v>
      </c>
      <c r="D454" s="278">
        <v>4.9591124333469662E-2</v>
      </c>
      <c r="E454" s="278">
        <f t="shared" si="203"/>
        <v>1.8243465725419254</v>
      </c>
      <c r="F454" s="279"/>
      <c r="G454" s="278">
        <v>1.5174352536492426</v>
      </c>
      <c r="H454" s="278">
        <v>0.36124977608504227</v>
      </c>
      <c r="I454" s="278">
        <v>6.2391834380671708E-3</v>
      </c>
      <c r="J454" s="278">
        <f t="shared" si="204"/>
        <v>1.8849242131723518</v>
      </c>
      <c r="K454" s="279"/>
      <c r="L454" s="278">
        <v>1.3935043029002587</v>
      </c>
      <c r="M454" s="278">
        <v>0.35961632245685948</v>
      </c>
      <c r="N454" s="278">
        <v>6.7729818502386728E-3</v>
      </c>
      <c r="O454" s="278">
        <f t="shared" si="205"/>
        <v>1.7598936072073568</v>
      </c>
    </row>
    <row r="455" spans="1:15" s="212" customFormat="1">
      <c r="A455" s="213" t="str">
        <f>name!E$8</f>
        <v>Skilled trades occupations</v>
      </c>
      <c r="B455" s="278">
        <v>0.87588672759624142</v>
      </c>
      <c r="C455" s="278">
        <v>7.6189694076181466E-2</v>
      </c>
      <c r="D455" s="278">
        <v>0.56660573884144294</v>
      </c>
      <c r="E455" s="278">
        <f t="shared" si="203"/>
        <v>1.5186821605138658</v>
      </c>
      <c r="F455" s="279"/>
      <c r="G455" s="278">
        <v>0.66021040649585516</v>
      </c>
      <c r="H455" s="278">
        <v>4.7688759413978432E-2</v>
      </c>
      <c r="I455" s="278">
        <v>8.2841750221597857E-2</v>
      </c>
      <c r="J455" s="278">
        <f>SUM(G455:I455)</f>
        <v>0.79074091613143149</v>
      </c>
      <c r="K455" s="279"/>
      <c r="L455" s="278">
        <v>0.62572307022758378</v>
      </c>
      <c r="M455" s="278">
        <v>8.169582591705897E-2</v>
      </c>
      <c r="N455" s="278">
        <v>9.7893429597229825E-2</v>
      </c>
      <c r="O455" s="278">
        <f t="shared" si="205"/>
        <v>0.8053123257418725</v>
      </c>
    </row>
    <row r="456" spans="1:15" s="212" customFormat="1">
      <c r="A456" s="213" t="str">
        <f>name!E$9</f>
        <v>Caring, leisure and other service occupations</v>
      </c>
      <c r="B456" s="278">
        <v>0.47865679644597381</v>
      </c>
      <c r="C456" s="278">
        <v>0.1161644667033887</v>
      </c>
      <c r="D456" s="278">
        <v>0.10868918044314589</v>
      </c>
      <c r="E456" s="278">
        <f t="shared" si="203"/>
        <v>0.70351044359250847</v>
      </c>
      <c r="F456" s="279"/>
      <c r="G456" s="278">
        <v>0.57301720893073982</v>
      </c>
      <c r="H456" s="278">
        <v>0.13510996808772738</v>
      </c>
      <c r="I456" s="278">
        <v>1.5081740915152695E-2</v>
      </c>
      <c r="J456" s="278">
        <f t="shared" ref="J456:J459" si="206">SUM(G456:I456)</f>
        <v>0.72320891793361985</v>
      </c>
      <c r="K456" s="279"/>
      <c r="L456" s="278">
        <v>0.75794171153343071</v>
      </c>
      <c r="M456" s="278">
        <v>0.20924074905367548</v>
      </c>
      <c r="N456" s="278">
        <v>1.8514006579652281E-2</v>
      </c>
      <c r="O456" s="278">
        <f t="shared" si="205"/>
        <v>0.98569646716675852</v>
      </c>
    </row>
    <row r="457" spans="1:15" s="212" customFormat="1">
      <c r="A457" s="213" t="str">
        <f>name!E$10</f>
        <v>Sales and customer service occupations</v>
      </c>
      <c r="B457" s="278">
        <v>0.33803144710446204</v>
      </c>
      <c r="C457" s="278">
        <v>0.19149140522512342</v>
      </c>
      <c r="D457" s="278">
        <v>7.6892087982886104E-2</v>
      </c>
      <c r="E457" s="278">
        <f t="shared" si="203"/>
        <v>0.60641494031247145</v>
      </c>
      <c r="F457" s="279"/>
      <c r="G457" s="278">
        <v>0.37626880723464667</v>
      </c>
      <c r="H457" s="278">
        <v>0.19764491873355902</v>
      </c>
      <c r="I457" s="278">
        <v>8.5587716508875641E-3</v>
      </c>
      <c r="J457" s="278">
        <f t="shared" si="206"/>
        <v>0.58247249761909325</v>
      </c>
      <c r="K457" s="279"/>
      <c r="L457" s="278">
        <v>0.46057891772070308</v>
      </c>
      <c r="M457" s="278">
        <v>0.26608145949130024</v>
      </c>
      <c r="N457" s="278">
        <v>6.6027617543869595E-3</v>
      </c>
      <c r="O457" s="278">
        <f t="shared" si="205"/>
        <v>0.73326313896639028</v>
      </c>
    </row>
    <row r="458" spans="1:15" s="212" customFormat="1">
      <c r="A458" s="213" t="str">
        <f>name!E$11</f>
        <v>Process, plant and machine operatives</v>
      </c>
      <c r="B458" s="278">
        <v>4.4187665317238851</v>
      </c>
      <c r="C458" s="278">
        <v>6.0790901648487508E-2</v>
      </c>
      <c r="D458" s="278">
        <v>8.6790265856419649E-2</v>
      </c>
      <c r="E458" s="278">
        <f t="shared" si="203"/>
        <v>4.5663476992287917</v>
      </c>
      <c r="F458" s="279"/>
      <c r="G458" s="278">
        <v>3.6075163571422686</v>
      </c>
      <c r="H458" s="278">
        <v>5.0842183505320535E-2</v>
      </c>
      <c r="I458" s="278">
        <v>1.8350306925175419E-2</v>
      </c>
      <c r="J458" s="278">
        <f t="shared" si="206"/>
        <v>3.6767088475727645</v>
      </c>
      <c r="K458" s="279"/>
      <c r="L458" s="278">
        <v>4.0551926823891078</v>
      </c>
      <c r="M458" s="278">
        <v>6.8090830454790766E-2</v>
      </c>
      <c r="N458" s="278">
        <v>2.1527133772475188E-2</v>
      </c>
      <c r="O458" s="278">
        <f t="shared" si="205"/>
        <v>4.1448106466163743</v>
      </c>
    </row>
    <row r="459" spans="1:15" s="212" customFormat="1">
      <c r="A459" s="213" t="str">
        <f>name!E$12</f>
        <v>Elementary occupations</v>
      </c>
      <c r="B459" s="278">
        <v>4.5839458227057328</v>
      </c>
      <c r="C459" s="278">
        <v>0.67344606021603048</v>
      </c>
      <c r="D459" s="278">
        <v>0.14161352247821693</v>
      </c>
      <c r="E459" s="278">
        <f t="shared" si="203"/>
        <v>5.3990054053999801</v>
      </c>
      <c r="F459" s="279"/>
      <c r="G459" s="278">
        <v>4.1261205329983612</v>
      </c>
      <c r="H459" s="278">
        <v>0.45710393368397845</v>
      </c>
      <c r="I459" s="278">
        <v>1.585446407095337E-2</v>
      </c>
      <c r="J459" s="278">
        <f t="shared" si="206"/>
        <v>4.5990789307532927</v>
      </c>
      <c r="K459" s="279"/>
      <c r="L459" s="278">
        <v>4.6048016467413264</v>
      </c>
      <c r="M459" s="278">
        <v>0.48867353287659177</v>
      </c>
      <c r="N459" s="278">
        <v>2.642942304261554E-2</v>
      </c>
      <c r="O459" s="278">
        <f t="shared" si="205"/>
        <v>5.1199046026605339</v>
      </c>
    </row>
    <row r="460" spans="1:15" s="212" customFormat="1">
      <c r="A460" s="213"/>
      <c r="B460" s="278"/>
      <c r="C460" s="278"/>
      <c r="D460" s="278"/>
      <c r="E460" s="278"/>
      <c r="F460" s="279"/>
      <c r="G460" s="278"/>
      <c r="H460" s="278"/>
      <c r="I460" s="278"/>
      <c r="J460" s="278"/>
      <c r="K460" s="279"/>
      <c r="L460" s="278"/>
      <c r="M460" s="278"/>
      <c r="N460" s="278"/>
      <c r="O460" s="278"/>
    </row>
    <row r="461" spans="1:15" s="212" customFormat="1">
      <c r="A461" s="220" t="s">
        <v>119</v>
      </c>
      <c r="B461" s="282">
        <f>SUM(B451:B459)</f>
        <v>17.865000000055993</v>
      </c>
      <c r="C461" s="282">
        <f t="shared" ref="C461:E461" si="207">SUM(C451:C459)</f>
        <v>2.3890000000288745</v>
      </c>
      <c r="D461" s="282">
        <f t="shared" si="207"/>
        <v>1.6610000000007685</v>
      </c>
      <c r="E461" s="282">
        <f t="shared" si="207"/>
        <v>21.915000000085637</v>
      </c>
      <c r="F461" s="282"/>
      <c r="G461" s="282">
        <f t="shared" ref="G461:J461" si="208">SUM(G451:G459)</f>
        <v>17.403000000037309</v>
      </c>
      <c r="H461" s="282">
        <f t="shared" si="208"/>
        <v>1.817000000003739</v>
      </c>
      <c r="I461" s="282">
        <f t="shared" si="208"/>
        <v>0.25099999999833511</v>
      </c>
      <c r="J461" s="282">
        <f t="shared" si="208"/>
        <v>19.471000000039385</v>
      </c>
      <c r="K461" s="282"/>
      <c r="L461" s="282">
        <f t="shared" ref="L461:O461" si="209">SUM(L451:L459)</f>
        <v>19.821000000239511</v>
      </c>
      <c r="M461" s="282">
        <f t="shared" si="209"/>
        <v>2.1250000000270566</v>
      </c>
      <c r="N461" s="282">
        <f t="shared" si="209"/>
        <v>0.27999999999726316</v>
      </c>
      <c r="O461" s="282">
        <f t="shared" si="209"/>
        <v>22.226000000263831</v>
      </c>
    </row>
    <row r="462" spans="1:15" s="212" customFormat="1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3"/>
      <c r="M462" s="213"/>
      <c r="N462" s="216"/>
    </row>
    <row r="463" spans="1:15" s="212" customFormat="1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13"/>
      <c r="M463" s="213"/>
      <c r="N463" s="216"/>
      <c r="O463" s="227" t="s">
        <v>114</v>
      </c>
    </row>
    <row r="464" spans="1:15" s="212" customFormat="1" ht="12.95">
      <c r="A464" s="218"/>
      <c r="B464" s="218"/>
      <c r="C464" s="218"/>
      <c r="D464" s="218"/>
      <c r="E464" s="218"/>
      <c r="F464" s="218"/>
      <c r="G464" s="218"/>
      <c r="H464" s="218"/>
      <c r="I464" s="218"/>
      <c r="J464" s="218"/>
      <c r="K464" s="218"/>
      <c r="L464" s="218"/>
      <c r="M464" s="218"/>
      <c r="N464" s="218"/>
      <c r="O464" s="218"/>
    </row>
    <row r="465" spans="1:15" s="212" customFormat="1" ht="12.95">
      <c r="A465" s="217" t="str">
        <f>name!A30</f>
        <v>Waste management</v>
      </c>
      <c r="B465" s="369">
        <f>$B$6</f>
        <v>2015</v>
      </c>
      <c r="C465" s="369"/>
      <c r="D465" s="369"/>
      <c r="E465" s="369"/>
      <c r="F465" s="239"/>
      <c r="G465" s="369">
        <f>$G$6</f>
        <v>2020</v>
      </c>
      <c r="H465" s="369"/>
      <c r="I465" s="369"/>
      <c r="J465" s="369"/>
      <c r="K465" s="239"/>
      <c r="L465" s="369">
        <f>$L$6</f>
        <v>2035</v>
      </c>
      <c r="M465" s="369"/>
      <c r="N465" s="369"/>
      <c r="O465" s="369"/>
    </row>
    <row r="466" spans="1:15" s="212" customFormat="1" ht="12.95">
      <c r="A466" s="230"/>
      <c r="B466" s="244" t="str">
        <f>$B$7</f>
        <v>FT</v>
      </c>
      <c r="C466" s="244" t="str">
        <f>$C$7</f>
        <v>PT</v>
      </c>
      <c r="D466" s="244" t="str">
        <f>$D$7</f>
        <v>SE</v>
      </c>
      <c r="E466" s="244" t="str">
        <f>$E$7</f>
        <v>Total</v>
      </c>
      <c r="F466" s="244"/>
      <c r="G466" s="244" t="str">
        <f>$G$7</f>
        <v>FT</v>
      </c>
      <c r="H466" s="244" t="str">
        <f>$H$7</f>
        <v>PT</v>
      </c>
      <c r="I466" s="244" t="str">
        <f>$I$7</f>
        <v>SE</v>
      </c>
      <c r="J466" s="244" t="str">
        <f>$J$7</f>
        <v>Total</v>
      </c>
      <c r="K466" s="244"/>
      <c r="L466" s="244" t="str">
        <f>$L$7</f>
        <v>FT</v>
      </c>
      <c r="M466" s="244" t="str">
        <f>$M$7</f>
        <v>PT</v>
      </c>
      <c r="N466" s="244" t="str">
        <f>$N$7</f>
        <v>SE</v>
      </c>
      <c r="O466" s="244" t="str">
        <f>$O$7</f>
        <v>Total</v>
      </c>
    </row>
    <row r="467" spans="1:15" s="212" customFormat="1" ht="12.95">
      <c r="A467" s="234"/>
      <c r="B467" s="215"/>
      <c r="C467" s="215"/>
      <c r="D467" s="215"/>
      <c r="E467" s="215"/>
      <c r="F467" s="215"/>
      <c r="G467" s="215"/>
      <c r="H467" s="215"/>
      <c r="I467" s="215"/>
      <c r="J467" s="215"/>
      <c r="K467" s="215"/>
      <c r="L467" s="215"/>
      <c r="M467" s="215"/>
      <c r="N467" s="215"/>
      <c r="O467" s="215"/>
    </row>
    <row r="468" spans="1:15" s="212" customFormat="1">
      <c r="A468" s="213" t="str">
        <f>name!E$4</f>
        <v>Managers, directors and senior officials</v>
      </c>
      <c r="B468" s="278">
        <v>10.041603972627833</v>
      </c>
      <c r="C468" s="278">
        <v>0.52920621252420708</v>
      </c>
      <c r="D468" s="278">
        <v>1.1314622926176898</v>
      </c>
      <c r="E468" s="278">
        <f>SUM(B468:D468)</f>
        <v>11.702272477769728</v>
      </c>
      <c r="F468" s="279"/>
      <c r="G468" s="278">
        <v>11.950846094889064</v>
      </c>
      <c r="H468" s="278">
        <v>1.3859429314593152</v>
      </c>
      <c r="I468" s="278">
        <v>1.2799122016076381</v>
      </c>
      <c r="J468" s="278">
        <f>SUM(G468:I468)</f>
        <v>14.616701227956018</v>
      </c>
      <c r="K468" s="279"/>
      <c r="L468" s="278">
        <v>13.328961623274456</v>
      </c>
      <c r="M468" s="278">
        <v>1.5442829959499305</v>
      </c>
      <c r="N468" s="278">
        <v>1.3973497678267703</v>
      </c>
      <c r="O468" s="278">
        <f>SUM(L468:N468)</f>
        <v>16.270594387051158</v>
      </c>
    </row>
    <row r="469" spans="1:15" s="212" customFormat="1">
      <c r="A469" s="213" t="str">
        <f>name!E$5</f>
        <v>Professional occupations</v>
      </c>
      <c r="B469" s="278">
        <v>8.4210808824357208</v>
      </c>
      <c r="C469" s="278">
        <v>0.99909206880057977</v>
      </c>
      <c r="D469" s="278">
        <v>0.32517921369648206</v>
      </c>
      <c r="E469" s="278">
        <f t="shared" ref="E469:E476" si="210">SUM(B469:D469)</f>
        <v>9.7453521649327826</v>
      </c>
      <c r="F469" s="279"/>
      <c r="G469" s="278">
        <v>10.749030028277454</v>
      </c>
      <c r="H469" s="278">
        <v>1.5960416781049545</v>
      </c>
      <c r="I469" s="278">
        <v>0.32435164399851663</v>
      </c>
      <c r="J469" s="278">
        <f t="shared" ref="J469:J471" si="211">SUM(G469:I469)</f>
        <v>12.669423350380926</v>
      </c>
      <c r="K469" s="279"/>
      <c r="L469" s="278">
        <v>14.146195198652345</v>
      </c>
      <c r="M469" s="278">
        <v>1.7107112026982689</v>
      </c>
      <c r="N469" s="278">
        <v>0.31171072926375837</v>
      </c>
      <c r="O469" s="278">
        <f t="shared" ref="O469:O476" si="212">SUM(L469:N469)</f>
        <v>16.168617130614372</v>
      </c>
    </row>
    <row r="470" spans="1:15" s="212" customFormat="1">
      <c r="A470" s="213" t="str">
        <f>name!E$6</f>
        <v>Associate professional occupations</v>
      </c>
      <c r="B470" s="278">
        <v>10.087538018693897</v>
      </c>
      <c r="C470" s="278">
        <v>1.1386593913834544</v>
      </c>
      <c r="D470" s="278">
        <v>0.33631823597508104</v>
      </c>
      <c r="E470" s="278">
        <f t="shared" si="210"/>
        <v>11.562515646052432</v>
      </c>
      <c r="F470" s="279"/>
      <c r="G470" s="278">
        <v>11.692170612574424</v>
      </c>
      <c r="H470" s="278">
        <v>1.4859470564992205</v>
      </c>
      <c r="I470" s="278">
        <v>0.27780481146392993</v>
      </c>
      <c r="J470" s="278">
        <f t="shared" si="211"/>
        <v>13.455922480537575</v>
      </c>
      <c r="K470" s="279"/>
      <c r="L470" s="278">
        <v>13.936248616255021</v>
      </c>
      <c r="M470" s="278">
        <v>1.305930555229976</v>
      </c>
      <c r="N470" s="278">
        <v>0.32040736270786135</v>
      </c>
      <c r="O470" s="278">
        <f t="shared" si="212"/>
        <v>15.562586534192858</v>
      </c>
    </row>
    <row r="471" spans="1:15" s="212" customFormat="1">
      <c r="A471" s="213" t="str">
        <f>name!E$7</f>
        <v>Administrative and secretarial occupations</v>
      </c>
      <c r="B471" s="278">
        <v>6.0604565639567776</v>
      </c>
      <c r="C471" s="278">
        <v>2.6938027930855113</v>
      </c>
      <c r="D471" s="278">
        <v>8.7407596696272682E-2</v>
      </c>
      <c r="E471" s="278">
        <f t="shared" si="210"/>
        <v>8.8416669537385619</v>
      </c>
      <c r="F471" s="279"/>
      <c r="G471" s="278">
        <v>5.6775037249088198</v>
      </c>
      <c r="H471" s="278">
        <v>3.6018674645851245</v>
      </c>
      <c r="I471" s="278">
        <v>5.4420532457272949E-2</v>
      </c>
      <c r="J471" s="278">
        <f t="shared" si="211"/>
        <v>9.3337917219512168</v>
      </c>
      <c r="K471" s="279"/>
      <c r="L471" s="278">
        <v>6.028913657751815</v>
      </c>
      <c r="M471" s="278">
        <v>3.6879119196197734</v>
      </c>
      <c r="N471" s="278">
        <v>6.2643727954693598E-2</v>
      </c>
      <c r="O471" s="278">
        <f t="shared" si="212"/>
        <v>9.7794693053262822</v>
      </c>
    </row>
    <row r="472" spans="1:15" s="212" customFormat="1">
      <c r="A472" s="213" t="str">
        <f>name!E$8</f>
        <v>Skilled trades occupations</v>
      </c>
      <c r="B472" s="278">
        <v>6.5812616774056334</v>
      </c>
      <c r="C472" s="278">
        <v>1.2532089552941359</v>
      </c>
      <c r="D472" s="278">
        <v>2.4737880818194946</v>
      </c>
      <c r="E472" s="278">
        <f t="shared" si="210"/>
        <v>10.308258714519264</v>
      </c>
      <c r="F472" s="279"/>
      <c r="G472" s="278">
        <v>6.1205384803091532</v>
      </c>
      <c r="H472" s="278">
        <v>1.9520930163269743</v>
      </c>
      <c r="I472" s="278">
        <v>1.9939574779901672</v>
      </c>
      <c r="J472" s="278">
        <f>SUM(G472:I472)</f>
        <v>10.066588974626294</v>
      </c>
      <c r="K472" s="279"/>
      <c r="L472" s="278">
        <v>6.6325573011159822</v>
      </c>
      <c r="M472" s="278">
        <v>2.4904183284391643</v>
      </c>
      <c r="N472" s="278">
        <v>1.8294961164657182</v>
      </c>
      <c r="O472" s="278">
        <f t="shared" si="212"/>
        <v>10.952471746020864</v>
      </c>
    </row>
    <row r="473" spans="1:15" s="212" customFormat="1">
      <c r="A473" s="213" t="str">
        <f>name!E$9</f>
        <v>Caring, leisure and other service occupations</v>
      </c>
      <c r="B473" s="278">
        <v>2.2852920375825021</v>
      </c>
      <c r="C473" s="278">
        <v>0.47671961595164136</v>
      </c>
      <c r="D473" s="278">
        <v>4.6775645310837312E-2</v>
      </c>
      <c r="E473" s="278">
        <f t="shared" si="210"/>
        <v>2.8087872988449809</v>
      </c>
      <c r="F473" s="279"/>
      <c r="G473" s="278">
        <v>2.3805978584765097</v>
      </c>
      <c r="H473" s="278">
        <v>0.55536053227929383</v>
      </c>
      <c r="I473" s="278">
        <v>3.9480068161328687E-2</v>
      </c>
      <c r="J473" s="278">
        <f t="shared" ref="J473:J476" si="213">SUM(G473:I473)</f>
        <v>2.9754384589171323</v>
      </c>
      <c r="K473" s="279"/>
      <c r="L473" s="278">
        <v>3.1084656548832306</v>
      </c>
      <c r="M473" s="278">
        <v>0.54354168814068671</v>
      </c>
      <c r="N473" s="278">
        <v>5.3093692784808411E-2</v>
      </c>
      <c r="O473" s="278">
        <f t="shared" si="212"/>
        <v>3.7051010358087253</v>
      </c>
    </row>
    <row r="474" spans="1:15" s="212" customFormat="1">
      <c r="A474" s="213" t="str">
        <f>name!E$10</f>
        <v>Sales and customer service occupations</v>
      </c>
      <c r="B474" s="278">
        <v>2.0504641195306315</v>
      </c>
      <c r="C474" s="278">
        <v>0.91408672422014203</v>
      </c>
      <c r="D474" s="278">
        <v>0.22405155854744596</v>
      </c>
      <c r="E474" s="278">
        <f t="shared" si="210"/>
        <v>3.1886024022982191</v>
      </c>
      <c r="F474" s="279"/>
      <c r="G474" s="278">
        <v>2.0958430093299625</v>
      </c>
      <c r="H474" s="278">
        <v>1.3859399825841343</v>
      </c>
      <c r="I474" s="278">
        <v>0.20660212949980933</v>
      </c>
      <c r="J474" s="278">
        <f t="shared" si="213"/>
        <v>3.6883851214139058</v>
      </c>
      <c r="K474" s="279"/>
      <c r="L474" s="278">
        <v>2.8630691679513527</v>
      </c>
      <c r="M474" s="278">
        <v>1.3441434526273286</v>
      </c>
      <c r="N474" s="278">
        <v>0.17683589730782689</v>
      </c>
      <c r="O474" s="278">
        <f t="shared" si="212"/>
        <v>4.3840485178865078</v>
      </c>
    </row>
    <row r="475" spans="1:15" s="212" customFormat="1">
      <c r="A475" s="213" t="str">
        <f>name!E$11</f>
        <v>Process, plant and machine operatives</v>
      </c>
      <c r="B475" s="278">
        <v>26.779371296541992</v>
      </c>
      <c r="C475" s="278">
        <v>1.0867194948422192</v>
      </c>
      <c r="D475" s="278">
        <v>0.38307322902860075</v>
      </c>
      <c r="E475" s="278">
        <f t="shared" si="210"/>
        <v>28.24916402041281</v>
      </c>
      <c r="F475" s="279"/>
      <c r="G475" s="278">
        <v>24.683718936784107</v>
      </c>
      <c r="H475" s="278">
        <v>2.4313151429975663</v>
      </c>
      <c r="I475" s="278">
        <v>0.41408277405656696</v>
      </c>
      <c r="J475" s="278">
        <f t="shared" si="213"/>
        <v>27.529116853838239</v>
      </c>
      <c r="K475" s="279"/>
      <c r="L475" s="278">
        <v>28.015493844610099</v>
      </c>
      <c r="M475" s="278">
        <v>2.7163235471026335</v>
      </c>
      <c r="N475" s="278">
        <v>0.36253123049629971</v>
      </c>
      <c r="O475" s="278">
        <f t="shared" si="212"/>
        <v>31.094348622209029</v>
      </c>
    </row>
    <row r="476" spans="1:15" s="212" customFormat="1">
      <c r="A476" s="213" t="str">
        <f>name!E$12</f>
        <v>Elementary occupations</v>
      </c>
      <c r="B476" s="278">
        <v>20.971931431379026</v>
      </c>
      <c r="C476" s="278">
        <v>1.6955047439785371</v>
      </c>
      <c r="D476" s="278">
        <v>0.39694414625030572</v>
      </c>
      <c r="E476" s="278">
        <f t="shared" si="210"/>
        <v>23.064380321607871</v>
      </c>
      <c r="F476" s="279"/>
      <c r="G476" s="278">
        <v>19.662751254491784</v>
      </c>
      <c r="H476" s="278">
        <v>1.4384921951441376</v>
      </c>
      <c r="I476" s="278">
        <v>0.22338836068811382</v>
      </c>
      <c r="J476" s="278">
        <f t="shared" si="213"/>
        <v>21.324631810324036</v>
      </c>
      <c r="K476" s="279"/>
      <c r="L476" s="278">
        <v>19.812094936254304</v>
      </c>
      <c r="M476" s="278">
        <v>2.7477363104494881</v>
      </c>
      <c r="N476" s="278">
        <v>0.32393147506145398</v>
      </c>
      <c r="O476" s="278">
        <f t="shared" si="212"/>
        <v>22.883762721765248</v>
      </c>
    </row>
    <row r="477" spans="1:15" s="212" customFormat="1">
      <c r="A477" s="213"/>
      <c r="B477" s="278"/>
      <c r="C477" s="278"/>
      <c r="D477" s="278"/>
      <c r="E477" s="278"/>
      <c r="F477" s="279"/>
      <c r="G477" s="278"/>
      <c r="H477" s="278"/>
      <c r="I477" s="278"/>
      <c r="J477" s="278"/>
      <c r="K477" s="279"/>
      <c r="L477" s="278"/>
      <c r="M477" s="278"/>
      <c r="N477" s="278"/>
      <c r="O477" s="278"/>
    </row>
    <row r="478" spans="1:15" s="212" customFormat="1">
      <c r="A478" s="220" t="s">
        <v>119</v>
      </c>
      <c r="B478" s="282">
        <f>SUM(B468:B476)</f>
        <v>93.279000000154014</v>
      </c>
      <c r="C478" s="282">
        <f t="shared" ref="C478:E478" si="214">SUM(C468:C476)</f>
        <v>10.787000000080429</v>
      </c>
      <c r="D478" s="282">
        <f t="shared" si="214"/>
        <v>5.4049999999422091</v>
      </c>
      <c r="E478" s="282">
        <f t="shared" si="214"/>
        <v>109.47100000017664</v>
      </c>
      <c r="F478" s="282"/>
      <c r="G478" s="282">
        <f t="shared" ref="G478:J478" si="215">SUM(G468:G476)</f>
        <v>95.013000000041274</v>
      </c>
      <c r="H478" s="282">
        <f t="shared" si="215"/>
        <v>15.83299999998072</v>
      </c>
      <c r="I478" s="282">
        <f t="shared" si="215"/>
        <v>4.813999999923344</v>
      </c>
      <c r="J478" s="282">
        <f t="shared" si="215"/>
        <v>115.65999999994534</v>
      </c>
      <c r="K478" s="282"/>
      <c r="L478" s="282">
        <f t="shared" ref="L478:O478" si="216">SUM(L468:L476)</f>
        <v>107.87200000074861</v>
      </c>
      <c r="M478" s="282">
        <f t="shared" si="216"/>
        <v>18.091000000257246</v>
      </c>
      <c r="N478" s="282">
        <f t="shared" si="216"/>
        <v>4.8379999998691909</v>
      </c>
      <c r="O478" s="282">
        <f t="shared" si="216"/>
        <v>130.80100000087504</v>
      </c>
    </row>
    <row r="479" spans="1:15" s="212" customFormat="1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3"/>
      <c r="M479" s="213"/>
      <c r="N479" s="216"/>
    </row>
    <row r="480" spans="1:15" s="212" customFormat="1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13"/>
      <c r="M480" s="213"/>
      <c r="N480" s="216"/>
      <c r="O480" s="227" t="s">
        <v>114</v>
      </c>
    </row>
    <row r="481" spans="1:15" s="212" customFormat="1" ht="12.95">
      <c r="A481" s="218"/>
      <c r="B481" s="218"/>
      <c r="C481" s="218"/>
      <c r="D481" s="218"/>
      <c r="E481" s="218"/>
      <c r="F481" s="218"/>
      <c r="G481" s="218"/>
      <c r="H481" s="218"/>
      <c r="I481" s="218"/>
      <c r="J481" s="218"/>
      <c r="K481" s="218"/>
      <c r="L481" s="218"/>
      <c r="M481" s="218"/>
      <c r="N481" s="218"/>
      <c r="O481" s="218"/>
    </row>
    <row r="482" spans="1:15" s="212" customFormat="1" ht="12.95">
      <c r="A482" s="217" t="str">
        <f>name!A31</f>
        <v>Construction</v>
      </c>
      <c r="B482" s="369">
        <f>$B$6</f>
        <v>2015</v>
      </c>
      <c r="C482" s="369"/>
      <c r="D482" s="369"/>
      <c r="E482" s="369"/>
      <c r="F482" s="239"/>
      <c r="G482" s="369">
        <f>$G$6</f>
        <v>2020</v>
      </c>
      <c r="H482" s="369"/>
      <c r="I482" s="369"/>
      <c r="J482" s="369"/>
      <c r="K482" s="239"/>
      <c r="L482" s="369">
        <f>$L$6</f>
        <v>2035</v>
      </c>
      <c r="M482" s="369"/>
      <c r="N482" s="369"/>
      <c r="O482" s="369"/>
    </row>
    <row r="483" spans="1:15" s="212" customFormat="1" ht="12.95">
      <c r="A483" s="230"/>
      <c r="B483" s="244" t="str">
        <f>$B$7</f>
        <v>FT</v>
      </c>
      <c r="C483" s="244" t="str">
        <f>$C$7</f>
        <v>PT</v>
      </c>
      <c r="D483" s="244" t="str">
        <f>$D$7</f>
        <v>SE</v>
      </c>
      <c r="E483" s="244" t="str">
        <f>$E$7</f>
        <v>Total</v>
      </c>
      <c r="F483" s="244"/>
      <c r="G483" s="244" t="str">
        <f>$G$7</f>
        <v>FT</v>
      </c>
      <c r="H483" s="244" t="str">
        <f>$H$7</f>
        <v>PT</v>
      </c>
      <c r="I483" s="244" t="str">
        <f>$I$7</f>
        <v>SE</v>
      </c>
      <c r="J483" s="244" t="str">
        <f>$J$7</f>
        <v>Total</v>
      </c>
      <c r="K483" s="244"/>
      <c r="L483" s="244" t="str">
        <f>$L$7</f>
        <v>FT</v>
      </c>
      <c r="M483" s="244" t="str">
        <f>$M$7</f>
        <v>PT</v>
      </c>
      <c r="N483" s="244" t="str">
        <f>$N$7</f>
        <v>SE</v>
      </c>
      <c r="O483" s="244" t="str">
        <f>$O$7</f>
        <v>Total</v>
      </c>
    </row>
    <row r="484" spans="1:15" s="212" customFormat="1" ht="12.95">
      <c r="A484" s="234"/>
      <c r="B484" s="215"/>
      <c r="C484" s="215"/>
      <c r="D484" s="215"/>
      <c r="E484" s="215"/>
      <c r="F484" s="215"/>
      <c r="G484" s="215"/>
      <c r="H484" s="215"/>
      <c r="I484" s="215"/>
      <c r="J484" s="215"/>
      <c r="K484" s="215"/>
      <c r="L484" s="215"/>
      <c r="M484" s="215"/>
      <c r="N484" s="215"/>
      <c r="O484" s="215"/>
    </row>
    <row r="485" spans="1:15" s="212" customFormat="1">
      <c r="A485" s="213" t="str">
        <f>name!E$4</f>
        <v>Managers, directors and senior officials</v>
      </c>
      <c r="B485" s="278">
        <v>39.530970266494144</v>
      </c>
      <c r="C485" s="278">
        <v>3.6250343514319905</v>
      </c>
      <c r="D485" s="278">
        <v>10.649469093064196</v>
      </c>
      <c r="E485" s="278">
        <f>SUM(B485:D485)</f>
        <v>53.805473710990334</v>
      </c>
      <c r="F485" s="279"/>
      <c r="G485" s="278">
        <v>56.089040618103567</v>
      </c>
      <c r="H485" s="278">
        <v>7.7558396410896577</v>
      </c>
      <c r="I485" s="278">
        <v>21.313245128739787</v>
      </c>
      <c r="J485" s="278">
        <f>SUM(G485:I485)</f>
        <v>85.158125387933012</v>
      </c>
      <c r="K485" s="279"/>
      <c r="L485" s="278">
        <v>60.270988787363414</v>
      </c>
      <c r="M485" s="278">
        <v>8.8627726336785191</v>
      </c>
      <c r="N485" s="278">
        <v>25.240010012760404</v>
      </c>
      <c r="O485" s="278">
        <f>SUM(L485:N485)</f>
        <v>94.373771433802347</v>
      </c>
    </row>
    <row r="486" spans="1:15" s="212" customFormat="1">
      <c r="A486" s="213" t="str">
        <f>name!E$5</f>
        <v>Professional occupations</v>
      </c>
      <c r="B486" s="278">
        <v>49.540245152458141</v>
      </c>
      <c r="C486" s="278">
        <v>2.5084433616755795</v>
      </c>
      <c r="D486" s="278">
        <v>5.7037161893581576</v>
      </c>
      <c r="E486" s="278">
        <f t="shared" ref="E486:E493" si="217">SUM(B486:D486)</f>
        <v>57.752404703491877</v>
      </c>
      <c r="F486" s="279"/>
      <c r="G486" s="278">
        <v>79.733160730441909</v>
      </c>
      <c r="H486" s="278">
        <v>4.8592897256303713</v>
      </c>
      <c r="I486" s="278">
        <v>9.3630298058459509</v>
      </c>
      <c r="J486" s="278">
        <f t="shared" ref="J486:J488" si="218">SUM(G486:I486)</f>
        <v>93.95548026191824</v>
      </c>
      <c r="K486" s="279"/>
      <c r="L486" s="278">
        <v>121.36923959180824</v>
      </c>
      <c r="M486" s="278">
        <v>6.0153101964457063</v>
      </c>
      <c r="N486" s="278">
        <v>8.3716093012780028</v>
      </c>
      <c r="O486" s="278">
        <f t="shared" ref="O486:O493" si="219">SUM(L486:N486)</f>
        <v>135.75615908953196</v>
      </c>
    </row>
    <row r="487" spans="1:15" s="212" customFormat="1">
      <c r="A487" s="213" t="str">
        <f>name!E$6</f>
        <v>Associate professional occupations</v>
      </c>
      <c r="B487" s="278">
        <v>29.88864439296929</v>
      </c>
      <c r="C487" s="278">
        <v>3.1334572323525749</v>
      </c>
      <c r="D487" s="278">
        <v>2.6040589406826937</v>
      </c>
      <c r="E487" s="278">
        <f t="shared" si="217"/>
        <v>35.626160566004557</v>
      </c>
      <c r="F487" s="279"/>
      <c r="G487" s="278">
        <v>44.927175713146895</v>
      </c>
      <c r="H487" s="278">
        <v>5.1688244541156347</v>
      </c>
      <c r="I487" s="278">
        <v>3.9886174508810832</v>
      </c>
      <c r="J487" s="278">
        <f t="shared" si="218"/>
        <v>54.084617618143611</v>
      </c>
      <c r="K487" s="279"/>
      <c r="L487" s="278">
        <v>56.523242902578858</v>
      </c>
      <c r="M487" s="278">
        <v>5.19589111258842</v>
      </c>
      <c r="N487" s="278">
        <v>4.7361421389956027</v>
      </c>
      <c r="O487" s="278">
        <f t="shared" si="219"/>
        <v>66.455276154162874</v>
      </c>
    </row>
    <row r="488" spans="1:15" s="212" customFormat="1">
      <c r="A488" s="213" t="str">
        <f>name!E$7</f>
        <v>Administrative and secretarial occupations</v>
      </c>
      <c r="B488" s="278">
        <v>30.827391777549153</v>
      </c>
      <c r="C488" s="278">
        <v>19.091957338617991</v>
      </c>
      <c r="D488" s="278">
        <v>4.43537243298685</v>
      </c>
      <c r="E488" s="278">
        <f t="shared" si="217"/>
        <v>54.354721549153993</v>
      </c>
      <c r="F488" s="279"/>
      <c r="G488" s="278">
        <v>36.770979382840146</v>
      </c>
      <c r="H488" s="278">
        <v>21.566946858967821</v>
      </c>
      <c r="I488" s="278">
        <v>8.1867340202500127</v>
      </c>
      <c r="J488" s="278">
        <f t="shared" si="218"/>
        <v>66.524660262057978</v>
      </c>
      <c r="K488" s="279"/>
      <c r="L488" s="278">
        <v>33.006541759052176</v>
      </c>
      <c r="M488" s="278">
        <v>24.974355261799758</v>
      </c>
      <c r="N488" s="278">
        <v>5.6764477820302917</v>
      </c>
      <c r="O488" s="278">
        <f t="shared" si="219"/>
        <v>63.657344802882228</v>
      </c>
    </row>
    <row r="489" spans="1:15" s="212" customFormat="1">
      <c r="A489" s="213" t="str">
        <f>name!E$8</f>
        <v>Skilled trades occupations</v>
      </c>
      <c r="B489" s="278">
        <v>102.17360419464147</v>
      </c>
      <c r="C489" s="278">
        <v>6.9630325968963422</v>
      </c>
      <c r="D489" s="278">
        <v>159.74728444089604</v>
      </c>
      <c r="E489" s="278">
        <f t="shared" si="217"/>
        <v>268.88392123243386</v>
      </c>
      <c r="F489" s="279"/>
      <c r="G489" s="278">
        <v>103.27842750038675</v>
      </c>
      <c r="H489" s="278">
        <v>7.0010596721546596</v>
      </c>
      <c r="I489" s="278">
        <v>156.70660487074088</v>
      </c>
      <c r="J489" s="278">
        <f>SUM(G489:I489)</f>
        <v>266.98609204328227</v>
      </c>
      <c r="K489" s="279"/>
      <c r="L489" s="278">
        <v>87.5701733465431</v>
      </c>
      <c r="M489" s="278">
        <v>11.975533487079908</v>
      </c>
      <c r="N489" s="278">
        <v>181.79263868099036</v>
      </c>
      <c r="O489" s="278">
        <f t="shared" si="219"/>
        <v>281.33834551461337</v>
      </c>
    </row>
    <row r="490" spans="1:15" s="212" customFormat="1">
      <c r="A490" s="213" t="str">
        <f>name!E$9</f>
        <v>Caring, leisure and other service occupations</v>
      </c>
      <c r="B490" s="278">
        <v>1.2341445563617857</v>
      </c>
      <c r="C490" s="278">
        <v>0.34174041400556193</v>
      </c>
      <c r="D490" s="278">
        <v>0.15209242289210204</v>
      </c>
      <c r="E490" s="278">
        <f t="shared" si="217"/>
        <v>1.7279773932594498</v>
      </c>
      <c r="F490" s="279"/>
      <c r="G490" s="278">
        <v>1.6702412764627634</v>
      </c>
      <c r="H490" s="278">
        <v>0.52285403888338911</v>
      </c>
      <c r="I490" s="278">
        <v>0.33138739278501</v>
      </c>
      <c r="J490" s="278">
        <f t="shared" ref="J490:J493" si="220">SUM(G490:I490)</f>
        <v>2.5244827081311625</v>
      </c>
      <c r="K490" s="279"/>
      <c r="L490" s="278">
        <v>1.662864417303483</v>
      </c>
      <c r="M490" s="278">
        <v>0.44535174113024517</v>
      </c>
      <c r="N490" s="278">
        <v>0.52220574402470721</v>
      </c>
      <c r="O490" s="278">
        <f t="shared" si="219"/>
        <v>2.6304219024584352</v>
      </c>
    </row>
    <row r="491" spans="1:15" s="212" customFormat="1">
      <c r="A491" s="213" t="str">
        <f>name!E$10</f>
        <v>Sales and customer service occupations</v>
      </c>
      <c r="B491" s="278">
        <v>6.9282111891928393</v>
      </c>
      <c r="C491" s="278">
        <v>2.9754287925208156</v>
      </c>
      <c r="D491" s="278">
        <v>1.0290623550754583</v>
      </c>
      <c r="E491" s="278">
        <f t="shared" si="217"/>
        <v>10.932702336789113</v>
      </c>
      <c r="F491" s="279"/>
      <c r="G491" s="278">
        <v>8.2804762078937646</v>
      </c>
      <c r="H491" s="278">
        <v>3.8515012329564091</v>
      </c>
      <c r="I491" s="278">
        <v>1.4466214163543438</v>
      </c>
      <c r="J491" s="278">
        <f t="shared" si="220"/>
        <v>13.578598857204517</v>
      </c>
      <c r="K491" s="279"/>
      <c r="L491" s="278">
        <v>9.6066815732393049</v>
      </c>
      <c r="M491" s="278">
        <v>4.3582792454715005</v>
      </c>
      <c r="N491" s="278">
        <v>1.6270567564965737</v>
      </c>
      <c r="O491" s="278">
        <f t="shared" si="219"/>
        <v>15.592017575207379</v>
      </c>
    </row>
    <row r="492" spans="1:15" s="212" customFormat="1">
      <c r="A492" s="213" t="str">
        <f>name!E$11</f>
        <v>Process, plant and machine operatives</v>
      </c>
      <c r="B492" s="278">
        <v>32.35584061865962</v>
      </c>
      <c r="C492" s="278">
        <v>1.4185822530331276</v>
      </c>
      <c r="D492" s="278">
        <v>9.4629759181676096</v>
      </c>
      <c r="E492" s="278">
        <f t="shared" si="217"/>
        <v>43.237398789860357</v>
      </c>
      <c r="F492" s="279"/>
      <c r="G492" s="278">
        <v>31.799836542566634</v>
      </c>
      <c r="H492" s="278">
        <v>2.4647027443133909</v>
      </c>
      <c r="I492" s="278">
        <v>13.132433695894713</v>
      </c>
      <c r="J492" s="278">
        <f t="shared" si="220"/>
        <v>47.396972982774734</v>
      </c>
      <c r="K492" s="279"/>
      <c r="L492" s="278">
        <v>30.56976333387237</v>
      </c>
      <c r="M492" s="278">
        <v>2.4643836773182937</v>
      </c>
      <c r="N492" s="278">
        <v>20.241190551838624</v>
      </c>
      <c r="O492" s="278">
        <f t="shared" si="219"/>
        <v>53.275337563029282</v>
      </c>
    </row>
    <row r="493" spans="1:15" s="212" customFormat="1">
      <c r="A493" s="213" t="str">
        <f>name!E$12</f>
        <v>Elementary occupations</v>
      </c>
      <c r="B493" s="278">
        <v>15.988947851959143</v>
      </c>
      <c r="C493" s="278">
        <v>5.5833236599259104</v>
      </c>
      <c r="D493" s="278">
        <v>10.74796820138962</v>
      </c>
      <c r="E493" s="278">
        <f t="shared" si="217"/>
        <v>32.320239713274674</v>
      </c>
      <c r="F493" s="279"/>
      <c r="G493" s="278">
        <v>15.113662026761068</v>
      </c>
      <c r="H493" s="278">
        <v>5.9349816319638036</v>
      </c>
      <c r="I493" s="278">
        <v>12.66032621041416</v>
      </c>
      <c r="J493" s="278">
        <f t="shared" si="220"/>
        <v>33.708969869139032</v>
      </c>
      <c r="K493" s="279"/>
      <c r="L493" s="278">
        <v>18.28650429165722</v>
      </c>
      <c r="M493" s="278">
        <v>7.2911226449765589</v>
      </c>
      <c r="N493" s="278">
        <v>18.961699007434632</v>
      </c>
      <c r="O493" s="278">
        <f t="shared" si="219"/>
        <v>44.539325944068409</v>
      </c>
    </row>
    <row r="494" spans="1:15" s="212" customFormat="1">
      <c r="A494" s="213"/>
      <c r="B494" s="278"/>
      <c r="C494" s="278"/>
      <c r="D494" s="278"/>
      <c r="E494" s="278"/>
      <c r="F494" s="279"/>
      <c r="G494" s="278"/>
      <c r="H494" s="278"/>
      <c r="I494" s="278"/>
      <c r="J494" s="278"/>
      <c r="K494" s="279"/>
      <c r="L494" s="278"/>
      <c r="M494" s="278"/>
      <c r="N494" s="278"/>
      <c r="O494" s="278"/>
    </row>
    <row r="495" spans="1:15" s="212" customFormat="1">
      <c r="A495" s="220" t="s">
        <v>119</v>
      </c>
      <c r="B495" s="282">
        <f>SUM(B485:B493)</f>
        <v>308.4680000002856</v>
      </c>
      <c r="C495" s="282">
        <f t="shared" ref="C495:E495" si="221">SUM(C485:C493)</f>
        <v>45.641000000459897</v>
      </c>
      <c r="D495" s="282">
        <f t="shared" si="221"/>
        <v>204.53199999451274</v>
      </c>
      <c r="E495" s="282">
        <f t="shared" si="221"/>
        <v>558.6409999952582</v>
      </c>
      <c r="F495" s="282"/>
      <c r="G495" s="282">
        <f t="shared" ref="G495:J495" si="222">SUM(G485:G493)</f>
        <v>377.66299999860348</v>
      </c>
      <c r="H495" s="282">
        <f t="shared" si="222"/>
        <v>59.126000000075138</v>
      </c>
      <c r="I495" s="282">
        <f t="shared" si="222"/>
        <v>227.12899999190594</v>
      </c>
      <c r="J495" s="282">
        <f t="shared" si="222"/>
        <v>663.91799999058458</v>
      </c>
      <c r="K495" s="282"/>
      <c r="L495" s="282">
        <f t="shared" ref="L495:O495" si="223">SUM(L485:L493)</f>
        <v>418.86600000341815</v>
      </c>
      <c r="M495" s="282">
        <f t="shared" si="223"/>
        <v>71.583000000488894</v>
      </c>
      <c r="N495" s="282">
        <f t="shared" si="223"/>
        <v>267.1689999758492</v>
      </c>
      <c r="O495" s="282">
        <f t="shared" si="223"/>
        <v>757.61799997975641</v>
      </c>
    </row>
    <row r="496" spans="1:15" s="212" customFormat="1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3"/>
      <c r="M496" s="213"/>
      <c r="N496" s="216"/>
    </row>
    <row r="497" spans="1:15" s="212" customFormat="1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13"/>
      <c r="M497" s="213"/>
      <c r="N497" s="216"/>
      <c r="O497" s="227" t="s">
        <v>114</v>
      </c>
    </row>
    <row r="498" spans="1:15" s="212" customFormat="1" ht="12.95">
      <c r="A498" s="218"/>
      <c r="B498" s="218"/>
      <c r="C498" s="218"/>
      <c r="D498" s="218"/>
      <c r="E498" s="218"/>
      <c r="F498" s="218"/>
      <c r="G498" s="218"/>
      <c r="H498" s="218"/>
      <c r="I498" s="218"/>
      <c r="J498" s="218"/>
      <c r="K498" s="218"/>
      <c r="L498" s="218"/>
      <c r="M498" s="218"/>
      <c r="N498" s="218"/>
      <c r="O498" s="218"/>
    </row>
    <row r="499" spans="1:15" s="212" customFormat="1" ht="12.95">
      <c r="A499" s="217" t="str">
        <f>name!A32</f>
        <v>Civil engineering</v>
      </c>
      <c r="B499" s="369">
        <f>$B$6</f>
        <v>2015</v>
      </c>
      <c r="C499" s="369"/>
      <c r="D499" s="369"/>
      <c r="E499" s="369"/>
      <c r="F499" s="239"/>
      <c r="G499" s="369">
        <f>$G$6</f>
        <v>2020</v>
      </c>
      <c r="H499" s="369"/>
      <c r="I499" s="369"/>
      <c r="J499" s="369"/>
      <c r="K499" s="239"/>
      <c r="L499" s="369">
        <f>$L$6</f>
        <v>2035</v>
      </c>
      <c r="M499" s="369"/>
      <c r="N499" s="369"/>
      <c r="O499" s="369"/>
    </row>
    <row r="500" spans="1:15" s="212" customFormat="1" ht="12.95">
      <c r="A500" s="230"/>
      <c r="B500" s="244" t="str">
        <f>$B$7</f>
        <v>FT</v>
      </c>
      <c r="C500" s="244" t="str">
        <f>$C$7</f>
        <v>PT</v>
      </c>
      <c r="D500" s="244" t="str">
        <f>$D$7</f>
        <v>SE</v>
      </c>
      <c r="E500" s="244" t="str">
        <f>$E$7</f>
        <v>Total</v>
      </c>
      <c r="F500" s="244"/>
      <c r="G500" s="244" t="str">
        <f>$G$7</f>
        <v>FT</v>
      </c>
      <c r="H500" s="244" t="str">
        <f>$H$7</f>
        <v>PT</v>
      </c>
      <c r="I500" s="244" t="str">
        <f>$I$7</f>
        <v>SE</v>
      </c>
      <c r="J500" s="244" t="str">
        <f>$J$7</f>
        <v>Total</v>
      </c>
      <c r="K500" s="244"/>
      <c r="L500" s="244" t="str">
        <f>$L$7</f>
        <v>FT</v>
      </c>
      <c r="M500" s="244" t="str">
        <f>$M$7</f>
        <v>PT</v>
      </c>
      <c r="N500" s="244" t="str">
        <f>$N$7</f>
        <v>SE</v>
      </c>
      <c r="O500" s="244" t="str">
        <f>$O$7</f>
        <v>Total</v>
      </c>
    </row>
    <row r="501" spans="1:15" s="212" customFormat="1" ht="12.95">
      <c r="A501" s="234"/>
      <c r="B501" s="215"/>
      <c r="C501" s="215"/>
      <c r="D501" s="215"/>
      <c r="E501" s="215"/>
      <c r="F501" s="215"/>
      <c r="G501" s="215"/>
      <c r="H501" s="215"/>
      <c r="I501" s="215"/>
      <c r="J501" s="215"/>
      <c r="K501" s="215"/>
      <c r="L501" s="215"/>
      <c r="M501" s="215"/>
      <c r="N501" s="215"/>
      <c r="O501" s="215"/>
    </row>
    <row r="502" spans="1:15" s="212" customFormat="1">
      <c r="A502" s="213" t="str">
        <f>name!E$4</f>
        <v>Managers, directors and senior officials</v>
      </c>
      <c r="B502" s="278">
        <v>16.577066328707971</v>
      </c>
      <c r="C502" s="278">
        <v>1.0203478805734758</v>
      </c>
      <c r="D502" s="278">
        <v>4.80405991859742</v>
      </c>
      <c r="E502" s="278">
        <f>SUM(B502:D502)</f>
        <v>22.401474127878867</v>
      </c>
      <c r="F502" s="279"/>
      <c r="G502" s="278">
        <v>21.75443028549893</v>
      </c>
      <c r="H502" s="278">
        <v>2.1697166064171993</v>
      </c>
      <c r="I502" s="278">
        <v>8.0194845652192086</v>
      </c>
      <c r="J502" s="278">
        <f>SUM(G502:I502)</f>
        <v>31.943631457135339</v>
      </c>
      <c r="K502" s="279"/>
      <c r="L502" s="278">
        <v>22.61629780656471</v>
      </c>
      <c r="M502" s="278">
        <v>2.3223713738490686</v>
      </c>
      <c r="N502" s="278">
        <v>9.5027118843834089</v>
      </c>
      <c r="O502" s="278">
        <f>SUM(L502:N502)</f>
        <v>34.441381064797184</v>
      </c>
    </row>
    <row r="503" spans="1:15" s="212" customFormat="1">
      <c r="A503" s="213" t="str">
        <f>name!E$5</f>
        <v>Professional occupations</v>
      </c>
      <c r="B503" s="278">
        <v>21.052237854066835</v>
      </c>
      <c r="C503" s="278">
        <v>0.68210550475801046</v>
      </c>
      <c r="D503" s="278">
        <v>2.6931482716184552</v>
      </c>
      <c r="E503" s="278">
        <f t="shared" ref="E503:E510" si="224">SUM(B503:D503)</f>
        <v>24.427491630443299</v>
      </c>
      <c r="F503" s="279"/>
      <c r="G503" s="278">
        <v>30.081668972018001</v>
      </c>
      <c r="H503" s="278">
        <v>1.2888053371563288</v>
      </c>
      <c r="I503" s="278">
        <v>3.8397178414478095</v>
      </c>
      <c r="J503" s="278">
        <f t="shared" ref="J503:J505" si="225">SUM(G503:I503)</f>
        <v>35.210192150622142</v>
      </c>
      <c r="K503" s="279"/>
      <c r="L503" s="278">
        <v>45.031600059792765</v>
      </c>
      <c r="M503" s="278">
        <v>1.5367331518777665</v>
      </c>
      <c r="N503" s="278">
        <v>3.233365008965003</v>
      </c>
      <c r="O503" s="278">
        <f t="shared" ref="O503:O510" si="226">SUM(L503:N503)</f>
        <v>49.801698220635537</v>
      </c>
    </row>
    <row r="504" spans="1:15" s="212" customFormat="1">
      <c r="A504" s="213" t="str">
        <f>name!E$6</f>
        <v>Associate professional occupations</v>
      </c>
      <c r="B504" s="278">
        <v>12.117479061730679</v>
      </c>
      <c r="C504" s="278">
        <v>0.87767746552441372</v>
      </c>
      <c r="D504" s="278">
        <v>1.1157211047605293</v>
      </c>
      <c r="E504" s="278">
        <f t="shared" si="224"/>
        <v>14.110877632015622</v>
      </c>
      <c r="F504" s="279"/>
      <c r="G504" s="278">
        <v>16.549394425957686</v>
      </c>
      <c r="H504" s="278">
        <v>1.4510651549685156</v>
      </c>
      <c r="I504" s="278">
        <v>1.4256379234247043</v>
      </c>
      <c r="J504" s="278">
        <f t="shared" si="225"/>
        <v>19.426097504350906</v>
      </c>
      <c r="K504" s="279"/>
      <c r="L504" s="278">
        <v>19.628374021061809</v>
      </c>
      <c r="M504" s="278">
        <v>1.3531085302281998</v>
      </c>
      <c r="N504" s="278">
        <v>1.7278590808777785</v>
      </c>
      <c r="O504" s="278">
        <f t="shared" si="226"/>
        <v>22.709341632167785</v>
      </c>
    </row>
    <row r="505" spans="1:15" s="212" customFormat="1">
      <c r="A505" s="213" t="str">
        <f>name!E$7</f>
        <v>Administrative and secretarial occupations</v>
      </c>
      <c r="B505" s="278">
        <v>7.7963116176624858</v>
      </c>
      <c r="C505" s="278">
        <v>5.0981296650644641</v>
      </c>
      <c r="D505" s="278">
        <v>1.0846831292013759</v>
      </c>
      <c r="E505" s="278">
        <f t="shared" si="224"/>
        <v>13.979124411928325</v>
      </c>
      <c r="F505" s="279"/>
      <c r="G505" s="278">
        <v>8.6745352189717657</v>
      </c>
      <c r="H505" s="278">
        <v>5.4609107849748417</v>
      </c>
      <c r="I505" s="278">
        <v>0.93202077500749492</v>
      </c>
      <c r="J505" s="278">
        <f t="shared" si="225"/>
        <v>15.067466778954103</v>
      </c>
      <c r="K505" s="279"/>
      <c r="L505" s="278">
        <v>8.6614289865641627</v>
      </c>
      <c r="M505" s="278">
        <v>5.9520303801775629</v>
      </c>
      <c r="N505" s="278">
        <v>1.0530556474905652</v>
      </c>
      <c r="O505" s="278">
        <f t="shared" si="226"/>
        <v>15.66651501423229</v>
      </c>
    </row>
    <row r="506" spans="1:15" s="212" customFormat="1">
      <c r="A506" s="213" t="str">
        <f>name!E$8</f>
        <v>Skilled trades occupations</v>
      </c>
      <c r="B506" s="278">
        <v>50.044818749509098</v>
      </c>
      <c r="C506" s="278">
        <v>1.967145250832703</v>
      </c>
      <c r="D506" s="278">
        <v>80.490159068131931</v>
      </c>
      <c r="E506" s="278">
        <f t="shared" si="224"/>
        <v>132.50212306847374</v>
      </c>
      <c r="F506" s="279"/>
      <c r="G506" s="278">
        <v>45.720627868433965</v>
      </c>
      <c r="H506" s="278">
        <v>2.1663644659242434</v>
      </c>
      <c r="I506" s="278">
        <v>71.423511252982522</v>
      </c>
      <c r="J506" s="278">
        <f>SUM(G506:I506)</f>
        <v>119.31050358734073</v>
      </c>
      <c r="K506" s="279"/>
      <c r="L506" s="278">
        <v>37.465082768694003</v>
      </c>
      <c r="M506" s="278">
        <v>3.4734804576459317</v>
      </c>
      <c r="N506" s="278">
        <v>80.749404320511303</v>
      </c>
      <c r="O506" s="278">
        <f t="shared" si="226"/>
        <v>121.68796754685124</v>
      </c>
    </row>
    <row r="507" spans="1:15" s="212" customFormat="1">
      <c r="A507" s="213" t="str">
        <f>name!E$9</f>
        <v>Caring, leisure and other service occupations</v>
      </c>
      <c r="B507" s="278">
        <v>0.49978766091249904</v>
      </c>
      <c r="C507" s="278">
        <v>9.0013647537450392E-2</v>
      </c>
      <c r="D507" s="278">
        <v>4.7521702177494296E-2</v>
      </c>
      <c r="E507" s="278">
        <f t="shared" si="224"/>
        <v>0.63732301062744368</v>
      </c>
      <c r="F507" s="279"/>
      <c r="G507" s="278">
        <v>0.61115584254598243</v>
      </c>
      <c r="H507" s="278">
        <v>0.14086981213417299</v>
      </c>
      <c r="I507" s="278">
        <v>5.4129520317905959E-2</v>
      </c>
      <c r="J507" s="278">
        <f t="shared" ref="J507:J510" si="227">SUM(G507:I507)</f>
        <v>0.80615517499806133</v>
      </c>
      <c r="K507" s="279"/>
      <c r="L507" s="278">
        <v>0.59285099449575807</v>
      </c>
      <c r="M507" s="278">
        <v>0.11636659041341353</v>
      </c>
      <c r="N507" s="278">
        <v>0.10280661237342127</v>
      </c>
      <c r="O507" s="278">
        <f t="shared" si="226"/>
        <v>0.8120241972825929</v>
      </c>
    </row>
    <row r="508" spans="1:15" s="212" customFormat="1">
      <c r="A508" s="213" t="str">
        <f>name!E$10</f>
        <v>Sales and customer service occupations</v>
      </c>
      <c r="B508" s="278">
        <v>2.3846476345789287</v>
      </c>
      <c r="C508" s="278">
        <v>0.86171804526109474</v>
      </c>
      <c r="D508" s="278">
        <v>0.44995712963100903</v>
      </c>
      <c r="E508" s="278">
        <f t="shared" si="224"/>
        <v>3.6963228094710323</v>
      </c>
      <c r="F508" s="279"/>
      <c r="G508" s="278">
        <v>2.623670102355375</v>
      </c>
      <c r="H508" s="278">
        <v>1.185311937063791</v>
      </c>
      <c r="I508" s="278">
        <v>0.51153222188909719</v>
      </c>
      <c r="J508" s="278">
        <f t="shared" si="227"/>
        <v>4.3205142613082632</v>
      </c>
      <c r="K508" s="279"/>
      <c r="L508" s="278">
        <v>3.0711971642968292</v>
      </c>
      <c r="M508" s="278">
        <v>1.2714949751577547</v>
      </c>
      <c r="N508" s="278">
        <v>0.61268986257118208</v>
      </c>
      <c r="O508" s="278">
        <f t="shared" si="226"/>
        <v>4.9553820020257664</v>
      </c>
    </row>
    <row r="509" spans="1:15" s="212" customFormat="1">
      <c r="A509" s="213" t="str">
        <f>name!E$11</f>
        <v>Process, plant and machine operatives</v>
      </c>
      <c r="B509" s="278">
        <v>15.752502739335849</v>
      </c>
      <c r="C509" s="278">
        <v>0.40863960035053037</v>
      </c>
      <c r="D509" s="278">
        <v>4.7704786582742358</v>
      </c>
      <c r="E509" s="278">
        <f t="shared" si="224"/>
        <v>20.931620997960614</v>
      </c>
      <c r="F509" s="279"/>
      <c r="G509" s="278">
        <v>14.335832437000201</v>
      </c>
      <c r="H509" s="278">
        <v>0.75962156593136998</v>
      </c>
      <c r="I509" s="278">
        <v>6.1744556932332308</v>
      </c>
      <c r="J509" s="278">
        <f t="shared" si="227"/>
        <v>21.269909696164802</v>
      </c>
      <c r="K509" s="279"/>
      <c r="L509" s="278">
        <v>13.554452187981639</v>
      </c>
      <c r="M509" s="278">
        <v>0.71708988175948762</v>
      </c>
      <c r="N509" s="278">
        <v>9.3866669698459297</v>
      </c>
      <c r="O509" s="278">
        <f t="shared" si="226"/>
        <v>23.658209039587057</v>
      </c>
    </row>
    <row r="510" spans="1:15" s="212" customFormat="1">
      <c r="A510" s="213" t="str">
        <f>name!E$12</f>
        <v>Elementary occupations</v>
      </c>
      <c r="B510" s="278">
        <v>7.6081483537971328</v>
      </c>
      <c r="C510" s="278">
        <v>1.4942229402201841</v>
      </c>
      <c r="D510" s="278">
        <v>5.2022710147022968</v>
      </c>
      <c r="E510" s="278">
        <f t="shared" si="224"/>
        <v>14.304642308719615</v>
      </c>
      <c r="F510" s="279"/>
      <c r="G510" s="278">
        <v>6.5606848470922037</v>
      </c>
      <c r="H510" s="278">
        <v>1.8073343354985323</v>
      </c>
      <c r="I510" s="278">
        <v>5.5675102031049049</v>
      </c>
      <c r="J510" s="278">
        <f t="shared" si="227"/>
        <v>13.935529385695641</v>
      </c>
      <c r="K510" s="279"/>
      <c r="L510" s="278">
        <v>7.816716011514532</v>
      </c>
      <c r="M510" s="278">
        <v>2.0713246590947376</v>
      </c>
      <c r="N510" s="278">
        <v>7.8464406022852025</v>
      </c>
      <c r="O510" s="278">
        <f t="shared" si="226"/>
        <v>17.73448127289447</v>
      </c>
    </row>
    <row r="511" spans="1:15" s="212" customFormat="1">
      <c r="A511" s="213"/>
      <c r="B511" s="278"/>
      <c r="C511" s="278"/>
      <c r="D511" s="278"/>
      <c r="E511" s="278"/>
      <c r="F511" s="279"/>
      <c r="G511" s="278"/>
      <c r="H511" s="278"/>
      <c r="I511" s="278"/>
      <c r="J511" s="278"/>
      <c r="K511" s="279"/>
      <c r="L511" s="278"/>
      <c r="M511" s="278"/>
      <c r="N511" s="278"/>
      <c r="O511" s="278"/>
    </row>
    <row r="512" spans="1:15" s="212" customFormat="1">
      <c r="A512" s="220" t="s">
        <v>119</v>
      </c>
      <c r="B512" s="282">
        <f>SUM(B502:B510)</f>
        <v>133.83300000030147</v>
      </c>
      <c r="C512" s="282">
        <f t="shared" ref="C512:E512" si="228">SUM(C502:C510)</f>
        <v>12.500000000122327</v>
      </c>
      <c r="D512" s="282">
        <f t="shared" si="228"/>
        <v>100.65799999709472</v>
      </c>
      <c r="E512" s="282">
        <f t="shared" si="228"/>
        <v>246.99099999751857</v>
      </c>
      <c r="F512" s="282"/>
      <c r="G512" s="282">
        <f t="shared" ref="G512:J512" si="229">SUM(G502:G510)</f>
        <v>146.91199999987413</v>
      </c>
      <c r="H512" s="282">
        <f t="shared" si="229"/>
        <v>16.430000000068997</v>
      </c>
      <c r="I512" s="282">
        <f t="shared" si="229"/>
        <v>97.947999996626862</v>
      </c>
      <c r="J512" s="282">
        <f t="shared" si="229"/>
        <v>261.28999999656997</v>
      </c>
      <c r="K512" s="282"/>
      <c r="L512" s="282">
        <f t="shared" ref="L512:O512" si="230">SUM(L502:L510)</f>
        <v>158.43800000096618</v>
      </c>
      <c r="M512" s="282">
        <f t="shared" si="230"/>
        <v>18.814000000203926</v>
      </c>
      <c r="N512" s="282">
        <f t="shared" si="230"/>
        <v>114.21499998930381</v>
      </c>
      <c r="O512" s="282">
        <f t="shared" si="230"/>
        <v>291.46699999047394</v>
      </c>
    </row>
    <row r="513" spans="1:15" s="212" customFormat="1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3"/>
      <c r="M513" s="213"/>
      <c r="N513" s="216"/>
    </row>
    <row r="514" spans="1:15" s="212" customFormat="1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13"/>
      <c r="M514" s="213"/>
      <c r="N514" s="216"/>
      <c r="O514" s="227" t="s">
        <v>114</v>
      </c>
    </row>
    <row r="515" spans="1:15" s="212" customFormat="1" ht="12.95">
      <c r="A515" s="218"/>
      <c r="B515" s="218"/>
      <c r="C515" s="218"/>
      <c r="D515" s="218"/>
      <c r="E515" s="218"/>
      <c r="F515" s="218"/>
      <c r="G515" s="218"/>
      <c r="H515" s="218"/>
      <c r="I515" s="218"/>
      <c r="J515" s="218"/>
      <c r="K515" s="218"/>
      <c r="L515" s="218"/>
      <c r="M515" s="218"/>
      <c r="N515" s="218"/>
      <c r="O515" s="218"/>
    </row>
    <row r="516" spans="1:15" s="212" customFormat="1" ht="12.95">
      <c r="A516" s="217" t="str">
        <f>name!A33</f>
        <v>Specialised construction</v>
      </c>
      <c r="B516" s="369">
        <f>$B$6</f>
        <v>2015</v>
      </c>
      <c r="C516" s="369"/>
      <c r="D516" s="369"/>
      <c r="E516" s="369"/>
      <c r="F516" s="239"/>
      <c r="G516" s="369">
        <f>$G$6</f>
        <v>2020</v>
      </c>
      <c r="H516" s="369"/>
      <c r="I516" s="369"/>
      <c r="J516" s="369"/>
      <c r="K516" s="239"/>
      <c r="L516" s="369">
        <f>$L$6</f>
        <v>2035</v>
      </c>
      <c r="M516" s="369"/>
      <c r="N516" s="369"/>
      <c r="O516" s="369"/>
    </row>
    <row r="517" spans="1:15" s="212" customFormat="1" ht="12.95">
      <c r="A517" s="230"/>
      <c r="B517" s="244" t="str">
        <f>$B$7</f>
        <v>FT</v>
      </c>
      <c r="C517" s="244" t="str">
        <f>$C$7</f>
        <v>PT</v>
      </c>
      <c r="D517" s="244" t="str">
        <f>$D$7</f>
        <v>SE</v>
      </c>
      <c r="E517" s="244" t="str">
        <f>$E$7</f>
        <v>Total</v>
      </c>
      <c r="F517" s="244"/>
      <c r="G517" s="244" t="str">
        <f>$G$7</f>
        <v>FT</v>
      </c>
      <c r="H517" s="244" t="str">
        <f>$H$7</f>
        <v>PT</v>
      </c>
      <c r="I517" s="244" t="str">
        <f>$I$7</f>
        <v>SE</v>
      </c>
      <c r="J517" s="244" t="str">
        <f>$J$7</f>
        <v>Total</v>
      </c>
      <c r="K517" s="244"/>
      <c r="L517" s="244" t="str">
        <f>$L$7</f>
        <v>FT</v>
      </c>
      <c r="M517" s="244" t="str">
        <f>$M$7</f>
        <v>PT</v>
      </c>
      <c r="N517" s="244" t="str">
        <f>$N$7</f>
        <v>SE</v>
      </c>
      <c r="O517" s="244" t="str">
        <f>$O$7</f>
        <v>Total</v>
      </c>
    </row>
    <row r="518" spans="1:15" s="212" customFormat="1" ht="12.95">
      <c r="A518" s="234"/>
      <c r="B518" s="215"/>
      <c r="C518" s="215"/>
      <c r="D518" s="215"/>
      <c r="E518" s="215"/>
      <c r="F518" s="215"/>
      <c r="G518" s="215"/>
      <c r="H518" s="215"/>
      <c r="I518" s="215"/>
      <c r="J518" s="215"/>
      <c r="K518" s="215"/>
      <c r="L518" s="215"/>
      <c r="M518" s="215"/>
      <c r="N518" s="215"/>
      <c r="O518" s="215"/>
    </row>
    <row r="519" spans="1:15" s="212" customFormat="1">
      <c r="A519" s="213" t="str">
        <f>name!E$4</f>
        <v>Managers, directors and senior officials</v>
      </c>
      <c r="B519" s="278">
        <v>66.487619642868609</v>
      </c>
      <c r="C519" s="278">
        <v>6.2023843317210003</v>
      </c>
      <c r="D519" s="278">
        <v>19.257616802120275</v>
      </c>
      <c r="E519" s="278">
        <f>SUM(B519:D519)</f>
        <v>91.947620776709897</v>
      </c>
      <c r="F519" s="279"/>
      <c r="G519" s="278">
        <v>83.831952052201629</v>
      </c>
      <c r="H519" s="278">
        <v>13.777723251883188</v>
      </c>
      <c r="I519" s="278">
        <v>33.198656868266113</v>
      </c>
      <c r="J519" s="278">
        <f>SUM(G519:I519)</f>
        <v>130.80833217235093</v>
      </c>
      <c r="K519" s="279"/>
      <c r="L519" s="278">
        <v>87.580521475142007</v>
      </c>
      <c r="M519" s="278">
        <v>15.752278470940418</v>
      </c>
      <c r="N519" s="278">
        <v>38.579428055761149</v>
      </c>
      <c r="O519" s="278">
        <f>SUM(L519:N519)</f>
        <v>141.91222800184357</v>
      </c>
    </row>
    <row r="520" spans="1:15" s="212" customFormat="1">
      <c r="A520" s="213" t="str">
        <f>name!E$5</f>
        <v>Professional occupations</v>
      </c>
      <c r="B520" s="278">
        <v>84.926778321819114</v>
      </c>
      <c r="C520" s="278">
        <v>4.1214337303305655</v>
      </c>
      <c r="D520" s="278">
        <v>10.770165558721335</v>
      </c>
      <c r="E520" s="278">
        <f t="shared" ref="E520:E527" si="231">SUM(B520:D520)</f>
        <v>99.818377610871011</v>
      </c>
      <c r="F520" s="279"/>
      <c r="G520" s="278">
        <v>119.34418088618027</v>
      </c>
      <c r="H520" s="278">
        <v>8.2614582838342567</v>
      </c>
      <c r="I520" s="278">
        <v>16.25315625456841</v>
      </c>
      <c r="J520" s="278">
        <f t="shared" ref="J520:J522" si="232">SUM(G520:I520)</f>
        <v>143.85879542458292</v>
      </c>
      <c r="K520" s="279"/>
      <c r="L520" s="278">
        <v>178.73005497432203</v>
      </c>
      <c r="M520" s="278">
        <v>10.023533330048576</v>
      </c>
      <c r="N520" s="278">
        <v>13.626430652972548</v>
      </c>
      <c r="O520" s="278">
        <f t="shared" ref="O520:O527" si="233">SUM(L520:N520)</f>
        <v>202.38001895734314</v>
      </c>
    </row>
    <row r="521" spans="1:15" s="212" customFormat="1">
      <c r="A521" s="213" t="str">
        <f>name!E$6</f>
        <v>Associate professional occupations</v>
      </c>
      <c r="B521" s="278">
        <v>48.503834884900293</v>
      </c>
      <c r="C521" s="278">
        <v>5.4115604235593322</v>
      </c>
      <c r="D521" s="278">
        <v>4.4979897424894082</v>
      </c>
      <c r="E521" s="278">
        <f t="shared" si="231"/>
        <v>58.413385050949032</v>
      </c>
      <c r="F521" s="279"/>
      <c r="G521" s="278">
        <v>64.660654290647642</v>
      </c>
      <c r="H521" s="278">
        <v>9.1599881857136847</v>
      </c>
      <c r="I521" s="278">
        <v>5.9447538479942112</v>
      </c>
      <c r="J521" s="278">
        <f t="shared" si="232"/>
        <v>79.765396324355535</v>
      </c>
      <c r="K521" s="279"/>
      <c r="L521" s="278">
        <v>77.41450530904099</v>
      </c>
      <c r="M521" s="278">
        <v>9.2198950515060094</v>
      </c>
      <c r="N521" s="278">
        <v>7.0107057356005553</v>
      </c>
      <c r="O521" s="278">
        <f t="shared" si="233"/>
        <v>93.645106096147558</v>
      </c>
    </row>
    <row r="522" spans="1:15" s="212" customFormat="1">
      <c r="A522" s="213" t="str">
        <f>name!E$7</f>
        <v>Administrative and secretarial occupations</v>
      </c>
      <c r="B522" s="278">
        <v>35.882314958303255</v>
      </c>
      <c r="C522" s="278">
        <v>33.817701279784771</v>
      </c>
      <c r="D522" s="278">
        <v>5.8543130135519714</v>
      </c>
      <c r="E522" s="278">
        <f t="shared" si="231"/>
        <v>75.554329251639999</v>
      </c>
      <c r="F522" s="279"/>
      <c r="G522" s="278">
        <v>39.520490059037272</v>
      </c>
      <c r="H522" s="278">
        <v>40.609351868329206</v>
      </c>
      <c r="I522" s="278">
        <v>5.6625871091555426</v>
      </c>
      <c r="J522" s="278">
        <f t="shared" si="232"/>
        <v>85.792429036522009</v>
      </c>
      <c r="K522" s="279"/>
      <c r="L522" s="278">
        <v>38.862344562967813</v>
      </c>
      <c r="M522" s="278">
        <v>45.875358902421198</v>
      </c>
      <c r="N522" s="278">
        <v>4.8321268809497964</v>
      </c>
      <c r="O522" s="278">
        <f t="shared" si="233"/>
        <v>89.569830346338819</v>
      </c>
    </row>
    <row r="523" spans="1:15" s="212" customFormat="1">
      <c r="A523" s="213" t="str">
        <f>name!E$8</f>
        <v>Skilled trades occupations</v>
      </c>
      <c r="B523" s="278">
        <v>195.33320306212326</v>
      </c>
      <c r="C523" s="278">
        <v>9.6396875272151252</v>
      </c>
      <c r="D523" s="278">
        <v>300.56198055747575</v>
      </c>
      <c r="E523" s="278">
        <f t="shared" si="231"/>
        <v>505.53487114681411</v>
      </c>
      <c r="F523" s="279"/>
      <c r="G523" s="278">
        <v>172.22458153952186</v>
      </c>
      <c r="H523" s="278">
        <v>10.792004149901295</v>
      </c>
      <c r="I523" s="278">
        <v>282.97153871847388</v>
      </c>
      <c r="J523" s="278">
        <f>SUM(G523:I523)</f>
        <v>465.98812440789703</v>
      </c>
      <c r="K523" s="279"/>
      <c r="L523" s="278">
        <v>139.69513733226535</v>
      </c>
      <c r="M523" s="278">
        <v>18.082319758446062</v>
      </c>
      <c r="N523" s="278">
        <v>320.01241978696618</v>
      </c>
      <c r="O523" s="278">
        <f t="shared" si="233"/>
        <v>477.78987687767756</v>
      </c>
    </row>
    <row r="524" spans="1:15" s="212" customFormat="1">
      <c r="A524" s="213" t="str">
        <f>name!E$9</f>
        <v>Caring, leisure and other service occupations</v>
      </c>
      <c r="B524" s="278">
        <v>1.9280896282130948</v>
      </c>
      <c r="C524" s="278">
        <v>0.52010716883705022</v>
      </c>
      <c r="D524" s="278">
        <v>0.22747944760291369</v>
      </c>
      <c r="E524" s="278">
        <f t="shared" si="231"/>
        <v>2.6756762446530589</v>
      </c>
      <c r="F524" s="279"/>
      <c r="G524" s="278">
        <v>2.3752949419556404</v>
      </c>
      <c r="H524" s="278">
        <v>0.85338049950026018</v>
      </c>
      <c r="I524" s="278">
        <v>0.2867507334389886</v>
      </c>
      <c r="J524" s="278">
        <f t="shared" ref="J524:J527" si="234">SUM(G524:I524)</f>
        <v>3.5154261748948894</v>
      </c>
      <c r="K524" s="279"/>
      <c r="L524" s="278">
        <v>2.313820664308428</v>
      </c>
      <c r="M524" s="278">
        <v>0.71574227870846963</v>
      </c>
      <c r="N524" s="278">
        <v>0.46428181172262523</v>
      </c>
      <c r="O524" s="278">
        <f t="shared" si="233"/>
        <v>3.4938447547395231</v>
      </c>
    </row>
    <row r="525" spans="1:15" s="212" customFormat="1">
      <c r="A525" s="213" t="str">
        <f>name!E$10</f>
        <v>Sales and customer service occupations</v>
      </c>
      <c r="B525" s="278">
        <v>10.065631368064283</v>
      </c>
      <c r="C525" s="278">
        <v>5.368055522804358</v>
      </c>
      <c r="D525" s="278">
        <v>1.8524219206723251</v>
      </c>
      <c r="E525" s="278">
        <f t="shared" si="231"/>
        <v>17.286108811540966</v>
      </c>
      <c r="F525" s="279"/>
      <c r="G525" s="278">
        <v>10.895585108969604</v>
      </c>
      <c r="H525" s="278">
        <v>7.3589426714244031</v>
      </c>
      <c r="I525" s="278">
        <v>2.1449586737435409</v>
      </c>
      <c r="J525" s="278">
        <f t="shared" si="234"/>
        <v>20.399486454137548</v>
      </c>
      <c r="K525" s="279"/>
      <c r="L525" s="278">
        <v>12.740681155451476</v>
      </c>
      <c r="M525" s="278">
        <v>8.1036510553122891</v>
      </c>
      <c r="N525" s="278">
        <v>2.4861079039748715</v>
      </c>
      <c r="O525" s="278">
        <f t="shared" si="233"/>
        <v>23.330440114738639</v>
      </c>
    </row>
    <row r="526" spans="1:15" s="212" customFormat="1">
      <c r="A526" s="213" t="str">
        <f>name!E$11</f>
        <v>Process, plant and machine operatives</v>
      </c>
      <c r="B526" s="278">
        <v>63.37210309187914</v>
      </c>
      <c r="C526" s="278">
        <v>2.0486926664629017</v>
      </c>
      <c r="D526" s="278">
        <v>18.265842091052463</v>
      </c>
      <c r="E526" s="278">
        <f t="shared" si="231"/>
        <v>83.686637849394501</v>
      </c>
      <c r="F526" s="279"/>
      <c r="G526" s="278">
        <v>55.905223046467334</v>
      </c>
      <c r="H526" s="278">
        <v>3.9091489052021831</v>
      </c>
      <c r="I526" s="278">
        <v>24.765796245654037</v>
      </c>
      <c r="J526" s="278">
        <f t="shared" si="234"/>
        <v>84.580168197323559</v>
      </c>
      <c r="K526" s="279"/>
      <c r="L526" s="278">
        <v>52.886128094107683</v>
      </c>
      <c r="M526" s="278">
        <v>3.9089460524660926</v>
      </c>
      <c r="N526" s="278">
        <v>37.691543260517264</v>
      </c>
      <c r="O526" s="278">
        <f t="shared" si="233"/>
        <v>94.486617407091046</v>
      </c>
    </row>
    <row r="527" spans="1:15" s="212" customFormat="1">
      <c r="A527" s="213" t="str">
        <f>name!E$12</f>
        <v>Elementary occupations</v>
      </c>
      <c r="B527" s="278">
        <v>30.617425042375178</v>
      </c>
      <c r="C527" s="278">
        <v>8.708377349988675</v>
      </c>
      <c r="D527" s="278">
        <v>20.479190854633515</v>
      </c>
      <c r="E527" s="278">
        <f t="shared" si="231"/>
        <v>59.80499324699737</v>
      </c>
      <c r="F527" s="279"/>
      <c r="G527" s="278">
        <v>26.453038074059005</v>
      </c>
      <c r="H527" s="278">
        <v>10.605002184525784</v>
      </c>
      <c r="I527" s="278">
        <v>22.820801534597454</v>
      </c>
      <c r="J527" s="278">
        <f t="shared" si="234"/>
        <v>59.878841793182247</v>
      </c>
      <c r="K527" s="279"/>
      <c r="L527" s="278">
        <v>31.615806436350816</v>
      </c>
      <c r="M527" s="278">
        <v>12.525275101247816</v>
      </c>
      <c r="N527" s="278">
        <v>32.082955868940715</v>
      </c>
      <c r="O527" s="278">
        <f t="shared" si="233"/>
        <v>76.224037406539338</v>
      </c>
    </row>
    <row r="528" spans="1:15" s="212" customFormat="1">
      <c r="A528" s="213"/>
      <c r="B528" s="278"/>
      <c r="C528" s="278"/>
      <c r="D528" s="278"/>
      <c r="E528" s="278"/>
      <c r="F528" s="279"/>
      <c r="G528" s="278"/>
      <c r="H528" s="278"/>
      <c r="I528" s="278"/>
      <c r="J528" s="278"/>
      <c r="K528" s="279"/>
      <c r="L528" s="278"/>
      <c r="M528" s="278"/>
      <c r="N528" s="278"/>
      <c r="O528" s="278"/>
    </row>
    <row r="529" spans="1:15" s="212" customFormat="1">
      <c r="A529" s="220" t="s">
        <v>119</v>
      </c>
      <c r="B529" s="282">
        <f>SUM(B519:B527)</f>
        <v>537.11700000054623</v>
      </c>
      <c r="C529" s="282">
        <f t="shared" ref="C529:E529" si="235">SUM(C519:C527)</f>
        <v>75.838000000703772</v>
      </c>
      <c r="D529" s="282">
        <f t="shared" si="235"/>
        <v>381.76699998831998</v>
      </c>
      <c r="E529" s="282">
        <f t="shared" si="235"/>
        <v>994.72199998957001</v>
      </c>
      <c r="F529" s="282"/>
      <c r="G529" s="282">
        <f t="shared" ref="G529:J529" si="236">SUM(G519:G527)</f>
        <v>575.21099999904027</v>
      </c>
      <c r="H529" s="282">
        <f t="shared" si="236"/>
        <v>105.32700000031427</v>
      </c>
      <c r="I529" s="282">
        <f t="shared" si="236"/>
        <v>394.04899998589218</v>
      </c>
      <c r="J529" s="282">
        <f t="shared" si="236"/>
        <v>1074.5869999852466</v>
      </c>
      <c r="K529" s="282"/>
      <c r="L529" s="282">
        <f t="shared" ref="L529:O529" si="237">SUM(L519:L527)</f>
        <v>621.83900000395658</v>
      </c>
      <c r="M529" s="282">
        <f t="shared" si="237"/>
        <v>124.20700000109693</v>
      </c>
      <c r="N529" s="282">
        <f t="shared" si="237"/>
        <v>456.78599995740569</v>
      </c>
      <c r="O529" s="282">
        <f t="shared" si="237"/>
        <v>1202.8319999624591</v>
      </c>
    </row>
    <row r="530" spans="1:15" s="212" customFormat="1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3"/>
      <c r="M530" s="213"/>
      <c r="N530" s="216"/>
    </row>
    <row r="531" spans="1:15" s="212" customFormat="1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13"/>
      <c r="M531" s="213"/>
      <c r="N531" s="216"/>
      <c r="O531" s="227" t="s">
        <v>114</v>
      </c>
    </row>
    <row r="532" spans="1:15" s="212" customFormat="1" ht="12.95">
      <c r="A532" s="218"/>
      <c r="B532" s="218"/>
      <c r="C532" s="218"/>
      <c r="D532" s="218"/>
      <c r="E532" s="218"/>
      <c r="F532" s="218"/>
      <c r="G532" s="218"/>
      <c r="H532" s="218"/>
      <c r="I532" s="218"/>
      <c r="J532" s="218"/>
      <c r="K532" s="218"/>
      <c r="L532" s="218"/>
      <c r="M532" s="218"/>
      <c r="N532" s="218"/>
      <c r="O532" s="218"/>
    </row>
    <row r="533" spans="1:15" s="212" customFormat="1" ht="12.95">
      <c r="A533" s="217" t="str">
        <f>name!A34</f>
        <v>Motor vehicle trade</v>
      </c>
      <c r="B533" s="369">
        <f>$B$6</f>
        <v>2015</v>
      </c>
      <c r="C533" s="369"/>
      <c r="D533" s="369"/>
      <c r="E533" s="369"/>
      <c r="F533" s="239"/>
      <c r="G533" s="369">
        <f>$G$6</f>
        <v>2020</v>
      </c>
      <c r="H533" s="369"/>
      <c r="I533" s="369"/>
      <c r="J533" s="369"/>
      <c r="K533" s="239"/>
      <c r="L533" s="369">
        <f>$L$6</f>
        <v>2035</v>
      </c>
      <c r="M533" s="369"/>
      <c r="N533" s="369"/>
      <c r="O533" s="369"/>
    </row>
    <row r="534" spans="1:15" s="212" customFormat="1" ht="12.95">
      <c r="A534" s="230"/>
      <c r="B534" s="244" t="str">
        <f>$B$7</f>
        <v>FT</v>
      </c>
      <c r="C534" s="244" t="str">
        <f>$C$7</f>
        <v>PT</v>
      </c>
      <c r="D534" s="244" t="str">
        <f>$D$7</f>
        <v>SE</v>
      </c>
      <c r="E534" s="244" t="str">
        <f>$E$7</f>
        <v>Total</v>
      </c>
      <c r="F534" s="244"/>
      <c r="G534" s="244" t="str">
        <f>$G$7</f>
        <v>FT</v>
      </c>
      <c r="H534" s="244" t="str">
        <f>$H$7</f>
        <v>PT</v>
      </c>
      <c r="I534" s="244" t="str">
        <f>$I$7</f>
        <v>SE</v>
      </c>
      <c r="J534" s="244" t="str">
        <f>$J$7</f>
        <v>Total</v>
      </c>
      <c r="K534" s="244"/>
      <c r="L534" s="244" t="str">
        <f>$L$7</f>
        <v>FT</v>
      </c>
      <c r="M534" s="244" t="str">
        <f>$M$7</f>
        <v>PT</v>
      </c>
      <c r="N534" s="244" t="str">
        <f>$N$7</f>
        <v>SE</v>
      </c>
      <c r="O534" s="244" t="str">
        <f>$O$7</f>
        <v>Total</v>
      </c>
    </row>
    <row r="535" spans="1:15" s="212" customFormat="1" ht="12.95">
      <c r="A535" s="234"/>
      <c r="B535" s="215"/>
      <c r="C535" s="215"/>
      <c r="D535" s="215"/>
      <c r="E535" s="215"/>
      <c r="F535" s="215"/>
      <c r="G535" s="215"/>
      <c r="H535" s="215"/>
      <c r="I535" s="215"/>
      <c r="J535" s="215"/>
      <c r="K535" s="215"/>
      <c r="L535" s="215"/>
      <c r="M535" s="215"/>
      <c r="N535" s="215"/>
      <c r="O535" s="215"/>
    </row>
    <row r="536" spans="1:15" s="212" customFormat="1">
      <c r="A536" s="213" t="str">
        <f>name!E$4</f>
        <v>Managers, directors and senior officials</v>
      </c>
      <c r="B536" s="278">
        <v>39.074419120675906</v>
      </c>
      <c r="C536" s="278">
        <v>2.1065749517685917</v>
      </c>
      <c r="D536" s="278">
        <v>11.650505565137777</v>
      </c>
      <c r="E536" s="278">
        <f>SUM(B536:D536)</f>
        <v>52.831499637582276</v>
      </c>
      <c r="F536" s="279"/>
      <c r="G536" s="278">
        <v>49.9722907630102</v>
      </c>
      <c r="H536" s="278">
        <v>4.1308082040031753</v>
      </c>
      <c r="I536" s="278">
        <v>11.284755389927964</v>
      </c>
      <c r="J536" s="278">
        <f>SUM(G536:I536)</f>
        <v>65.387854356941332</v>
      </c>
      <c r="K536" s="279"/>
      <c r="L536" s="278">
        <v>55.98089298671011</v>
      </c>
      <c r="M536" s="278">
        <v>3.9605320728804325</v>
      </c>
      <c r="N536" s="278">
        <v>12.613004675274439</v>
      </c>
      <c r="O536" s="278">
        <f>SUM(L536:N536)</f>
        <v>72.554429734864982</v>
      </c>
    </row>
    <row r="537" spans="1:15" s="212" customFormat="1">
      <c r="A537" s="213" t="str">
        <f>name!E$5</f>
        <v>Professional occupations</v>
      </c>
      <c r="B537" s="278">
        <v>19.824030339736346</v>
      </c>
      <c r="C537" s="278">
        <v>0.95326915612727292</v>
      </c>
      <c r="D537" s="278">
        <v>1.7399168472105149</v>
      </c>
      <c r="E537" s="278">
        <f t="shared" ref="E537:E544" si="238">SUM(B537:D537)</f>
        <v>22.517216343074136</v>
      </c>
      <c r="F537" s="279"/>
      <c r="G537" s="278">
        <v>29.293910016758296</v>
      </c>
      <c r="H537" s="278">
        <v>1.8550235468085843</v>
      </c>
      <c r="I537" s="278">
        <v>1.7778501623602423</v>
      </c>
      <c r="J537" s="278">
        <f t="shared" ref="J537:J539" si="239">SUM(G537:I537)</f>
        <v>32.926783725927123</v>
      </c>
      <c r="K537" s="279"/>
      <c r="L537" s="278">
        <v>40.453858590715129</v>
      </c>
      <c r="M537" s="278">
        <v>1.8886502684266611</v>
      </c>
      <c r="N537" s="278">
        <v>1.4305753091014368</v>
      </c>
      <c r="O537" s="278">
        <f t="shared" ref="O537:O544" si="240">SUM(L537:N537)</f>
        <v>43.773084168243223</v>
      </c>
    </row>
    <row r="538" spans="1:15" s="212" customFormat="1">
      <c r="A538" s="213" t="str">
        <f>name!E$6</f>
        <v>Associate professional occupations</v>
      </c>
      <c r="B538" s="278">
        <v>27.638799867596724</v>
      </c>
      <c r="C538" s="278">
        <v>1.9850704892015236</v>
      </c>
      <c r="D538" s="278">
        <v>1.4468783089338422</v>
      </c>
      <c r="E538" s="278">
        <f t="shared" si="238"/>
        <v>31.07074866573209</v>
      </c>
      <c r="F538" s="279"/>
      <c r="G538" s="278">
        <v>35.326376089562388</v>
      </c>
      <c r="H538" s="278">
        <v>3.1501911053398786</v>
      </c>
      <c r="I538" s="278">
        <v>1.5239715169285459</v>
      </c>
      <c r="J538" s="278">
        <f t="shared" si="239"/>
        <v>40.000538711830814</v>
      </c>
      <c r="K538" s="279"/>
      <c r="L538" s="278">
        <v>41.35167316601175</v>
      </c>
      <c r="M538" s="278">
        <v>2.7461733481596746</v>
      </c>
      <c r="N538" s="278">
        <v>1.4922539481380055</v>
      </c>
      <c r="O538" s="278">
        <f t="shared" si="240"/>
        <v>45.590100462309429</v>
      </c>
    </row>
    <row r="539" spans="1:15" s="212" customFormat="1">
      <c r="A539" s="213" t="str">
        <f>name!E$7</f>
        <v>Administrative and secretarial occupations</v>
      </c>
      <c r="B539" s="278">
        <v>41.632242965926871</v>
      </c>
      <c r="C539" s="278">
        <v>10.350982818331802</v>
      </c>
      <c r="D539" s="278">
        <v>1.6142866022563436</v>
      </c>
      <c r="E539" s="278">
        <f t="shared" si="238"/>
        <v>53.597512386515014</v>
      </c>
      <c r="F539" s="279"/>
      <c r="G539" s="278">
        <v>45.295467147135362</v>
      </c>
      <c r="H539" s="278">
        <v>13.440103754158047</v>
      </c>
      <c r="I539" s="278">
        <v>2.2395552438199458</v>
      </c>
      <c r="J539" s="278">
        <f t="shared" si="239"/>
        <v>60.97512614511335</v>
      </c>
      <c r="K539" s="279"/>
      <c r="L539" s="278">
        <v>54.241051342408596</v>
      </c>
      <c r="M539" s="278">
        <v>10.767529218312797</v>
      </c>
      <c r="N539" s="278">
        <v>1.9387890655569475</v>
      </c>
      <c r="O539" s="278">
        <f t="shared" si="240"/>
        <v>66.947369626278345</v>
      </c>
    </row>
    <row r="540" spans="1:15" s="212" customFormat="1">
      <c r="A540" s="213" t="str">
        <f>name!E$8</f>
        <v>Skilled trades occupations</v>
      </c>
      <c r="B540" s="278">
        <v>144.14350355782912</v>
      </c>
      <c r="C540" s="278">
        <v>10.682524147793044</v>
      </c>
      <c r="D540" s="278">
        <v>26.016327594425601</v>
      </c>
      <c r="E540" s="278">
        <f t="shared" si="238"/>
        <v>180.84235530004776</v>
      </c>
      <c r="F540" s="279"/>
      <c r="G540" s="278">
        <v>132.81425229898539</v>
      </c>
      <c r="H540" s="278">
        <v>10.049346782352433</v>
      </c>
      <c r="I540" s="278">
        <v>21.278256537762413</v>
      </c>
      <c r="J540" s="278">
        <f>SUM(G540:I540)</f>
        <v>164.14185561910026</v>
      </c>
      <c r="K540" s="279"/>
      <c r="L540" s="278">
        <v>122.80904376804428</v>
      </c>
      <c r="M540" s="278">
        <v>14.349653957765684</v>
      </c>
      <c r="N540" s="278">
        <v>23.602267236653052</v>
      </c>
      <c r="O540" s="278">
        <f t="shared" si="240"/>
        <v>160.76096496246302</v>
      </c>
    </row>
    <row r="541" spans="1:15" s="212" customFormat="1">
      <c r="A541" s="213" t="str">
        <f>name!E$9</f>
        <v>Caring, leisure and other service occupations</v>
      </c>
      <c r="B541" s="278">
        <v>12.520609615605117</v>
      </c>
      <c r="C541" s="278">
        <v>0.45258014343988218</v>
      </c>
      <c r="D541" s="278">
        <v>0.59912370064928855</v>
      </c>
      <c r="E541" s="278">
        <f t="shared" si="238"/>
        <v>13.572313459694287</v>
      </c>
      <c r="F541" s="279"/>
      <c r="G541" s="278">
        <v>13.474558118869782</v>
      </c>
      <c r="H541" s="278">
        <v>0.54575474108475552</v>
      </c>
      <c r="I541" s="278">
        <v>0.98530695089074871</v>
      </c>
      <c r="J541" s="278">
        <f t="shared" ref="J541:J544" si="241">SUM(G541:I541)</f>
        <v>15.005619810845285</v>
      </c>
      <c r="K541" s="279"/>
      <c r="L541" s="278">
        <v>19.441861366169348</v>
      </c>
      <c r="M541" s="278">
        <v>0.35949845820803494</v>
      </c>
      <c r="N541" s="278">
        <v>1.1086751474773135</v>
      </c>
      <c r="O541" s="278">
        <f t="shared" si="240"/>
        <v>20.910034971854696</v>
      </c>
    </row>
    <row r="542" spans="1:15" s="212" customFormat="1">
      <c r="A542" s="213" t="str">
        <f>name!E$10</f>
        <v>Sales and customer service occupations</v>
      </c>
      <c r="B542" s="278">
        <v>50.537899019893985</v>
      </c>
      <c r="C542" s="278">
        <v>22.232420351278389</v>
      </c>
      <c r="D542" s="278">
        <v>8.50279934607744</v>
      </c>
      <c r="E542" s="278">
        <f t="shared" si="238"/>
        <v>81.273118717249815</v>
      </c>
      <c r="F542" s="279"/>
      <c r="G542" s="278">
        <v>51.150158105771332</v>
      </c>
      <c r="H542" s="278">
        <v>26.786187676985129</v>
      </c>
      <c r="I542" s="278">
        <v>6.218872059455018</v>
      </c>
      <c r="J542" s="278">
        <f t="shared" si="241"/>
        <v>84.155217842211485</v>
      </c>
      <c r="K542" s="279"/>
      <c r="L542" s="278">
        <v>57.28798925143964</v>
      </c>
      <c r="M542" s="278">
        <v>26.457525813885255</v>
      </c>
      <c r="N542" s="278">
        <v>5.4948730096794778</v>
      </c>
      <c r="O542" s="278">
        <f t="shared" si="240"/>
        <v>89.240388075004375</v>
      </c>
    </row>
    <row r="543" spans="1:15" s="212" customFormat="1">
      <c r="A543" s="213" t="str">
        <f>name!E$11</f>
        <v>Process, plant and machine operatives</v>
      </c>
      <c r="B543" s="278">
        <v>28.466607489767949</v>
      </c>
      <c r="C543" s="278">
        <v>4.1708489606300088</v>
      </c>
      <c r="D543" s="278">
        <v>1.2440872553499349</v>
      </c>
      <c r="E543" s="278">
        <f t="shared" si="238"/>
        <v>33.881543705747887</v>
      </c>
      <c r="F543" s="279"/>
      <c r="G543" s="278">
        <v>25.879341066426626</v>
      </c>
      <c r="H543" s="278">
        <v>5.0056913950884212</v>
      </c>
      <c r="I543" s="278">
        <v>1.1282864364050975</v>
      </c>
      <c r="J543" s="278">
        <f t="shared" si="241"/>
        <v>32.013318897920144</v>
      </c>
      <c r="K543" s="279"/>
      <c r="L543" s="278">
        <v>26.671433724348166</v>
      </c>
      <c r="M543" s="278">
        <v>4.138660345368625</v>
      </c>
      <c r="N543" s="278">
        <v>1.7487722790878308</v>
      </c>
      <c r="O543" s="278">
        <f t="shared" si="240"/>
        <v>32.558866348804621</v>
      </c>
    </row>
    <row r="544" spans="1:15" s="212" customFormat="1">
      <c r="A544" s="213" t="str">
        <f>name!E$12</f>
        <v>Elementary occupations</v>
      </c>
      <c r="B544" s="278">
        <v>13.174888024309414</v>
      </c>
      <c r="C544" s="278">
        <v>7.3487289829036841</v>
      </c>
      <c r="D544" s="278">
        <v>2.8320747802981532</v>
      </c>
      <c r="E544" s="278">
        <f t="shared" si="238"/>
        <v>23.355691787511251</v>
      </c>
      <c r="F544" s="279"/>
      <c r="G544" s="278">
        <v>12.34464639369873</v>
      </c>
      <c r="H544" s="278">
        <v>7.2818927947661196</v>
      </c>
      <c r="I544" s="278">
        <v>2.651145702259035</v>
      </c>
      <c r="J544" s="278">
        <f t="shared" si="241"/>
        <v>22.277684890723886</v>
      </c>
      <c r="K544" s="279"/>
      <c r="L544" s="278">
        <v>13.029195806526328</v>
      </c>
      <c r="M544" s="278">
        <v>4.8277765185337813</v>
      </c>
      <c r="N544" s="278">
        <v>3.2477893280723191</v>
      </c>
      <c r="O544" s="278">
        <f t="shared" si="240"/>
        <v>21.104761653132428</v>
      </c>
    </row>
    <row r="545" spans="1:15" s="212" customFormat="1">
      <c r="A545" s="213"/>
      <c r="B545" s="278"/>
      <c r="C545" s="278"/>
      <c r="D545" s="278"/>
      <c r="E545" s="278"/>
      <c r="F545" s="279"/>
      <c r="G545" s="278"/>
      <c r="H545" s="278"/>
      <c r="I545" s="278"/>
      <c r="J545" s="278"/>
      <c r="K545" s="279"/>
      <c r="L545" s="278"/>
      <c r="M545" s="278"/>
      <c r="N545" s="278"/>
      <c r="O545" s="278"/>
    </row>
    <row r="546" spans="1:15" s="212" customFormat="1">
      <c r="A546" s="220" t="s">
        <v>119</v>
      </c>
      <c r="B546" s="282">
        <f>SUM(B536:B544)</f>
        <v>377.01300000134148</v>
      </c>
      <c r="C546" s="282">
        <f t="shared" ref="C546:E546" si="242">SUM(C536:C544)</f>
        <v>60.2830000014742</v>
      </c>
      <c r="D546" s="282">
        <f t="shared" si="242"/>
        <v>55.646000000338887</v>
      </c>
      <c r="E546" s="282">
        <f t="shared" si="242"/>
        <v>492.94200000315448</v>
      </c>
      <c r="F546" s="282"/>
      <c r="G546" s="282">
        <f t="shared" ref="G546:J546" si="243">SUM(G536:G544)</f>
        <v>395.55100000021804</v>
      </c>
      <c r="H546" s="282">
        <f t="shared" si="243"/>
        <v>72.245000000586543</v>
      </c>
      <c r="I546" s="282">
        <f t="shared" si="243"/>
        <v>49.087999999809007</v>
      </c>
      <c r="J546" s="282">
        <f t="shared" si="243"/>
        <v>516.8840000006137</v>
      </c>
      <c r="K546" s="282"/>
      <c r="L546" s="282">
        <f t="shared" ref="L546:O546" si="244">SUM(L536:L544)</f>
        <v>431.26700000237332</v>
      </c>
      <c r="M546" s="282">
        <f t="shared" si="244"/>
        <v>69.496000001540949</v>
      </c>
      <c r="N546" s="282">
        <f t="shared" si="244"/>
        <v>52.676999999040824</v>
      </c>
      <c r="O546" s="282">
        <f t="shared" si="244"/>
        <v>553.44000000295512</v>
      </c>
    </row>
    <row r="547" spans="1:15" s="212" customFormat="1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3"/>
      <c r="M547" s="213"/>
      <c r="N547" s="216"/>
    </row>
    <row r="548" spans="1:15" s="212" customFormat="1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13"/>
      <c r="M548" s="213"/>
      <c r="N548" s="216"/>
      <c r="O548" s="227" t="s">
        <v>114</v>
      </c>
    </row>
    <row r="549" spans="1:15" s="212" customFormat="1" ht="12.95">
      <c r="A549" s="218"/>
      <c r="B549" s="218"/>
      <c r="C549" s="218"/>
      <c r="D549" s="218"/>
      <c r="E549" s="218"/>
      <c r="F549" s="218"/>
      <c r="G549" s="218"/>
      <c r="H549" s="218"/>
      <c r="I549" s="218"/>
      <c r="J549" s="218"/>
      <c r="K549" s="218"/>
      <c r="L549" s="218"/>
      <c r="M549" s="218"/>
      <c r="N549" s="218"/>
      <c r="O549" s="218"/>
    </row>
    <row r="550" spans="1:15" s="212" customFormat="1" ht="12.95">
      <c r="A550" s="217" t="str">
        <f>name!A35</f>
        <v>Wholesale trade</v>
      </c>
      <c r="B550" s="369">
        <f>$B$6</f>
        <v>2015</v>
      </c>
      <c r="C550" s="369"/>
      <c r="D550" s="369"/>
      <c r="E550" s="369"/>
      <c r="F550" s="239"/>
      <c r="G550" s="369">
        <f>$G$6</f>
        <v>2020</v>
      </c>
      <c r="H550" s="369"/>
      <c r="I550" s="369"/>
      <c r="J550" s="369"/>
      <c r="K550" s="239"/>
      <c r="L550" s="369">
        <f>$L$6</f>
        <v>2035</v>
      </c>
      <c r="M550" s="369"/>
      <c r="N550" s="369"/>
      <c r="O550" s="369"/>
    </row>
    <row r="551" spans="1:15" s="212" customFormat="1" ht="12.95">
      <c r="A551" s="230"/>
      <c r="B551" s="244" t="str">
        <f>$B$7</f>
        <v>FT</v>
      </c>
      <c r="C551" s="244" t="str">
        <f>$C$7</f>
        <v>PT</v>
      </c>
      <c r="D551" s="244" t="str">
        <f>$D$7</f>
        <v>SE</v>
      </c>
      <c r="E551" s="244" t="str">
        <f>$E$7</f>
        <v>Total</v>
      </c>
      <c r="F551" s="244"/>
      <c r="G551" s="244" t="str">
        <f>$G$7</f>
        <v>FT</v>
      </c>
      <c r="H551" s="244" t="str">
        <f>$H$7</f>
        <v>PT</v>
      </c>
      <c r="I551" s="244" t="str">
        <f>$I$7</f>
        <v>SE</v>
      </c>
      <c r="J551" s="244" t="str">
        <f>$J$7</f>
        <v>Total</v>
      </c>
      <c r="K551" s="244"/>
      <c r="L551" s="244" t="str">
        <f>$L$7</f>
        <v>FT</v>
      </c>
      <c r="M551" s="244" t="str">
        <f>$M$7</f>
        <v>PT</v>
      </c>
      <c r="N551" s="244" t="str">
        <f>$N$7</f>
        <v>SE</v>
      </c>
      <c r="O551" s="244" t="str">
        <f>$O$7</f>
        <v>Total</v>
      </c>
    </row>
    <row r="552" spans="1:15" s="212" customFormat="1" ht="12.95">
      <c r="A552" s="234"/>
      <c r="B552" s="215"/>
      <c r="C552" s="215"/>
      <c r="D552" s="215"/>
      <c r="E552" s="215"/>
      <c r="F552" s="215"/>
      <c r="G552" s="215"/>
      <c r="H552" s="215"/>
      <c r="I552" s="215"/>
      <c r="J552" s="215"/>
      <c r="K552" s="215"/>
      <c r="L552" s="215"/>
      <c r="M552" s="215"/>
      <c r="N552" s="215"/>
      <c r="O552" s="215"/>
    </row>
    <row r="553" spans="1:15" s="212" customFormat="1">
      <c r="A553" s="213" t="str">
        <f>name!E$4</f>
        <v>Managers, directors and senior officials</v>
      </c>
      <c r="B553" s="278">
        <v>150.6100047516301</v>
      </c>
      <c r="C553" s="278">
        <v>9.1674059956608307</v>
      </c>
      <c r="D553" s="278">
        <v>24.442517183090466</v>
      </c>
      <c r="E553" s="278">
        <f>SUM(B553:D553)</f>
        <v>184.2199279303814</v>
      </c>
      <c r="F553" s="279"/>
      <c r="G553" s="278">
        <v>180.27862626122419</v>
      </c>
      <c r="H553" s="278">
        <v>12.8892062329761</v>
      </c>
      <c r="I553" s="278">
        <v>25.276487658108387</v>
      </c>
      <c r="J553" s="278">
        <f>SUM(G553:I553)</f>
        <v>218.44432015230868</v>
      </c>
      <c r="K553" s="279"/>
      <c r="L553" s="278">
        <v>171.10633865061061</v>
      </c>
      <c r="M553" s="278">
        <v>10.823435066845514</v>
      </c>
      <c r="N553" s="278">
        <v>25.283563401180391</v>
      </c>
      <c r="O553" s="278">
        <f>SUM(L553:N553)</f>
        <v>207.21333711863653</v>
      </c>
    </row>
    <row r="554" spans="1:15" s="212" customFormat="1">
      <c r="A554" s="213" t="str">
        <f>name!E$5</f>
        <v>Professional occupations</v>
      </c>
      <c r="B554" s="278">
        <v>91.061841563171029</v>
      </c>
      <c r="C554" s="278">
        <v>5.5303378468790552</v>
      </c>
      <c r="D554" s="278">
        <v>6.775777353014071</v>
      </c>
      <c r="E554" s="278">
        <f t="shared" ref="E554:E561" si="245">SUM(B554:D554)</f>
        <v>103.36795676306414</v>
      </c>
      <c r="F554" s="279"/>
      <c r="G554" s="278">
        <v>127.50448655310524</v>
      </c>
      <c r="H554" s="278">
        <v>7.497858880136623</v>
      </c>
      <c r="I554" s="278">
        <v>6.1264968826905566</v>
      </c>
      <c r="J554" s="278">
        <f t="shared" ref="J554:J556" si="246">SUM(G554:I554)</f>
        <v>141.12884231593242</v>
      </c>
      <c r="K554" s="279"/>
      <c r="L554" s="278">
        <v>163.05596786320007</v>
      </c>
      <c r="M554" s="278">
        <v>6.7488899487319047</v>
      </c>
      <c r="N554" s="278">
        <v>4.9435049418580386</v>
      </c>
      <c r="O554" s="278">
        <f t="shared" ref="O554:O561" si="247">SUM(L554:N554)</f>
        <v>174.74836275379002</v>
      </c>
    </row>
    <row r="555" spans="1:15" s="212" customFormat="1">
      <c r="A555" s="213" t="str">
        <f>name!E$6</f>
        <v>Associate professional occupations</v>
      </c>
      <c r="B555" s="278">
        <v>116.9424417098319</v>
      </c>
      <c r="C555" s="278">
        <v>15.230530480145324</v>
      </c>
      <c r="D555" s="278">
        <v>8.384149735070384</v>
      </c>
      <c r="E555" s="278">
        <f t="shared" si="245"/>
        <v>140.55712192504762</v>
      </c>
      <c r="F555" s="279"/>
      <c r="G555" s="278">
        <v>142.87387045585001</v>
      </c>
      <c r="H555" s="278">
        <v>16.966468074076783</v>
      </c>
      <c r="I555" s="278">
        <v>6.6173545634850166</v>
      </c>
      <c r="J555" s="278">
        <f t="shared" si="246"/>
        <v>166.45769309341179</v>
      </c>
      <c r="K555" s="279"/>
      <c r="L555" s="278">
        <v>151.12160147268648</v>
      </c>
      <c r="M555" s="278">
        <v>12.955493954293066</v>
      </c>
      <c r="N555" s="278">
        <v>6.3908259256693647</v>
      </c>
      <c r="O555" s="278">
        <f t="shared" si="247"/>
        <v>170.46792135264891</v>
      </c>
    </row>
    <row r="556" spans="1:15" s="212" customFormat="1">
      <c r="A556" s="213" t="str">
        <f>name!E$7</f>
        <v>Administrative and secretarial occupations</v>
      </c>
      <c r="B556" s="278">
        <v>116.84181819719593</v>
      </c>
      <c r="C556" s="278">
        <v>39.493162046652778</v>
      </c>
      <c r="D556" s="278">
        <v>3.2255139533416521</v>
      </c>
      <c r="E556" s="278">
        <f t="shared" si="245"/>
        <v>159.56049419719037</v>
      </c>
      <c r="F556" s="279"/>
      <c r="G556" s="278">
        <v>128.7298219914839</v>
      </c>
      <c r="H556" s="278">
        <v>35.825311262297653</v>
      </c>
      <c r="I556" s="278">
        <v>2.3142661038184351</v>
      </c>
      <c r="J556" s="278">
        <f t="shared" si="246"/>
        <v>166.86939935759997</v>
      </c>
      <c r="K556" s="279"/>
      <c r="L556" s="278">
        <v>138.02382240705293</v>
      </c>
      <c r="M556" s="278">
        <v>24.654127902269096</v>
      </c>
      <c r="N556" s="278">
        <v>2.0447171796387011</v>
      </c>
      <c r="O556" s="278">
        <f t="shared" si="247"/>
        <v>164.72266748896072</v>
      </c>
    </row>
    <row r="557" spans="1:15" s="212" customFormat="1">
      <c r="A557" s="213" t="str">
        <f>name!E$8</f>
        <v>Skilled trades occupations</v>
      </c>
      <c r="B557" s="278">
        <v>54.690586414736572</v>
      </c>
      <c r="C557" s="278">
        <v>4.0839696328868511</v>
      </c>
      <c r="D557" s="278">
        <v>9.7520796565517553</v>
      </c>
      <c r="E557" s="278">
        <f t="shared" si="245"/>
        <v>68.526635704175177</v>
      </c>
      <c r="F557" s="279"/>
      <c r="G557" s="278">
        <v>44.846677333341532</v>
      </c>
      <c r="H557" s="278">
        <v>2.5531698147471711</v>
      </c>
      <c r="I557" s="278">
        <v>8.0775001490054628</v>
      </c>
      <c r="J557" s="278">
        <f>SUM(G557:I557)</f>
        <v>55.47734729709417</v>
      </c>
      <c r="K557" s="279"/>
      <c r="L557" s="278">
        <v>39.271539543901902</v>
      </c>
      <c r="M557" s="278">
        <v>2.9042196471765482</v>
      </c>
      <c r="N557" s="278">
        <v>9.4291211813514053</v>
      </c>
      <c r="O557" s="278">
        <f t="shared" si="247"/>
        <v>51.604880372429854</v>
      </c>
    </row>
    <row r="558" spans="1:15" s="212" customFormat="1">
      <c r="A558" s="213" t="str">
        <f>name!E$9</f>
        <v>Caring, leisure and other service occupations</v>
      </c>
      <c r="B558" s="278">
        <v>3.3485611331812235</v>
      </c>
      <c r="C558" s="278">
        <v>1.1778097571097068</v>
      </c>
      <c r="D558" s="278">
        <v>0.6854533906486957</v>
      </c>
      <c r="E558" s="278">
        <f t="shared" si="245"/>
        <v>5.2118242809396262</v>
      </c>
      <c r="F558" s="279"/>
      <c r="G558" s="278">
        <v>3.547629885050323</v>
      </c>
      <c r="H558" s="278">
        <v>0.93944626759765526</v>
      </c>
      <c r="I558" s="278">
        <v>0.58802988184061744</v>
      </c>
      <c r="J558" s="278">
        <f t="shared" ref="J558:J561" si="248">SUM(G558:I558)</f>
        <v>5.075106034488595</v>
      </c>
      <c r="K558" s="279"/>
      <c r="L558" s="278">
        <v>3.7767265280894926</v>
      </c>
      <c r="M558" s="278">
        <v>0.49215858924470174</v>
      </c>
      <c r="N558" s="278">
        <v>0.69123672380071743</v>
      </c>
      <c r="O558" s="278">
        <f t="shared" si="247"/>
        <v>4.9601218411349111</v>
      </c>
    </row>
    <row r="559" spans="1:15" s="212" customFormat="1">
      <c r="A559" s="213" t="str">
        <f>name!E$10</f>
        <v>Sales and customer service occupations</v>
      </c>
      <c r="B559" s="278">
        <v>73.302736454283703</v>
      </c>
      <c r="C559" s="278">
        <v>35.099333507473283</v>
      </c>
      <c r="D559" s="278">
        <v>7.3954298301470587</v>
      </c>
      <c r="E559" s="278">
        <f t="shared" si="245"/>
        <v>115.79749979190404</v>
      </c>
      <c r="F559" s="279"/>
      <c r="G559" s="278">
        <v>72.10373834265333</v>
      </c>
      <c r="H559" s="278">
        <v>29.873295341523619</v>
      </c>
      <c r="I559" s="278">
        <v>4.7981859907705005</v>
      </c>
      <c r="J559" s="278">
        <f t="shared" si="248"/>
        <v>106.77521967494745</v>
      </c>
      <c r="K559" s="279"/>
      <c r="L559" s="278">
        <v>71.229046057115141</v>
      </c>
      <c r="M559" s="278">
        <v>24.912556064054137</v>
      </c>
      <c r="N559" s="278">
        <v>4.20134635527402</v>
      </c>
      <c r="O559" s="278">
        <f t="shared" si="247"/>
        <v>100.34294847644331</v>
      </c>
    </row>
    <row r="560" spans="1:15" s="212" customFormat="1">
      <c r="A560" s="213" t="str">
        <f>name!E$11</f>
        <v>Process, plant and machine operatives</v>
      </c>
      <c r="B560" s="278">
        <v>153.33298823050322</v>
      </c>
      <c r="C560" s="278">
        <v>10.332905119936868</v>
      </c>
      <c r="D560" s="278">
        <v>3.9743934964644376</v>
      </c>
      <c r="E560" s="278">
        <f t="shared" si="245"/>
        <v>167.64028684690453</v>
      </c>
      <c r="F560" s="279"/>
      <c r="G560" s="278">
        <v>128.91766444594037</v>
      </c>
      <c r="H560" s="278">
        <v>8.7698986461283415</v>
      </c>
      <c r="I560" s="278">
        <v>3.6552579860126118</v>
      </c>
      <c r="J560" s="278">
        <f t="shared" si="248"/>
        <v>141.34282107808133</v>
      </c>
      <c r="K560" s="279"/>
      <c r="L560" s="278">
        <v>117.48948413008</v>
      </c>
      <c r="M560" s="278">
        <v>8.4710072158433309</v>
      </c>
      <c r="N560" s="278">
        <v>4.7273560967753641</v>
      </c>
      <c r="O560" s="278">
        <f t="shared" si="247"/>
        <v>130.68784744269868</v>
      </c>
    </row>
    <row r="561" spans="1:15" s="212" customFormat="1">
      <c r="A561" s="213" t="str">
        <f>name!E$12</f>
        <v>Elementary occupations</v>
      </c>
      <c r="B561" s="278">
        <v>98.50602154836352</v>
      </c>
      <c r="C561" s="278">
        <v>32.875545616796501</v>
      </c>
      <c r="D561" s="278">
        <v>3.1266854030002191</v>
      </c>
      <c r="E561" s="278">
        <f t="shared" si="245"/>
        <v>134.50825256816023</v>
      </c>
      <c r="F561" s="279"/>
      <c r="G561" s="278">
        <v>78.04548472946216</v>
      </c>
      <c r="H561" s="278">
        <v>24.807345481988907</v>
      </c>
      <c r="I561" s="278">
        <v>1.8304207846482963</v>
      </c>
      <c r="J561" s="278">
        <f t="shared" si="248"/>
        <v>104.68325099609936</v>
      </c>
      <c r="K561" s="279"/>
      <c r="L561" s="278">
        <v>81.297473357851203</v>
      </c>
      <c r="M561" s="278">
        <v>37.258111614405045</v>
      </c>
      <c r="N561" s="278">
        <v>3.1943281954374587</v>
      </c>
      <c r="O561" s="278">
        <f t="shared" si="247"/>
        <v>121.74991316769371</v>
      </c>
    </row>
    <row r="562" spans="1:15" s="212" customFormat="1">
      <c r="A562" s="213"/>
      <c r="B562" s="278"/>
      <c r="C562" s="278"/>
      <c r="D562" s="278"/>
      <c r="E562" s="278"/>
      <c r="F562" s="279"/>
      <c r="G562" s="278"/>
      <c r="H562" s="278"/>
      <c r="I562" s="278"/>
      <c r="J562" s="278"/>
      <c r="K562" s="279"/>
      <c r="L562" s="278"/>
      <c r="M562" s="278"/>
      <c r="N562" s="278"/>
      <c r="O562" s="278"/>
    </row>
    <row r="563" spans="1:15" s="212" customFormat="1">
      <c r="A563" s="220" t="s">
        <v>119</v>
      </c>
      <c r="B563" s="282">
        <f>SUM(B553:B561)</f>
        <v>858.63700000289725</v>
      </c>
      <c r="C563" s="282">
        <f t="shared" ref="C563:E563" si="249">SUM(C553:C561)</f>
        <v>152.99100000354119</v>
      </c>
      <c r="D563" s="282">
        <f t="shared" si="249"/>
        <v>67.762000001328744</v>
      </c>
      <c r="E563" s="282">
        <f t="shared" si="249"/>
        <v>1079.3900000077672</v>
      </c>
      <c r="F563" s="282"/>
      <c r="G563" s="282">
        <f t="shared" ref="G563:J563" si="250">SUM(G553:G561)</f>
        <v>906.84799999811105</v>
      </c>
      <c r="H563" s="282">
        <f t="shared" si="250"/>
        <v>140.12200000147286</v>
      </c>
      <c r="I563" s="282">
        <f t="shared" si="250"/>
        <v>59.284000000379891</v>
      </c>
      <c r="J563" s="282">
        <f t="shared" si="250"/>
        <v>1106.2539999999638</v>
      </c>
      <c r="K563" s="282"/>
      <c r="L563" s="282">
        <f t="shared" ref="L563:O563" si="251">SUM(L553:L561)</f>
        <v>936.37200001058795</v>
      </c>
      <c r="M563" s="282">
        <f t="shared" si="251"/>
        <v>129.22000000286334</v>
      </c>
      <c r="N563" s="282">
        <f t="shared" si="251"/>
        <v>60.906000000985465</v>
      </c>
      <c r="O563" s="282">
        <f t="shared" si="251"/>
        <v>1126.4980000144367</v>
      </c>
    </row>
    <row r="564" spans="1:15" s="212" customFormat="1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3"/>
      <c r="M564" s="213"/>
      <c r="N564" s="216"/>
    </row>
    <row r="565" spans="1:15" s="212" customFormat="1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13"/>
      <c r="M565" s="213"/>
      <c r="N565" s="216"/>
      <c r="O565" s="227" t="s">
        <v>114</v>
      </c>
    </row>
    <row r="566" spans="1:15" s="212" customFormat="1" ht="12.95">
      <c r="A566" s="218"/>
      <c r="B566" s="218"/>
      <c r="C566" s="218"/>
      <c r="D566" s="218"/>
      <c r="E566" s="218"/>
      <c r="F566" s="218"/>
      <c r="G566" s="218"/>
      <c r="H566" s="218"/>
      <c r="I566" s="218"/>
      <c r="J566" s="218"/>
      <c r="K566" s="218"/>
      <c r="L566" s="218"/>
      <c r="M566" s="218"/>
      <c r="N566" s="218"/>
      <c r="O566" s="218"/>
    </row>
    <row r="567" spans="1:15" s="212" customFormat="1" ht="12.95">
      <c r="A567" s="217" t="str">
        <f>name!A36</f>
        <v>Retail trade</v>
      </c>
      <c r="B567" s="369">
        <f>$B$6</f>
        <v>2015</v>
      </c>
      <c r="C567" s="369"/>
      <c r="D567" s="369"/>
      <c r="E567" s="369"/>
      <c r="F567" s="239"/>
      <c r="G567" s="369">
        <f>$G$6</f>
        <v>2020</v>
      </c>
      <c r="H567" s="369"/>
      <c r="I567" s="369"/>
      <c r="J567" s="369"/>
      <c r="K567" s="239"/>
      <c r="L567" s="369">
        <f>$L$6</f>
        <v>2035</v>
      </c>
      <c r="M567" s="369"/>
      <c r="N567" s="369"/>
      <c r="O567" s="369"/>
    </row>
    <row r="568" spans="1:15" s="212" customFormat="1" ht="12.95">
      <c r="A568" s="230"/>
      <c r="B568" s="244" t="str">
        <f>$B$7</f>
        <v>FT</v>
      </c>
      <c r="C568" s="244" t="str">
        <f>$C$7</f>
        <v>PT</v>
      </c>
      <c r="D568" s="244" t="str">
        <f>$D$7</f>
        <v>SE</v>
      </c>
      <c r="E568" s="244" t="str">
        <f>$E$7</f>
        <v>Total</v>
      </c>
      <c r="F568" s="244"/>
      <c r="G568" s="244" t="str">
        <f>$G$7</f>
        <v>FT</v>
      </c>
      <c r="H568" s="244" t="str">
        <f>$H$7</f>
        <v>PT</v>
      </c>
      <c r="I568" s="244" t="str">
        <f>$I$7</f>
        <v>SE</v>
      </c>
      <c r="J568" s="244" t="str">
        <f>$J$7</f>
        <v>Total</v>
      </c>
      <c r="K568" s="244"/>
      <c r="L568" s="244" t="str">
        <f>$L$7</f>
        <v>FT</v>
      </c>
      <c r="M568" s="244" t="str">
        <f>$M$7</f>
        <v>PT</v>
      </c>
      <c r="N568" s="244" t="str">
        <f>$N$7</f>
        <v>SE</v>
      </c>
      <c r="O568" s="244" t="str">
        <f>$O$7</f>
        <v>Total</v>
      </c>
    </row>
    <row r="569" spans="1:15" s="212" customFormat="1" ht="12.95">
      <c r="A569" s="234"/>
      <c r="B569" s="215"/>
      <c r="C569" s="215"/>
      <c r="D569" s="215"/>
      <c r="E569" s="215"/>
      <c r="F569" s="215"/>
      <c r="G569" s="215"/>
      <c r="H569" s="215"/>
      <c r="I569" s="215"/>
      <c r="J569" s="215"/>
      <c r="K569" s="215"/>
      <c r="L569" s="215"/>
      <c r="M569" s="215"/>
      <c r="N569" s="215"/>
      <c r="O569" s="215"/>
    </row>
    <row r="570" spans="1:15" s="212" customFormat="1">
      <c r="A570" s="213" t="str">
        <f>name!E$4</f>
        <v>Managers, directors and senior officials</v>
      </c>
      <c r="B570" s="278">
        <v>201.11412820546386</v>
      </c>
      <c r="C570" s="278">
        <v>21.556701317030097</v>
      </c>
      <c r="D570" s="278">
        <v>78.673411000360574</v>
      </c>
      <c r="E570" s="278">
        <f>SUM(B570:D570)</f>
        <v>301.34424052285453</v>
      </c>
      <c r="F570" s="279"/>
      <c r="G570" s="278">
        <v>229.44645934988216</v>
      </c>
      <c r="H570" s="278">
        <v>36.687074018651899</v>
      </c>
      <c r="I570" s="278">
        <v>76.099086910531085</v>
      </c>
      <c r="J570" s="278">
        <f>SUM(G570:I570)</f>
        <v>342.23262027906515</v>
      </c>
      <c r="K570" s="279"/>
      <c r="L570" s="278">
        <v>252.09008114707714</v>
      </c>
      <c r="M570" s="278">
        <v>40.750080753293588</v>
      </c>
      <c r="N570" s="278">
        <v>84.07982963675164</v>
      </c>
      <c r="O570" s="278">
        <f>SUM(L570:N570)</f>
        <v>376.91999153712237</v>
      </c>
    </row>
    <row r="571" spans="1:15" s="212" customFormat="1">
      <c r="A571" s="213" t="str">
        <f>name!E$5</f>
        <v>Professional occupations</v>
      </c>
      <c r="B571" s="278">
        <v>149.60547263929939</v>
      </c>
      <c r="C571" s="278">
        <v>36.864267464375715</v>
      </c>
      <c r="D571" s="278">
        <v>16.552477175469292</v>
      </c>
      <c r="E571" s="278">
        <f t="shared" ref="E571:E578" si="252">SUM(B571:D571)</f>
        <v>203.0222172791444</v>
      </c>
      <c r="F571" s="279"/>
      <c r="G571" s="278">
        <v>189.27805938606127</v>
      </c>
      <c r="H571" s="278">
        <v>52.334844880671746</v>
      </c>
      <c r="I571" s="278">
        <v>15.048746858111949</v>
      </c>
      <c r="J571" s="278">
        <f t="shared" ref="J571:J573" si="253">SUM(G571:I571)</f>
        <v>256.66165112484498</v>
      </c>
      <c r="K571" s="279"/>
      <c r="L571" s="278">
        <v>257.2652667003133</v>
      </c>
      <c r="M571" s="278">
        <v>54.018274194425437</v>
      </c>
      <c r="N571" s="278">
        <v>11.961551583921569</v>
      </c>
      <c r="O571" s="278">
        <f t="shared" ref="O571:O578" si="254">SUM(L571:N571)</f>
        <v>323.2450924786603</v>
      </c>
    </row>
    <row r="572" spans="1:15" s="212" customFormat="1">
      <c r="A572" s="213" t="str">
        <f>name!E$6</f>
        <v>Associate professional occupations</v>
      </c>
      <c r="B572" s="278">
        <v>116.52553289454875</v>
      </c>
      <c r="C572" s="278">
        <v>47.429916744574875</v>
      </c>
      <c r="D572" s="278">
        <v>11.456603971430379</v>
      </c>
      <c r="E572" s="278">
        <f t="shared" si="252"/>
        <v>175.41205361055401</v>
      </c>
      <c r="F572" s="279"/>
      <c r="G572" s="278">
        <v>136.15703093040543</v>
      </c>
      <c r="H572" s="278">
        <v>57.40325308171488</v>
      </c>
      <c r="I572" s="278">
        <v>9.2163396670636715</v>
      </c>
      <c r="J572" s="278">
        <f t="shared" si="253"/>
        <v>202.77662367918396</v>
      </c>
      <c r="K572" s="279"/>
      <c r="L572" s="278">
        <v>168.58596695234664</v>
      </c>
      <c r="M572" s="278">
        <v>53.483878880142271</v>
      </c>
      <c r="N572" s="278">
        <v>9.2043700721403372</v>
      </c>
      <c r="O572" s="278">
        <f t="shared" si="254"/>
        <v>231.27421590462924</v>
      </c>
    </row>
    <row r="573" spans="1:15" s="212" customFormat="1">
      <c r="A573" s="213" t="str">
        <f>name!E$7</f>
        <v>Administrative and secretarial occupations</v>
      </c>
      <c r="B573" s="278">
        <v>104.00570842982532</v>
      </c>
      <c r="C573" s="278">
        <v>63.864156051502434</v>
      </c>
      <c r="D573" s="278">
        <v>3.4729721064061869</v>
      </c>
      <c r="E573" s="278">
        <f t="shared" si="252"/>
        <v>171.34283658773393</v>
      </c>
      <c r="F573" s="279"/>
      <c r="G573" s="278">
        <v>105.56681653139584</v>
      </c>
      <c r="H573" s="278">
        <v>71.75491887231189</v>
      </c>
      <c r="I573" s="278">
        <v>3.1095296756527713</v>
      </c>
      <c r="J573" s="278">
        <f t="shared" si="253"/>
        <v>180.43126507936051</v>
      </c>
      <c r="K573" s="279"/>
      <c r="L573" s="278">
        <v>129.26988212432394</v>
      </c>
      <c r="M573" s="278">
        <v>72.407239370281658</v>
      </c>
      <c r="N573" s="278">
        <v>9.1462257461106873</v>
      </c>
      <c r="O573" s="278">
        <f t="shared" si="254"/>
        <v>210.82334724071632</v>
      </c>
    </row>
    <row r="574" spans="1:15" s="212" customFormat="1">
      <c r="A574" s="213" t="str">
        <f>name!E$8</f>
        <v>Skilled trades occupations</v>
      </c>
      <c r="B574" s="278">
        <v>69.789003773991055</v>
      </c>
      <c r="C574" s="278">
        <v>26.075334841989111</v>
      </c>
      <c r="D574" s="278">
        <v>34.265125669790478</v>
      </c>
      <c r="E574" s="278">
        <f t="shared" si="252"/>
        <v>130.12946428577064</v>
      </c>
      <c r="F574" s="279"/>
      <c r="G574" s="278">
        <v>55.105860169598046</v>
      </c>
      <c r="H574" s="278">
        <v>20.500505321169413</v>
      </c>
      <c r="I574" s="278">
        <v>27.182913979144416</v>
      </c>
      <c r="J574" s="278">
        <f>SUM(G574:I574)</f>
        <v>102.78927946991188</v>
      </c>
      <c r="K574" s="279"/>
      <c r="L574" s="278">
        <v>57.914891341366832</v>
      </c>
      <c r="M574" s="278">
        <v>19.078400951158773</v>
      </c>
      <c r="N574" s="278">
        <v>32.398944737694762</v>
      </c>
      <c r="O574" s="278">
        <f t="shared" si="254"/>
        <v>109.39223703022037</v>
      </c>
    </row>
    <row r="575" spans="1:15" s="212" customFormat="1">
      <c r="A575" s="213" t="str">
        <f>name!E$9</f>
        <v>Caring, leisure and other service occupations</v>
      </c>
      <c r="B575" s="278">
        <v>8.3399581664729521</v>
      </c>
      <c r="C575" s="278">
        <v>7.6629619379724474</v>
      </c>
      <c r="D575" s="278">
        <v>2.8901572778196263</v>
      </c>
      <c r="E575" s="278">
        <f t="shared" si="252"/>
        <v>18.893077382265027</v>
      </c>
      <c r="F575" s="279"/>
      <c r="G575" s="278">
        <v>7.8348715365332309</v>
      </c>
      <c r="H575" s="278">
        <v>6.9756883045356117</v>
      </c>
      <c r="I575" s="278">
        <v>3.3510492450678426</v>
      </c>
      <c r="J575" s="278">
        <f t="shared" ref="J575:J578" si="255">SUM(G575:I575)</f>
        <v>18.161609086136686</v>
      </c>
      <c r="K575" s="279"/>
      <c r="L575" s="278">
        <v>8.7413529044119578</v>
      </c>
      <c r="M575" s="278">
        <v>4.9841848573688541</v>
      </c>
      <c r="N575" s="278">
        <v>6.352987580545193</v>
      </c>
      <c r="O575" s="278">
        <f t="shared" si="254"/>
        <v>20.078525342326003</v>
      </c>
    </row>
    <row r="576" spans="1:15" s="212" customFormat="1">
      <c r="A576" s="213" t="str">
        <f>name!E$10</f>
        <v>Sales and customer service occupations</v>
      </c>
      <c r="B576" s="278">
        <v>277.10862363920262</v>
      </c>
      <c r="C576" s="278">
        <v>969.1189838729639</v>
      </c>
      <c r="D576" s="278">
        <v>45.740790095090894</v>
      </c>
      <c r="E576" s="278">
        <f t="shared" si="252"/>
        <v>1291.9683976072574</v>
      </c>
      <c r="F576" s="279"/>
      <c r="G576" s="278">
        <v>246.16827876916025</v>
      </c>
      <c r="H576" s="278">
        <v>937.90347623871651</v>
      </c>
      <c r="I576" s="278">
        <v>28.529855894334393</v>
      </c>
      <c r="J576" s="278">
        <f t="shared" si="255"/>
        <v>1212.6016109022112</v>
      </c>
      <c r="K576" s="279"/>
      <c r="L576" s="278">
        <v>187.13880638334584</v>
      </c>
      <c r="M576" s="278">
        <v>871.97754977582531</v>
      </c>
      <c r="N576" s="278">
        <v>18.296179567832915</v>
      </c>
      <c r="O576" s="278">
        <f t="shared" si="254"/>
        <v>1077.4125357270041</v>
      </c>
    </row>
    <row r="577" spans="1:15" s="212" customFormat="1">
      <c r="A577" s="213" t="str">
        <f>name!E$11</f>
        <v>Process, plant and machine operatives</v>
      </c>
      <c r="B577" s="278">
        <v>51.292404264503638</v>
      </c>
      <c r="C577" s="278">
        <v>29.782400670312644</v>
      </c>
      <c r="D577" s="278">
        <v>4.2601017174996629</v>
      </c>
      <c r="E577" s="278">
        <f t="shared" si="252"/>
        <v>85.334906652315951</v>
      </c>
      <c r="F577" s="279"/>
      <c r="G577" s="278">
        <v>41.744612445676395</v>
      </c>
      <c r="H577" s="278">
        <v>32.390526709484746</v>
      </c>
      <c r="I577" s="278">
        <v>3.9866353632399467</v>
      </c>
      <c r="J577" s="278">
        <f t="shared" si="255"/>
        <v>78.121774518401082</v>
      </c>
      <c r="K577" s="279"/>
      <c r="L577" s="278">
        <v>34.804493502571788</v>
      </c>
      <c r="M577" s="278">
        <v>41.079363260904337</v>
      </c>
      <c r="N577" s="278">
        <v>7.2724511698148433</v>
      </c>
      <c r="O577" s="278">
        <f t="shared" si="254"/>
        <v>83.156307933290975</v>
      </c>
    </row>
    <row r="578" spans="1:15" s="212" customFormat="1">
      <c r="A578" s="213" t="str">
        <f>name!E$12</f>
        <v>Elementary occupations</v>
      </c>
      <c r="B578" s="278">
        <v>114.87116799054749</v>
      </c>
      <c r="C578" s="278">
        <v>175.81227715748622</v>
      </c>
      <c r="D578" s="278">
        <v>1.5483609900501398</v>
      </c>
      <c r="E578" s="278">
        <f t="shared" si="252"/>
        <v>292.23180613808381</v>
      </c>
      <c r="F578" s="279"/>
      <c r="G578" s="278">
        <v>96.093010877777218</v>
      </c>
      <c r="H578" s="278">
        <v>145.65671260843339</v>
      </c>
      <c r="I578" s="278">
        <v>0.96284240648560715</v>
      </c>
      <c r="J578" s="278">
        <f t="shared" si="255"/>
        <v>242.7125658926962</v>
      </c>
      <c r="K578" s="279"/>
      <c r="L578" s="278">
        <v>102.708258956124</v>
      </c>
      <c r="M578" s="278">
        <v>112.38002800900833</v>
      </c>
      <c r="N578" s="278">
        <v>1.1394599073776885</v>
      </c>
      <c r="O578" s="278">
        <f t="shared" si="254"/>
        <v>216.22774687251004</v>
      </c>
    </row>
    <row r="579" spans="1:15" s="212" customFormat="1">
      <c r="A579" s="213"/>
      <c r="B579" s="278"/>
      <c r="C579" s="278"/>
      <c r="D579" s="278"/>
      <c r="E579" s="278"/>
      <c r="F579" s="279"/>
      <c r="G579" s="278"/>
      <c r="H579" s="278"/>
      <c r="I579" s="278"/>
      <c r="J579" s="278"/>
      <c r="K579" s="279"/>
      <c r="L579" s="278"/>
      <c r="M579" s="278"/>
      <c r="N579" s="278"/>
      <c r="O579" s="278"/>
    </row>
    <row r="580" spans="1:15" s="212" customFormat="1">
      <c r="A580" s="220" t="s">
        <v>119</v>
      </c>
      <c r="B580" s="282">
        <f>SUM(B570:B578)</f>
        <v>1092.6520000038549</v>
      </c>
      <c r="C580" s="282">
        <f t="shared" ref="C580:E580" si="256">SUM(C570:C578)</f>
        <v>1378.1670000582076</v>
      </c>
      <c r="D580" s="282">
        <f t="shared" si="256"/>
        <v>198.86000000391724</v>
      </c>
      <c r="E580" s="282">
        <f t="shared" si="256"/>
        <v>2669.6790000659798</v>
      </c>
      <c r="F580" s="282"/>
      <c r="G580" s="282">
        <f t="shared" ref="G580:J580" si="257">SUM(G570:G578)</f>
        <v>1107.3949999964898</v>
      </c>
      <c r="H580" s="282">
        <f t="shared" si="257"/>
        <v>1361.6070000356899</v>
      </c>
      <c r="I580" s="282">
        <f t="shared" si="257"/>
        <v>167.48699999963168</v>
      </c>
      <c r="J580" s="282">
        <f t="shared" si="257"/>
        <v>2636.4890000318119</v>
      </c>
      <c r="K580" s="282"/>
      <c r="L580" s="282">
        <f t="shared" ref="L580:O580" si="258">SUM(L570:L578)</f>
        <v>1198.5190000118816</v>
      </c>
      <c r="M580" s="282">
        <f t="shared" si="258"/>
        <v>1270.1590000524086</v>
      </c>
      <c r="N580" s="282">
        <f t="shared" si="258"/>
        <v>179.85200000218964</v>
      </c>
      <c r="O580" s="282">
        <f t="shared" si="258"/>
        <v>2648.5300000664797</v>
      </c>
    </row>
    <row r="581" spans="1:15" s="212" customFormat="1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3"/>
      <c r="M581" s="213"/>
      <c r="N581" s="216"/>
    </row>
    <row r="582" spans="1:15" s="212" customFormat="1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13"/>
      <c r="M582" s="213"/>
      <c r="N582" s="216"/>
      <c r="O582" s="227" t="s">
        <v>114</v>
      </c>
    </row>
    <row r="583" spans="1:15" s="212" customFormat="1" ht="12.95">
      <c r="A583" s="218"/>
      <c r="B583" s="218"/>
      <c r="C583" s="218"/>
      <c r="D583" s="218"/>
      <c r="E583" s="218"/>
      <c r="F583" s="218"/>
      <c r="G583" s="218"/>
      <c r="H583" s="218"/>
      <c r="I583" s="218"/>
      <c r="J583" s="218"/>
      <c r="K583" s="218"/>
      <c r="L583" s="218"/>
      <c r="M583" s="218"/>
      <c r="N583" s="218"/>
      <c r="O583" s="218"/>
    </row>
    <row r="584" spans="1:15" s="212" customFormat="1" ht="12.95">
      <c r="A584" s="217" t="str">
        <f>name!A37</f>
        <v>Land transport, etc</v>
      </c>
      <c r="B584" s="369">
        <f>$B$6</f>
        <v>2015</v>
      </c>
      <c r="C584" s="369"/>
      <c r="D584" s="369"/>
      <c r="E584" s="369"/>
      <c r="F584" s="239"/>
      <c r="G584" s="369">
        <f>$G$6</f>
        <v>2020</v>
      </c>
      <c r="H584" s="369"/>
      <c r="I584" s="369"/>
      <c r="J584" s="369"/>
      <c r="K584" s="239"/>
      <c r="L584" s="369">
        <f>$L$6</f>
        <v>2035</v>
      </c>
      <c r="M584" s="369"/>
      <c r="N584" s="369"/>
      <c r="O584" s="369"/>
    </row>
    <row r="585" spans="1:15" s="212" customFormat="1" ht="12.95">
      <c r="A585" s="230"/>
      <c r="B585" s="244" t="str">
        <f>$B$7</f>
        <v>FT</v>
      </c>
      <c r="C585" s="244" t="str">
        <f>$C$7</f>
        <v>PT</v>
      </c>
      <c r="D585" s="244" t="str">
        <f>$D$7</f>
        <v>SE</v>
      </c>
      <c r="E585" s="244" t="str">
        <f>$E$7</f>
        <v>Total</v>
      </c>
      <c r="F585" s="244"/>
      <c r="G585" s="244" t="str">
        <f>$G$7</f>
        <v>FT</v>
      </c>
      <c r="H585" s="244" t="str">
        <f>$H$7</f>
        <v>PT</v>
      </c>
      <c r="I585" s="244" t="str">
        <f>$I$7</f>
        <v>SE</v>
      </c>
      <c r="J585" s="244" t="str">
        <f>$J$7</f>
        <v>Total</v>
      </c>
      <c r="K585" s="244"/>
      <c r="L585" s="244" t="str">
        <f>$L$7</f>
        <v>FT</v>
      </c>
      <c r="M585" s="244" t="str">
        <f>$M$7</f>
        <v>PT</v>
      </c>
      <c r="N585" s="244" t="str">
        <f>$N$7</f>
        <v>SE</v>
      </c>
      <c r="O585" s="244" t="str">
        <f>$O$7</f>
        <v>Total</v>
      </c>
    </row>
    <row r="586" spans="1:15" s="212" customFormat="1" ht="12.95">
      <c r="A586" s="234"/>
      <c r="B586" s="215"/>
      <c r="C586" s="215"/>
      <c r="D586" s="215"/>
      <c r="E586" s="215"/>
      <c r="F586" s="215"/>
      <c r="G586" s="215"/>
      <c r="H586" s="215"/>
      <c r="I586" s="215"/>
      <c r="J586" s="215"/>
      <c r="K586" s="215"/>
      <c r="L586" s="215"/>
      <c r="M586" s="215"/>
      <c r="N586" s="215"/>
      <c r="O586" s="215"/>
    </row>
    <row r="587" spans="1:15" s="212" customFormat="1">
      <c r="A587" s="213" t="str">
        <f>name!E$4</f>
        <v>Managers, directors and senior officials</v>
      </c>
      <c r="B587" s="278">
        <v>25.457322070439407</v>
      </c>
      <c r="C587" s="278">
        <v>1.1104325752056345</v>
      </c>
      <c r="D587" s="278">
        <v>11.371576900571778</v>
      </c>
      <c r="E587" s="278">
        <f>SUM(B587:D587)</f>
        <v>37.93933154621682</v>
      </c>
      <c r="F587" s="279"/>
      <c r="G587" s="278">
        <v>33.924217833203237</v>
      </c>
      <c r="H587" s="278">
        <v>3.0262934113814053</v>
      </c>
      <c r="I587" s="278">
        <v>11.684703974843503</v>
      </c>
      <c r="J587" s="278">
        <f>SUM(G587:I587)</f>
        <v>48.63521521942814</v>
      </c>
      <c r="K587" s="279"/>
      <c r="L587" s="278">
        <v>36.130090558948176</v>
      </c>
      <c r="M587" s="278">
        <v>3.5095376550475494</v>
      </c>
      <c r="N587" s="278">
        <v>14.318427660950958</v>
      </c>
      <c r="O587" s="278">
        <f>SUM(L587:N587)</f>
        <v>53.958055874946687</v>
      </c>
    </row>
    <row r="588" spans="1:15" s="212" customFormat="1">
      <c r="A588" s="213" t="str">
        <f>name!E$5</f>
        <v>Professional occupations</v>
      </c>
      <c r="B588" s="278">
        <v>24.617796329368925</v>
      </c>
      <c r="C588" s="278">
        <v>1.1675043211217941</v>
      </c>
      <c r="D588" s="278">
        <v>3.3530003665896913</v>
      </c>
      <c r="E588" s="278">
        <f t="shared" ref="E588:E595" si="259">SUM(B588:D588)</f>
        <v>29.138301017080408</v>
      </c>
      <c r="F588" s="279"/>
      <c r="G588" s="278">
        <v>40.135052983889665</v>
      </c>
      <c r="H588" s="278">
        <v>3.2841976328419724</v>
      </c>
      <c r="I588" s="278">
        <v>3.2410508171767223</v>
      </c>
      <c r="J588" s="278">
        <f t="shared" ref="J588:J590" si="260">SUM(G588:I588)</f>
        <v>46.660301433908359</v>
      </c>
      <c r="K588" s="279"/>
      <c r="L588" s="278">
        <v>63.269494618198692</v>
      </c>
      <c r="M588" s="278">
        <v>5.2608271988630424</v>
      </c>
      <c r="N588" s="278">
        <v>3.4209290686651239</v>
      </c>
      <c r="O588" s="278">
        <f t="shared" ref="O588:O595" si="261">SUM(L588:N588)</f>
        <v>71.95125088572685</v>
      </c>
    </row>
    <row r="589" spans="1:15" s="212" customFormat="1">
      <c r="A589" s="213" t="str">
        <f>name!E$6</f>
        <v>Associate professional occupations</v>
      </c>
      <c r="B589" s="278">
        <v>30.030716203572531</v>
      </c>
      <c r="C589" s="278">
        <v>1.5247880057963223</v>
      </c>
      <c r="D589" s="278">
        <v>1.7186865480947677</v>
      </c>
      <c r="E589" s="278">
        <f t="shared" si="259"/>
        <v>33.274190757463622</v>
      </c>
      <c r="F589" s="279"/>
      <c r="G589" s="278">
        <v>44.38607221574096</v>
      </c>
      <c r="H589" s="278">
        <v>3.417917285745554</v>
      </c>
      <c r="I589" s="278">
        <v>1.7850586159500061</v>
      </c>
      <c r="J589" s="278">
        <f t="shared" si="260"/>
        <v>49.589048117436519</v>
      </c>
      <c r="K589" s="279"/>
      <c r="L589" s="278">
        <v>58.545358255144919</v>
      </c>
      <c r="M589" s="278">
        <v>4.3532691023642984</v>
      </c>
      <c r="N589" s="278">
        <v>2.1394144755397839</v>
      </c>
      <c r="O589" s="278">
        <f t="shared" si="261"/>
        <v>65.038041833049007</v>
      </c>
    </row>
    <row r="590" spans="1:15" s="212" customFormat="1">
      <c r="A590" s="213" t="str">
        <f>name!E$7</f>
        <v>Administrative and secretarial occupations</v>
      </c>
      <c r="B590" s="278">
        <v>38.925387859118572</v>
      </c>
      <c r="C590" s="278">
        <v>8.2516591382557714</v>
      </c>
      <c r="D590" s="278">
        <v>2.0870527120833149</v>
      </c>
      <c r="E590" s="278">
        <f t="shared" si="259"/>
        <v>49.26409970945766</v>
      </c>
      <c r="F590" s="279"/>
      <c r="G590" s="278">
        <v>47.633939271377429</v>
      </c>
      <c r="H590" s="278">
        <v>14.449169961452059</v>
      </c>
      <c r="I590" s="278">
        <v>3.3417883060750619</v>
      </c>
      <c r="J590" s="278">
        <f t="shared" si="260"/>
        <v>65.424897538904546</v>
      </c>
      <c r="K590" s="279"/>
      <c r="L590" s="278">
        <v>53.957065881117146</v>
      </c>
      <c r="M590" s="278">
        <v>13.265042526693925</v>
      </c>
      <c r="N590" s="278">
        <v>2.6842870130110055</v>
      </c>
      <c r="O590" s="278">
        <f t="shared" si="261"/>
        <v>69.906395420822079</v>
      </c>
    </row>
    <row r="591" spans="1:15" s="212" customFormat="1">
      <c r="A591" s="213" t="str">
        <f>name!E$8</f>
        <v>Skilled trades occupations</v>
      </c>
      <c r="B591" s="278">
        <v>32.628312167738009</v>
      </c>
      <c r="C591" s="278">
        <v>1.3294564411616481</v>
      </c>
      <c r="D591" s="278">
        <v>14.999725715709458</v>
      </c>
      <c r="E591" s="278">
        <f t="shared" si="259"/>
        <v>48.957494324609115</v>
      </c>
      <c r="F591" s="279"/>
      <c r="G591" s="278">
        <v>30.378612136624582</v>
      </c>
      <c r="H591" s="278">
        <v>1.4994433185368963</v>
      </c>
      <c r="I591" s="278">
        <v>8.4937422764301385</v>
      </c>
      <c r="J591" s="278">
        <f>SUM(G591:I591)</f>
        <v>40.37179773159162</v>
      </c>
      <c r="K591" s="279"/>
      <c r="L591" s="278">
        <v>25.500854597541124</v>
      </c>
      <c r="M591" s="278">
        <v>2.2823200225924287</v>
      </c>
      <c r="N591" s="278">
        <v>9.7587082379939023</v>
      </c>
      <c r="O591" s="278">
        <f t="shared" si="261"/>
        <v>37.541882858127458</v>
      </c>
    </row>
    <row r="592" spans="1:15" s="212" customFormat="1">
      <c r="A592" s="213" t="str">
        <f>name!E$9</f>
        <v>Caring, leisure and other service occupations</v>
      </c>
      <c r="B592" s="278">
        <v>15.972261127896848</v>
      </c>
      <c r="C592" s="278">
        <v>6.9757505567830185</v>
      </c>
      <c r="D592" s="278">
        <v>1.529598050947393</v>
      </c>
      <c r="E592" s="278">
        <f t="shared" si="259"/>
        <v>24.477609735627258</v>
      </c>
      <c r="F592" s="279"/>
      <c r="G592" s="278">
        <v>20.874440898263444</v>
      </c>
      <c r="H592" s="278">
        <v>11.037417800009132</v>
      </c>
      <c r="I592" s="278">
        <v>1.8725843228880084</v>
      </c>
      <c r="J592" s="278">
        <f t="shared" ref="J592:J595" si="262">SUM(G592:I592)</f>
        <v>33.784443021160584</v>
      </c>
      <c r="K592" s="279"/>
      <c r="L592" s="278">
        <v>23.217658144830114</v>
      </c>
      <c r="M592" s="278">
        <v>10.413238489249302</v>
      </c>
      <c r="N592" s="278">
        <v>2.6588009090862843</v>
      </c>
      <c r="O592" s="278">
        <f t="shared" si="261"/>
        <v>36.289697543165701</v>
      </c>
    </row>
    <row r="593" spans="1:15" s="212" customFormat="1">
      <c r="A593" s="213" t="str">
        <f>name!E$10</f>
        <v>Sales and customer service occupations</v>
      </c>
      <c r="B593" s="278">
        <v>7.454026473135456</v>
      </c>
      <c r="C593" s="278">
        <v>1.374216965230397</v>
      </c>
      <c r="D593" s="278">
        <v>2.0886534011637488</v>
      </c>
      <c r="E593" s="278">
        <f t="shared" si="259"/>
        <v>10.916896839529601</v>
      </c>
      <c r="F593" s="279"/>
      <c r="G593" s="278">
        <v>9.5772014008125268</v>
      </c>
      <c r="H593" s="278">
        <v>2.6659123520964738</v>
      </c>
      <c r="I593" s="278">
        <v>1.6975790067652667</v>
      </c>
      <c r="J593" s="278">
        <f t="shared" si="262"/>
        <v>13.940692759674267</v>
      </c>
      <c r="K593" s="279"/>
      <c r="L593" s="278">
        <v>12.874010427524375</v>
      </c>
      <c r="M593" s="278">
        <v>3.8137870999667665</v>
      </c>
      <c r="N593" s="278">
        <v>1.7333401874675749</v>
      </c>
      <c r="O593" s="278">
        <f t="shared" si="261"/>
        <v>18.421137714958718</v>
      </c>
    </row>
    <row r="594" spans="1:15" s="212" customFormat="1">
      <c r="A594" s="213" t="str">
        <f>name!E$11</f>
        <v>Process, plant and machine operatives</v>
      </c>
      <c r="B594" s="278">
        <v>214.75737036495491</v>
      </c>
      <c r="C594" s="278">
        <v>24.953268703204131</v>
      </c>
      <c r="D594" s="278">
        <v>142.84303613517719</v>
      </c>
      <c r="E594" s="278">
        <f t="shared" si="259"/>
        <v>382.55367520333618</v>
      </c>
      <c r="F594" s="279"/>
      <c r="G594" s="278">
        <v>200.67485186284401</v>
      </c>
      <c r="H594" s="278">
        <v>43.311226661046952</v>
      </c>
      <c r="I594" s="278">
        <v>140.82317659693643</v>
      </c>
      <c r="J594" s="278">
        <f t="shared" si="262"/>
        <v>384.8092551208274</v>
      </c>
      <c r="K594" s="279"/>
      <c r="L594" s="278">
        <v>175.08365438827877</v>
      </c>
      <c r="M594" s="278">
        <v>53.665809811340118</v>
      </c>
      <c r="N594" s="278">
        <v>169.58568016723063</v>
      </c>
      <c r="O594" s="278">
        <f t="shared" si="261"/>
        <v>398.33514436684953</v>
      </c>
    </row>
    <row r="595" spans="1:15" s="212" customFormat="1">
      <c r="A595" s="213" t="str">
        <f>name!E$12</f>
        <v>Elementary occupations</v>
      </c>
      <c r="B595" s="278">
        <v>19.422807406143605</v>
      </c>
      <c r="C595" s="278">
        <v>4.5229232943050803</v>
      </c>
      <c r="D595" s="278">
        <v>3.5756701724773992</v>
      </c>
      <c r="E595" s="278">
        <f t="shared" si="259"/>
        <v>27.521400872926083</v>
      </c>
      <c r="F595" s="279"/>
      <c r="G595" s="278">
        <v>17.477611396480018</v>
      </c>
      <c r="H595" s="278">
        <v>6.2814215769313302</v>
      </c>
      <c r="I595" s="278">
        <v>2.3293160863297895</v>
      </c>
      <c r="J595" s="278">
        <f t="shared" si="262"/>
        <v>26.088349059741137</v>
      </c>
      <c r="K595" s="279"/>
      <c r="L595" s="278">
        <v>16.87881313061353</v>
      </c>
      <c r="M595" s="278">
        <v>7.8971680945742238</v>
      </c>
      <c r="N595" s="278">
        <v>3.0634123020675128</v>
      </c>
      <c r="O595" s="278">
        <f t="shared" si="261"/>
        <v>27.839393527255265</v>
      </c>
    </row>
    <row r="596" spans="1:15" s="212" customFormat="1">
      <c r="A596" s="213"/>
      <c r="B596" s="278"/>
      <c r="C596" s="278"/>
      <c r="D596" s="278"/>
      <c r="E596" s="278"/>
      <c r="F596" s="279"/>
      <c r="G596" s="278"/>
      <c r="H596" s="278"/>
      <c r="I596" s="278"/>
      <c r="J596" s="278"/>
      <c r="K596" s="279"/>
      <c r="L596" s="278"/>
      <c r="M596" s="278"/>
      <c r="N596" s="278"/>
      <c r="O596" s="278"/>
    </row>
    <row r="597" spans="1:15" s="212" customFormat="1">
      <c r="A597" s="220" t="s">
        <v>119</v>
      </c>
      <c r="B597" s="282">
        <f>SUM(B587:B595)</f>
        <v>409.26600000236823</v>
      </c>
      <c r="C597" s="282">
        <f t="shared" ref="C597:E597" si="263">SUM(C587:C595)</f>
        <v>51.210000001063797</v>
      </c>
      <c r="D597" s="282">
        <f t="shared" si="263"/>
        <v>183.56700000281475</v>
      </c>
      <c r="E597" s="282">
        <f t="shared" si="263"/>
        <v>644.04300000624676</v>
      </c>
      <c r="F597" s="282"/>
      <c r="G597" s="282">
        <f t="shared" ref="G597:J597" si="264">SUM(G587:G595)</f>
        <v>445.06199999923587</v>
      </c>
      <c r="H597" s="282">
        <f t="shared" si="264"/>
        <v>88.973000000041793</v>
      </c>
      <c r="I597" s="282">
        <f t="shared" si="264"/>
        <v>175.26900000339492</v>
      </c>
      <c r="J597" s="282">
        <f t="shared" si="264"/>
        <v>709.30400000267264</v>
      </c>
      <c r="K597" s="282"/>
      <c r="L597" s="282">
        <f t="shared" ref="L597:O597" si="265">SUM(L587:L595)</f>
        <v>465.45700000219682</v>
      </c>
      <c r="M597" s="282">
        <f t="shared" si="265"/>
        <v>104.46100000069166</v>
      </c>
      <c r="N597" s="282">
        <f t="shared" si="265"/>
        <v>209.36300002201278</v>
      </c>
      <c r="O597" s="282">
        <f t="shared" si="265"/>
        <v>779.28100002490135</v>
      </c>
    </row>
    <row r="598" spans="1:15" s="212" customFormat="1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3"/>
      <c r="M598" s="213"/>
      <c r="N598" s="216"/>
    </row>
    <row r="599" spans="1:15" s="212" customFormat="1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13"/>
      <c r="M599" s="213"/>
      <c r="N599" s="216"/>
      <c r="O599" s="227" t="s">
        <v>114</v>
      </c>
    </row>
    <row r="600" spans="1:15" s="212" customFormat="1" ht="12.95">
      <c r="A600" s="218"/>
      <c r="B600" s="218"/>
      <c r="C600" s="218"/>
      <c r="D600" s="218"/>
      <c r="E600" s="218"/>
      <c r="F600" s="218"/>
      <c r="G600" s="218"/>
      <c r="H600" s="218"/>
      <c r="I600" s="218"/>
      <c r="J600" s="218"/>
      <c r="K600" s="218"/>
      <c r="L600" s="218"/>
      <c r="M600" s="218"/>
      <c r="N600" s="218"/>
      <c r="O600" s="218"/>
    </row>
    <row r="601" spans="1:15" s="212" customFormat="1" ht="12.95">
      <c r="A601" s="217" t="str">
        <f>name!A38</f>
        <v>Water transport</v>
      </c>
      <c r="B601" s="369">
        <f>$B$6</f>
        <v>2015</v>
      </c>
      <c r="C601" s="369"/>
      <c r="D601" s="369"/>
      <c r="E601" s="369"/>
      <c r="F601" s="239"/>
      <c r="G601" s="369">
        <f>$G$6</f>
        <v>2020</v>
      </c>
      <c r="H601" s="369"/>
      <c r="I601" s="369"/>
      <c r="J601" s="369"/>
      <c r="K601" s="239"/>
      <c r="L601" s="369">
        <f>$L$6</f>
        <v>2035</v>
      </c>
      <c r="M601" s="369"/>
      <c r="N601" s="369"/>
      <c r="O601" s="369"/>
    </row>
    <row r="602" spans="1:15" s="212" customFormat="1" ht="12.95">
      <c r="A602" s="230"/>
      <c r="B602" s="244" t="str">
        <f>$B$7</f>
        <v>FT</v>
      </c>
      <c r="C602" s="244" t="str">
        <f>$C$7</f>
        <v>PT</v>
      </c>
      <c r="D602" s="244" t="str">
        <f>$D$7</f>
        <v>SE</v>
      </c>
      <c r="E602" s="244" t="str">
        <f>$E$7</f>
        <v>Total</v>
      </c>
      <c r="F602" s="244"/>
      <c r="G602" s="244" t="str">
        <f>$G$7</f>
        <v>FT</v>
      </c>
      <c r="H602" s="244" t="str">
        <f>$H$7</f>
        <v>PT</v>
      </c>
      <c r="I602" s="244" t="str">
        <f>$I$7</f>
        <v>SE</v>
      </c>
      <c r="J602" s="244" t="str">
        <f>$J$7</f>
        <v>Total</v>
      </c>
      <c r="K602" s="244"/>
      <c r="L602" s="244" t="str">
        <f>$L$7</f>
        <v>FT</v>
      </c>
      <c r="M602" s="244" t="str">
        <f>$M$7</f>
        <v>PT</v>
      </c>
      <c r="N602" s="244" t="str">
        <f>$N$7</f>
        <v>SE</v>
      </c>
      <c r="O602" s="244" t="str">
        <f>$O$7</f>
        <v>Total</v>
      </c>
    </row>
    <row r="603" spans="1:15" s="212" customFormat="1" ht="12.95">
      <c r="A603" s="234"/>
      <c r="B603" s="215"/>
      <c r="C603" s="215"/>
      <c r="D603" s="215"/>
      <c r="E603" s="215"/>
      <c r="F603" s="215"/>
      <c r="G603" s="215"/>
      <c r="H603" s="215"/>
      <c r="I603" s="215"/>
      <c r="J603" s="215"/>
      <c r="K603" s="215"/>
      <c r="L603" s="215"/>
      <c r="M603" s="215"/>
      <c r="N603" s="215"/>
      <c r="O603" s="215"/>
    </row>
    <row r="604" spans="1:15" s="212" customFormat="1">
      <c r="A604" s="213" t="str">
        <f>name!E$4</f>
        <v>Managers, directors and senior officials</v>
      </c>
      <c r="B604" s="278">
        <v>1.2019845434107166</v>
      </c>
      <c r="C604" s="278">
        <v>0.2586367071387598</v>
      </c>
      <c r="D604" s="278">
        <v>0.11404187583497605</v>
      </c>
      <c r="E604" s="278">
        <f>SUM(B604:D604)</f>
        <v>1.5746631263844524</v>
      </c>
      <c r="F604" s="279"/>
      <c r="G604" s="278">
        <v>1.1362317423479926</v>
      </c>
      <c r="H604" s="278">
        <v>0.36994996294836302</v>
      </c>
      <c r="I604" s="278">
        <v>1.0029643899572867</v>
      </c>
      <c r="J604" s="278">
        <f>SUM(G604:I604)</f>
        <v>2.5091460952536426</v>
      </c>
      <c r="K604" s="279"/>
      <c r="L604" s="278">
        <v>0.87018522806792353</v>
      </c>
      <c r="M604" s="278">
        <v>0.31224734221732975</v>
      </c>
      <c r="N604" s="278">
        <v>0.79773925802367673</v>
      </c>
      <c r="O604" s="278">
        <f>SUM(L604:N604)</f>
        <v>1.9801718283089298</v>
      </c>
    </row>
    <row r="605" spans="1:15" s="212" customFormat="1">
      <c r="A605" s="213" t="str">
        <f>name!E$5</f>
        <v>Professional occupations</v>
      </c>
      <c r="B605" s="278">
        <v>2.0550225807441853</v>
      </c>
      <c r="C605" s="278">
        <v>0.19653047750790134</v>
      </c>
      <c r="D605" s="278">
        <v>8.4005323863299633E-2</v>
      </c>
      <c r="E605" s="278">
        <f t="shared" ref="E605:E612" si="266">SUM(B605:D605)</f>
        <v>2.3355583821153862</v>
      </c>
      <c r="F605" s="279"/>
      <c r="G605" s="278">
        <v>2.1579723235511623</v>
      </c>
      <c r="H605" s="278">
        <v>0.30092269369765345</v>
      </c>
      <c r="I605" s="278">
        <v>0.58658023153061001</v>
      </c>
      <c r="J605" s="278">
        <f t="shared" ref="J605:J607" si="267">SUM(G605:I605)</f>
        <v>3.0454752487794257</v>
      </c>
      <c r="K605" s="279"/>
      <c r="L605" s="278">
        <v>2.1652210925751092</v>
      </c>
      <c r="M605" s="278">
        <v>0.32563870989045746</v>
      </c>
      <c r="N605" s="278">
        <v>0.38299014502108586</v>
      </c>
      <c r="O605" s="278">
        <f t="shared" ref="O605:O612" si="268">SUM(L605:N605)</f>
        <v>2.8738499474866526</v>
      </c>
    </row>
    <row r="606" spans="1:15" s="212" customFormat="1">
      <c r="A606" s="213" t="str">
        <f>name!E$6</f>
        <v>Associate professional occupations</v>
      </c>
      <c r="B606" s="278">
        <v>2.6171619600789855</v>
      </c>
      <c r="C606" s="278">
        <v>0.17003502133393661</v>
      </c>
      <c r="D606" s="278">
        <v>0.12208299600894081</v>
      </c>
      <c r="E606" s="278">
        <f t="shared" si="266"/>
        <v>2.9092799774218632</v>
      </c>
      <c r="F606" s="279"/>
      <c r="G606" s="278">
        <v>2.413940346573185</v>
      </c>
      <c r="H606" s="278">
        <v>0.22008251396017148</v>
      </c>
      <c r="I606" s="278">
        <v>0.76943438981622692</v>
      </c>
      <c r="J606" s="278">
        <f t="shared" si="267"/>
        <v>3.4034572503495832</v>
      </c>
      <c r="K606" s="279"/>
      <c r="L606" s="278">
        <v>1.8752206465079286</v>
      </c>
      <c r="M606" s="278">
        <v>0.1728105494949318</v>
      </c>
      <c r="N606" s="278">
        <v>0.66108408020750864</v>
      </c>
      <c r="O606" s="278">
        <f t="shared" si="268"/>
        <v>2.709115276210369</v>
      </c>
    </row>
    <row r="607" spans="1:15" s="212" customFormat="1">
      <c r="A607" s="213" t="str">
        <f>name!E$7</f>
        <v>Administrative and secretarial occupations</v>
      </c>
      <c r="B607" s="278">
        <v>2.5073860745548684</v>
      </c>
      <c r="C607" s="278">
        <v>0.67059310671389383</v>
      </c>
      <c r="D607" s="278">
        <v>9.5013595624438479E-2</v>
      </c>
      <c r="E607" s="278">
        <f t="shared" si="266"/>
        <v>3.2729927768932008</v>
      </c>
      <c r="F607" s="279"/>
      <c r="G607" s="278">
        <v>2.131713183255894</v>
      </c>
      <c r="H607" s="278">
        <v>0.71769695107818177</v>
      </c>
      <c r="I607" s="278">
        <v>0.17451323485419845</v>
      </c>
      <c r="J607" s="278">
        <f t="shared" si="267"/>
        <v>3.0239233691882741</v>
      </c>
      <c r="K607" s="279"/>
      <c r="L607" s="278">
        <v>1.7673002582861517</v>
      </c>
      <c r="M607" s="278">
        <v>0.48339201239047935</v>
      </c>
      <c r="N607" s="278">
        <v>0.12709416782980026</v>
      </c>
      <c r="O607" s="278">
        <f t="shared" si="268"/>
        <v>2.3777864385064316</v>
      </c>
    </row>
    <row r="608" spans="1:15" s="212" customFormat="1">
      <c r="A608" s="213" t="str">
        <f>name!E$8</f>
        <v>Skilled trades occupations</v>
      </c>
      <c r="B608" s="278">
        <v>0.2883529987016053</v>
      </c>
      <c r="C608" s="278">
        <v>0.11929943865116958</v>
      </c>
      <c r="D608" s="278">
        <v>6.3223566502862011E-2</v>
      </c>
      <c r="E608" s="278">
        <f t="shared" si="266"/>
        <v>0.47087600385563688</v>
      </c>
      <c r="F608" s="279"/>
      <c r="G608" s="278">
        <v>0.23157897519057485</v>
      </c>
      <c r="H608" s="278">
        <v>7.3989388031201822E-2</v>
      </c>
      <c r="I608" s="278">
        <v>0.27164822656489351</v>
      </c>
      <c r="J608" s="278">
        <f>SUM(G608:I608)</f>
        <v>0.57721658978667012</v>
      </c>
      <c r="K608" s="279"/>
      <c r="L608" s="278">
        <v>0.20347801204924029</v>
      </c>
      <c r="M608" s="278">
        <v>6.1025346911737305E-2</v>
      </c>
      <c r="N608" s="278">
        <v>0.1396342951194226</v>
      </c>
      <c r="O608" s="278">
        <f t="shared" si="268"/>
        <v>0.4041376540804002</v>
      </c>
    </row>
    <row r="609" spans="1:15" s="212" customFormat="1">
      <c r="A609" s="213" t="str">
        <f>name!E$9</f>
        <v>Caring, leisure and other service occupations</v>
      </c>
      <c r="B609" s="278">
        <v>0.74636589059795388</v>
      </c>
      <c r="C609" s="278">
        <v>0.33395294790195945</v>
      </c>
      <c r="D609" s="278">
        <v>3.9488163119146137E-2</v>
      </c>
      <c r="E609" s="278">
        <f t="shared" si="266"/>
        <v>1.1198070016190595</v>
      </c>
      <c r="F609" s="279"/>
      <c r="G609" s="278">
        <v>0.5401549195305031</v>
      </c>
      <c r="H609" s="278">
        <v>0.29646524410339287</v>
      </c>
      <c r="I609" s="278">
        <v>7.6986287816616983E-2</v>
      </c>
      <c r="J609" s="278">
        <f t="shared" ref="J609:J612" si="269">SUM(G609:I609)</f>
        <v>0.91360645145051289</v>
      </c>
      <c r="K609" s="279"/>
      <c r="L609" s="278">
        <v>0.31618547487167198</v>
      </c>
      <c r="M609" s="278">
        <v>0.17760528658135294</v>
      </c>
      <c r="N609" s="278">
        <v>7.507267973538978E-2</v>
      </c>
      <c r="O609" s="278">
        <f t="shared" si="268"/>
        <v>0.5688634411884147</v>
      </c>
    </row>
    <row r="610" spans="1:15" s="212" customFormat="1">
      <c r="A610" s="213" t="str">
        <f>name!E$10</f>
        <v>Sales and customer service occupations</v>
      </c>
      <c r="B610" s="278">
        <v>0.6478928271236245</v>
      </c>
      <c r="C610" s="278">
        <v>0.15766386138937011</v>
      </c>
      <c r="D610" s="278">
        <v>2.2107102469104623E-2</v>
      </c>
      <c r="E610" s="278">
        <f t="shared" si="266"/>
        <v>0.82766379098209919</v>
      </c>
      <c r="F610" s="279"/>
      <c r="G610" s="278">
        <v>0.52589250009477184</v>
      </c>
      <c r="H610" s="278">
        <v>0.16950775472939442</v>
      </c>
      <c r="I610" s="278">
        <v>7.8214784333803092E-2</v>
      </c>
      <c r="J610" s="278">
        <f t="shared" si="269"/>
        <v>0.77361503915796936</v>
      </c>
      <c r="K610" s="279"/>
      <c r="L610" s="278">
        <v>0.41362049845329441</v>
      </c>
      <c r="M610" s="278">
        <v>0.13646673831373607</v>
      </c>
      <c r="N610" s="278">
        <v>6.2843527495344373E-2</v>
      </c>
      <c r="O610" s="278">
        <f t="shared" si="268"/>
        <v>0.61293076426237481</v>
      </c>
    </row>
    <row r="611" spans="1:15" s="212" customFormat="1">
      <c r="A611" s="213" t="str">
        <f>name!E$11</f>
        <v>Process, plant and machine operatives</v>
      </c>
      <c r="B611" s="278">
        <v>0.48362218849681121</v>
      </c>
      <c r="C611" s="278">
        <v>0.19189758948495053</v>
      </c>
      <c r="D611" s="278">
        <v>5.918459631828752E-2</v>
      </c>
      <c r="E611" s="278">
        <f t="shared" si="266"/>
        <v>0.73470437430004931</v>
      </c>
      <c r="F611" s="279"/>
      <c r="G611" s="278">
        <v>0.4284625291369914</v>
      </c>
      <c r="H611" s="278">
        <v>0.15462671287912566</v>
      </c>
      <c r="I611" s="278">
        <v>0.29825405017634055</v>
      </c>
      <c r="J611" s="278">
        <f t="shared" si="269"/>
        <v>0.88134329219245766</v>
      </c>
      <c r="K611" s="279"/>
      <c r="L611" s="278">
        <v>0.17102386163754632</v>
      </c>
      <c r="M611" s="278">
        <v>0.15001017332456137</v>
      </c>
      <c r="N611" s="278">
        <v>0.18217907198088248</v>
      </c>
      <c r="O611" s="278">
        <f t="shared" si="268"/>
        <v>0.50321310694299015</v>
      </c>
    </row>
    <row r="612" spans="1:15" s="212" customFormat="1">
      <c r="A612" s="213" t="str">
        <f>name!E$12</f>
        <v>Elementary occupations</v>
      </c>
      <c r="B612" s="278">
        <v>0.7342109363153454</v>
      </c>
      <c r="C612" s="278">
        <v>0.18939084990340754</v>
      </c>
      <c r="D612" s="278">
        <v>4.9852780270400306E-2</v>
      </c>
      <c r="E612" s="278">
        <f t="shared" si="266"/>
        <v>0.97345456648915318</v>
      </c>
      <c r="F612" s="279"/>
      <c r="G612" s="278">
        <v>0.51905348028861853</v>
      </c>
      <c r="H612" s="278">
        <v>0.14675877859848563</v>
      </c>
      <c r="I612" s="278">
        <v>0.21640440499236649</v>
      </c>
      <c r="J612" s="278">
        <f t="shared" si="269"/>
        <v>0.88221666387947062</v>
      </c>
      <c r="K612" s="279"/>
      <c r="L612" s="278">
        <v>0.37476492761936869</v>
      </c>
      <c r="M612" s="278">
        <v>8.6803840889863843E-2</v>
      </c>
      <c r="N612" s="278">
        <v>0.12436277466999063</v>
      </c>
      <c r="O612" s="278">
        <f t="shared" si="268"/>
        <v>0.58593154317922314</v>
      </c>
    </row>
    <row r="613" spans="1:15" s="212" customFormat="1">
      <c r="A613" s="213"/>
      <c r="B613" s="278"/>
      <c r="C613" s="278"/>
      <c r="D613" s="278"/>
      <c r="E613" s="278"/>
      <c r="F613" s="279"/>
      <c r="G613" s="278"/>
      <c r="H613" s="278"/>
      <c r="I613" s="278"/>
      <c r="J613" s="278"/>
      <c r="K613" s="279"/>
      <c r="L613" s="278"/>
      <c r="M613" s="278"/>
      <c r="N613" s="278"/>
      <c r="O613" s="278"/>
    </row>
    <row r="614" spans="1:15" s="212" customFormat="1">
      <c r="A614" s="220" t="s">
        <v>119</v>
      </c>
      <c r="B614" s="282">
        <f>SUM(B604:B612)</f>
        <v>11.282000000024098</v>
      </c>
      <c r="C614" s="282">
        <f t="shared" ref="C614:E614" si="270">SUM(C604:C612)</f>
        <v>2.2880000000253489</v>
      </c>
      <c r="D614" s="282">
        <f t="shared" si="270"/>
        <v>0.64900000001145552</v>
      </c>
      <c r="E614" s="282">
        <f t="shared" si="270"/>
        <v>14.2190000000609</v>
      </c>
      <c r="F614" s="282"/>
      <c r="G614" s="282">
        <f t="shared" ref="G614:J614" si="271">SUM(G604:G612)</f>
        <v>10.084999999969693</v>
      </c>
      <c r="H614" s="282">
        <f t="shared" si="271"/>
        <v>2.4500000000259705</v>
      </c>
      <c r="I614" s="282">
        <f t="shared" si="271"/>
        <v>3.4750000000423427</v>
      </c>
      <c r="J614" s="282">
        <f t="shared" si="271"/>
        <v>16.010000000038005</v>
      </c>
      <c r="K614" s="282"/>
      <c r="L614" s="282">
        <f t="shared" ref="L614:O614" si="272">SUM(L604:L612)</f>
        <v>8.1570000000682334</v>
      </c>
      <c r="M614" s="282">
        <f t="shared" si="272"/>
        <v>1.9060000000144499</v>
      </c>
      <c r="N614" s="282">
        <f t="shared" si="272"/>
        <v>2.5530000000831015</v>
      </c>
      <c r="O614" s="282">
        <f t="shared" si="272"/>
        <v>12.616000000165785</v>
      </c>
    </row>
    <row r="615" spans="1:15" s="212" customFormat="1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3"/>
      <c r="M615" s="213"/>
      <c r="N615" s="216"/>
    </row>
    <row r="616" spans="1:15" s="212" customFormat="1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13"/>
      <c r="M616" s="213"/>
      <c r="N616" s="216"/>
      <c r="O616" s="227" t="s">
        <v>114</v>
      </c>
    </row>
    <row r="617" spans="1:15" s="212" customFormat="1" ht="12.95">
      <c r="A617" s="218"/>
      <c r="B617" s="218"/>
      <c r="C617" s="218"/>
      <c r="D617" s="218"/>
      <c r="E617" s="218"/>
      <c r="F617" s="218"/>
      <c r="G617" s="218"/>
      <c r="H617" s="218"/>
      <c r="I617" s="218"/>
      <c r="J617" s="218"/>
      <c r="K617" s="218"/>
      <c r="L617" s="218"/>
      <c r="M617" s="218"/>
      <c r="N617" s="218"/>
      <c r="O617" s="218"/>
    </row>
    <row r="618" spans="1:15" s="212" customFormat="1" ht="12.95">
      <c r="A618" s="217" t="str">
        <f>name!A39</f>
        <v>Air transport</v>
      </c>
      <c r="B618" s="369">
        <f>$B$6</f>
        <v>2015</v>
      </c>
      <c r="C618" s="369"/>
      <c r="D618" s="369"/>
      <c r="E618" s="369"/>
      <c r="F618" s="239"/>
      <c r="G618" s="369">
        <f>$G$6</f>
        <v>2020</v>
      </c>
      <c r="H618" s="369"/>
      <c r="I618" s="369"/>
      <c r="J618" s="369"/>
      <c r="K618" s="239"/>
      <c r="L618" s="369">
        <f>$L$6</f>
        <v>2035</v>
      </c>
      <c r="M618" s="369"/>
      <c r="N618" s="369"/>
      <c r="O618" s="369"/>
    </row>
    <row r="619" spans="1:15" s="212" customFormat="1" ht="12.95">
      <c r="A619" s="230"/>
      <c r="B619" s="244" t="str">
        <f>$B$7</f>
        <v>FT</v>
      </c>
      <c r="C619" s="244" t="str">
        <f>$C$7</f>
        <v>PT</v>
      </c>
      <c r="D619" s="244" t="str">
        <f>$D$7</f>
        <v>SE</v>
      </c>
      <c r="E619" s="244" t="str">
        <f>$E$7</f>
        <v>Total</v>
      </c>
      <c r="F619" s="244"/>
      <c r="G619" s="244" t="str">
        <f>$G$7</f>
        <v>FT</v>
      </c>
      <c r="H619" s="244" t="str">
        <f>$H$7</f>
        <v>PT</v>
      </c>
      <c r="I619" s="244" t="str">
        <f>$I$7</f>
        <v>SE</v>
      </c>
      <c r="J619" s="244" t="str">
        <f>$J$7</f>
        <v>Total</v>
      </c>
      <c r="K619" s="244"/>
      <c r="L619" s="244" t="str">
        <f>$L$7</f>
        <v>FT</v>
      </c>
      <c r="M619" s="244" t="str">
        <f>$M$7</f>
        <v>PT</v>
      </c>
      <c r="N619" s="244" t="str">
        <f>$N$7</f>
        <v>SE</v>
      </c>
      <c r="O619" s="244" t="str">
        <f>$O$7</f>
        <v>Total</v>
      </c>
    </row>
    <row r="620" spans="1:15" s="212" customFormat="1" ht="12.95">
      <c r="A620" s="234"/>
      <c r="B620" s="215"/>
      <c r="C620" s="215"/>
      <c r="D620" s="215"/>
      <c r="E620" s="215"/>
      <c r="F620" s="215"/>
      <c r="G620" s="215"/>
      <c r="H620" s="215"/>
      <c r="I620" s="215"/>
      <c r="J620" s="215"/>
      <c r="K620" s="215"/>
      <c r="L620" s="215"/>
      <c r="M620" s="215"/>
      <c r="N620" s="215"/>
      <c r="O620" s="215"/>
    </row>
    <row r="621" spans="1:15" s="212" customFormat="1">
      <c r="A621" s="213" t="str">
        <f>name!E$4</f>
        <v>Managers, directors and senior officials</v>
      </c>
      <c r="B621" s="278">
        <v>3.7354061879372744</v>
      </c>
      <c r="C621" s="278">
        <v>0.4484424427032227</v>
      </c>
      <c r="D621" s="278">
        <v>7.5783830083251555E-2</v>
      </c>
      <c r="E621" s="278">
        <f>SUM(B621:D621)</f>
        <v>4.2596324607237488</v>
      </c>
      <c r="F621" s="279"/>
      <c r="G621" s="278">
        <v>4.3190675521578568</v>
      </c>
      <c r="H621" s="278">
        <v>0.44658275686513133</v>
      </c>
      <c r="I621" s="278">
        <v>0.55184245760835504</v>
      </c>
      <c r="J621" s="278">
        <f>SUM(G621:I621)</f>
        <v>5.3174927666313438</v>
      </c>
      <c r="K621" s="279"/>
      <c r="L621" s="278">
        <v>4.2370534261044659</v>
      </c>
      <c r="M621" s="278">
        <v>0.49079053333365241</v>
      </c>
      <c r="N621" s="278">
        <v>0.56766812044702442</v>
      </c>
      <c r="O621" s="278">
        <f>SUM(L621:N621)</f>
        <v>5.2955120798851425</v>
      </c>
    </row>
    <row r="622" spans="1:15" s="212" customFormat="1">
      <c r="A622" s="213" t="str">
        <f>name!E$5</f>
        <v>Professional occupations</v>
      </c>
      <c r="B622" s="278">
        <v>7.1987185480917431</v>
      </c>
      <c r="C622" s="278">
        <v>0.9777800868798765</v>
      </c>
      <c r="D622" s="278">
        <v>0.11168607821295473</v>
      </c>
      <c r="E622" s="278">
        <f t="shared" ref="E622:E629" si="273">SUM(B622:D622)</f>
        <v>8.2881847131845738</v>
      </c>
      <c r="F622" s="279"/>
      <c r="G622" s="278">
        <v>9.3829460408187764</v>
      </c>
      <c r="H622" s="278">
        <v>1.1585227528853486</v>
      </c>
      <c r="I622" s="278">
        <v>0.52608149654558611</v>
      </c>
      <c r="J622" s="278">
        <f t="shared" ref="J622:J624" si="274">SUM(G622:I622)</f>
        <v>11.067550290249711</v>
      </c>
      <c r="K622" s="279"/>
      <c r="L622" s="278">
        <v>11.937257235739713</v>
      </c>
      <c r="M622" s="278">
        <v>1.6113573873775229</v>
      </c>
      <c r="N622" s="278">
        <v>0.42868853882613756</v>
      </c>
      <c r="O622" s="278">
        <f t="shared" ref="O622:O629" si="275">SUM(L622:N622)</f>
        <v>13.977303161943372</v>
      </c>
    </row>
    <row r="623" spans="1:15" s="212" customFormat="1">
      <c r="A623" s="213" t="str">
        <f>name!E$6</f>
        <v>Associate professional occupations</v>
      </c>
      <c r="B623" s="278">
        <v>9.8005546355313093</v>
      </c>
      <c r="C623" s="278">
        <v>3.2247880191515805</v>
      </c>
      <c r="D623" s="278">
        <v>0.12211571990103115</v>
      </c>
      <c r="E623" s="278">
        <f t="shared" si="273"/>
        <v>13.14745837458392</v>
      </c>
      <c r="F623" s="279"/>
      <c r="G623" s="278">
        <v>11.455678116777378</v>
      </c>
      <c r="H623" s="278">
        <v>2.8318630417886697</v>
      </c>
      <c r="I623" s="278">
        <v>0.3552946499998319</v>
      </c>
      <c r="J623" s="278">
        <f t="shared" si="274"/>
        <v>14.642835808565879</v>
      </c>
      <c r="K623" s="279"/>
      <c r="L623" s="278">
        <v>11.577965879789685</v>
      </c>
      <c r="M623" s="278">
        <v>3.0666911963086694</v>
      </c>
      <c r="N623" s="278">
        <v>0.36402331750062117</v>
      </c>
      <c r="O623" s="278">
        <f t="shared" si="275"/>
        <v>15.008680393598976</v>
      </c>
    </row>
    <row r="624" spans="1:15" s="212" customFormat="1">
      <c r="A624" s="213" t="str">
        <f>name!E$7</f>
        <v>Administrative and secretarial occupations</v>
      </c>
      <c r="B624" s="278">
        <v>3.9660066185303933</v>
      </c>
      <c r="C624" s="278">
        <v>1.9053997928789288</v>
      </c>
      <c r="D624" s="278">
        <v>2.0779290315229754E-2</v>
      </c>
      <c r="E624" s="278">
        <f t="shared" si="273"/>
        <v>5.8921857017245518</v>
      </c>
      <c r="F624" s="279"/>
      <c r="G624" s="278">
        <v>4.1853134049289933</v>
      </c>
      <c r="H624" s="278">
        <v>1.7929001919735144</v>
      </c>
      <c r="I624" s="278">
        <v>6.6876061393004282E-2</v>
      </c>
      <c r="J624" s="278">
        <f t="shared" si="274"/>
        <v>6.0450896582955123</v>
      </c>
      <c r="K624" s="279"/>
      <c r="L624" s="278">
        <v>5.2241898736883412</v>
      </c>
      <c r="M624" s="278">
        <v>1.9851401287706354</v>
      </c>
      <c r="N624" s="278">
        <v>7.2611828526544908E-2</v>
      </c>
      <c r="O624" s="278">
        <f t="shared" si="275"/>
        <v>7.2819418309855219</v>
      </c>
    </row>
    <row r="625" spans="1:15" s="212" customFormat="1">
      <c r="A625" s="213" t="str">
        <f>name!E$8</f>
        <v>Skilled trades occupations</v>
      </c>
      <c r="B625" s="278">
        <v>4.067592598214314</v>
      </c>
      <c r="C625" s="278">
        <v>1.0684178226928029</v>
      </c>
      <c r="D625" s="278">
        <v>0.17338054146234913</v>
      </c>
      <c r="E625" s="278">
        <f t="shared" si="273"/>
        <v>5.3093909623694664</v>
      </c>
      <c r="F625" s="279"/>
      <c r="G625" s="278">
        <v>3.2066048438748478</v>
      </c>
      <c r="H625" s="278">
        <v>0.43570452630022227</v>
      </c>
      <c r="I625" s="278">
        <v>1.2005090930174411</v>
      </c>
      <c r="J625" s="278">
        <f>SUM(G625:I625)</f>
        <v>4.8428184631925113</v>
      </c>
      <c r="K625" s="279"/>
      <c r="L625" s="278">
        <v>3.1726041500122282</v>
      </c>
      <c r="M625" s="278">
        <v>0.46209328032399416</v>
      </c>
      <c r="N625" s="278">
        <v>1.2124977853737966</v>
      </c>
      <c r="O625" s="278">
        <f t="shared" si="275"/>
        <v>4.8471952157100189</v>
      </c>
    </row>
    <row r="626" spans="1:15" s="212" customFormat="1">
      <c r="A626" s="213" t="str">
        <f>name!E$9</f>
        <v>Caring, leisure and other service occupations</v>
      </c>
      <c r="B626" s="278">
        <v>11.471822575329995</v>
      </c>
      <c r="C626" s="278">
        <v>9.8171887740980779</v>
      </c>
      <c r="D626" s="278">
        <v>3.7461440794076012E-2</v>
      </c>
      <c r="E626" s="278">
        <f t="shared" si="273"/>
        <v>21.326472790222148</v>
      </c>
      <c r="F626" s="279"/>
      <c r="G626" s="278">
        <v>9.5510301832562412</v>
      </c>
      <c r="H626" s="278">
        <v>7.7098605553796844</v>
      </c>
      <c r="I626" s="278">
        <v>9.873596568114143E-2</v>
      </c>
      <c r="J626" s="278">
        <f t="shared" ref="J626:J629" si="276">SUM(G626:I626)</f>
        <v>17.359626704317066</v>
      </c>
      <c r="K626" s="279"/>
      <c r="L626" s="278">
        <v>7.2068404525785006</v>
      </c>
      <c r="M626" s="278">
        <v>7.4312826579041795</v>
      </c>
      <c r="N626" s="278">
        <v>0.11022506481716927</v>
      </c>
      <c r="O626" s="278">
        <f t="shared" si="275"/>
        <v>14.748348175299851</v>
      </c>
    </row>
    <row r="627" spans="1:15" s="212" customFormat="1">
      <c r="A627" s="213" t="str">
        <f>name!E$10</f>
        <v>Sales and customer service occupations</v>
      </c>
      <c r="B627" s="278">
        <v>1.3905104967862199</v>
      </c>
      <c r="C627" s="278">
        <v>1.6844171119982736</v>
      </c>
      <c r="D627" s="278">
        <v>2.6465359715732509E-2</v>
      </c>
      <c r="E627" s="278">
        <f t="shared" si="273"/>
        <v>3.1013929685002264</v>
      </c>
      <c r="F627" s="279"/>
      <c r="G627" s="278">
        <v>1.3983257317031679</v>
      </c>
      <c r="H627" s="278">
        <v>1.5749736946688802</v>
      </c>
      <c r="I627" s="278">
        <v>0.11045182925128499</v>
      </c>
      <c r="J627" s="278">
        <f t="shared" si="276"/>
        <v>3.0837512556233326</v>
      </c>
      <c r="K627" s="279"/>
      <c r="L627" s="278">
        <v>1.5639823878271537</v>
      </c>
      <c r="M627" s="278">
        <v>2.2976316550118505</v>
      </c>
      <c r="N627" s="278">
        <v>8.8424466499498436E-2</v>
      </c>
      <c r="O627" s="278">
        <f t="shared" si="275"/>
        <v>3.9500385093385026</v>
      </c>
    </row>
    <row r="628" spans="1:15" s="212" customFormat="1">
      <c r="A628" s="213" t="str">
        <f>name!E$11</f>
        <v>Process, plant and machine operatives</v>
      </c>
      <c r="B628" s="278">
        <v>3.9864143204359732</v>
      </c>
      <c r="C628" s="278">
        <v>1.5621092696316681</v>
      </c>
      <c r="D628" s="278">
        <v>3.6126974490954276E-2</v>
      </c>
      <c r="E628" s="278">
        <f t="shared" si="273"/>
        <v>5.5846505645585953</v>
      </c>
      <c r="F628" s="279"/>
      <c r="G628" s="278">
        <v>3.3965951393749951</v>
      </c>
      <c r="H628" s="278">
        <v>1.0071508597686476</v>
      </c>
      <c r="I628" s="278">
        <v>0.37093429301006114</v>
      </c>
      <c r="J628" s="278">
        <f t="shared" si="276"/>
        <v>4.7746802921537039</v>
      </c>
      <c r="K628" s="279"/>
      <c r="L628" s="278">
        <v>3.186656496988304</v>
      </c>
      <c r="M628" s="278">
        <v>1.182314178055083</v>
      </c>
      <c r="N628" s="278">
        <v>0.4751482934584666</v>
      </c>
      <c r="O628" s="278">
        <f t="shared" si="275"/>
        <v>4.8441189685018538</v>
      </c>
    </row>
    <row r="629" spans="1:15" s="212" customFormat="1">
      <c r="A629" s="213" t="str">
        <f>name!E$12</f>
        <v>Elementary occupations</v>
      </c>
      <c r="B629" s="278">
        <v>2.5859740192631788</v>
      </c>
      <c r="C629" s="278">
        <v>1.2884566803757642</v>
      </c>
      <c r="D629" s="278">
        <v>5.6200765033882029E-2</v>
      </c>
      <c r="E629" s="278">
        <f t="shared" si="273"/>
        <v>3.9306314646728251</v>
      </c>
      <c r="F629" s="279"/>
      <c r="G629" s="278">
        <v>2.2904389868987236</v>
      </c>
      <c r="H629" s="278">
        <v>0.7854416203865211</v>
      </c>
      <c r="I629" s="278">
        <v>0.26427415346697619</v>
      </c>
      <c r="J629" s="278">
        <f t="shared" si="276"/>
        <v>3.3401547607522213</v>
      </c>
      <c r="K629" s="279"/>
      <c r="L629" s="278">
        <v>3.1874500977663818</v>
      </c>
      <c r="M629" s="278">
        <v>0.69169898311751865</v>
      </c>
      <c r="N629" s="278">
        <v>0.36071258451167948</v>
      </c>
      <c r="O629" s="278">
        <f t="shared" si="275"/>
        <v>4.2398616653955798</v>
      </c>
    </row>
    <row r="630" spans="1:15" s="212" customFormat="1">
      <c r="A630" s="213"/>
      <c r="B630" s="278"/>
      <c r="C630" s="278"/>
      <c r="D630" s="278"/>
      <c r="E630" s="278"/>
      <c r="F630" s="279"/>
      <c r="G630" s="278"/>
      <c r="H630" s="278"/>
      <c r="I630" s="278"/>
      <c r="J630" s="278"/>
      <c r="K630" s="279"/>
      <c r="L630" s="278"/>
      <c r="M630" s="278"/>
      <c r="N630" s="278"/>
      <c r="O630" s="278"/>
    </row>
    <row r="631" spans="1:15" s="212" customFormat="1">
      <c r="A631" s="220" t="s">
        <v>119</v>
      </c>
      <c r="B631" s="282">
        <f>SUM(B621:B629)</f>
        <v>48.203000000120404</v>
      </c>
      <c r="C631" s="282">
        <f t="shared" ref="C631:E631" si="277">SUM(C621:C629)</f>
        <v>21.977000000410197</v>
      </c>
      <c r="D631" s="282">
        <f t="shared" si="277"/>
        <v>0.66000000000946113</v>
      </c>
      <c r="E631" s="282">
        <f t="shared" si="277"/>
        <v>70.840000000540059</v>
      </c>
      <c r="F631" s="282"/>
      <c r="G631" s="282">
        <f t="shared" ref="G631:J631" si="278">SUM(G621:G629)</f>
        <v>49.18599999979098</v>
      </c>
      <c r="H631" s="282">
        <f t="shared" si="278"/>
        <v>17.743000000016622</v>
      </c>
      <c r="I631" s="282">
        <f t="shared" si="278"/>
        <v>3.5449999999736823</v>
      </c>
      <c r="J631" s="282">
        <f t="shared" si="278"/>
        <v>70.473999999781284</v>
      </c>
      <c r="K631" s="282"/>
      <c r="L631" s="282">
        <f t="shared" ref="L631:O631" si="279">SUM(L621:L629)</f>
        <v>51.294000000494769</v>
      </c>
      <c r="M631" s="282">
        <f t="shared" si="279"/>
        <v>19.219000000203106</v>
      </c>
      <c r="N631" s="282">
        <f t="shared" si="279"/>
        <v>3.6799999999609385</v>
      </c>
      <c r="O631" s="282">
        <f t="shared" si="279"/>
        <v>74.193000000658827</v>
      </c>
    </row>
    <row r="632" spans="1:15" s="212" customFormat="1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3"/>
      <c r="M632" s="213"/>
      <c r="N632" s="216"/>
    </row>
    <row r="633" spans="1:15" s="212" customFormat="1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13"/>
      <c r="M633" s="213"/>
      <c r="N633" s="216"/>
      <c r="O633" s="227" t="s">
        <v>114</v>
      </c>
    </row>
    <row r="634" spans="1:15" s="212" customFormat="1" ht="12.95">
      <c r="A634" s="218"/>
      <c r="B634" s="218"/>
      <c r="C634" s="218"/>
      <c r="D634" s="218"/>
      <c r="E634" s="218"/>
      <c r="F634" s="218"/>
      <c r="G634" s="218"/>
      <c r="H634" s="218"/>
      <c r="I634" s="218"/>
      <c r="J634" s="218"/>
      <c r="K634" s="218"/>
      <c r="L634" s="218"/>
      <c r="M634" s="218"/>
      <c r="N634" s="218"/>
      <c r="O634" s="218"/>
    </row>
    <row r="635" spans="1:15" s="212" customFormat="1" ht="12.95">
      <c r="A635" s="217" t="str">
        <f>name!A40</f>
        <v>Warehousing, etc</v>
      </c>
      <c r="B635" s="369">
        <f>$B$6</f>
        <v>2015</v>
      </c>
      <c r="C635" s="369"/>
      <c r="D635" s="369"/>
      <c r="E635" s="369"/>
      <c r="F635" s="239"/>
      <c r="G635" s="369">
        <f>$G$6</f>
        <v>2020</v>
      </c>
      <c r="H635" s="369"/>
      <c r="I635" s="369"/>
      <c r="J635" s="369"/>
      <c r="K635" s="239"/>
      <c r="L635" s="369">
        <f>$L$6</f>
        <v>2035</v>
      </c>
      <c r="M635" s="369"/>
      <c r="N635" s="369"/>
      <c r="O635" s="369"/>
    </row>
    <row r="636" spans="1:15" s="212" customFormat="1" ht="12.95">
      <c r="A636" s="230"/>
      <c r="B636" s="244" t="str">
        <f>$B$7</f>
        <v>FT</v>
      </c>
      <c r="C636" s="244" t="str">
        <f>$C$7</f>
        <v>PT</v>
      </c>
      <c r="D636" s="244" t="str">
        <f>$D$7</f>
        <v>SE</v>
      </c>
      <c r="E636" s="244" t="str">
        <f>$E$7</f>
        <v>Total</v>
      </c>
      <c r="F636" s="244"/>
      <c r="G636" s="244" t="str">
        <f>$G$7</f>
        <v>FT</v>
      </c>
      <c r="H636" s="244" t="str">
        <f>$H$7</f>
        <v>PT</v>
      </c>
      <c r="I636" s="244" t="str">
        <f>$I$7</f>
        <v>SE</v>
      </c>
      <c r="J636" s="244" t="str">
        <f>$J$7</f>
        <v>Total</v>
      </c>
      <c r="K636" s="244"/>
      <c r="L636" s="244" t="str">
        <f>$L$7</f>
        <v>FT</v>
      </c>
      <c r="M636" s="244" t="str">
        <f>$M$7</f>
        <v>PT</v>
      </c>
      <c r="N636" s="244" t="str">
        <f>$N$7</f>
        <v>SE</v>
      </c>
      <c r="O636" s="244" t="str">
        <f>$O$7</f>
        <v>Total</v>
      </c>
    </row>
    <row r="637" spans="1:15" s="212" customFormat="1" ht="12.95">
      <c r="A637" s="234"/>
      <c r="B637" s="215"/>
      <c r="C637" s="215"/>
      <c r="D637" s="215"/>
      <c r="E637" s="215"/>
      <c r="F637" s="215"/>
      <c r="G637" s="215"/>
      <c r="H637" s="215"/>
      <c r="I637" s="215"/>
      <c r="J637" s="215"/>
      <c r="K637" s="215"/>
      <c r="L637" s="215"/>
      <c r="M637" s="215"/>
      <c r="N637" s="215"/>
      <c r="O637" s="215"/>
    </row>
    <row r="638" spans="1:15" s="212" customFormat="1">
      <c r="A638" s="213" t="str">
        <f>name!E$4</f>
        <v>Managers, directors and senior officials</v>
      </c>
      <c r="B638" s="278">
        <v>37.658443832282067</v>
      </c>
      <c r="C638" s="278">
        <v>2.3238726467178621</v>
      </c>
      <c r="D638" s="278">
        <v>7.4524101714599267</v>
      </c>
      <c r="E638" s="278">
        <f>SUM(B638:D638)</f>
        <v>47.434726650459851</v>
      </c>
      <c r="F638" s="279"/>
      <c r="G638" s="278">
        <v>49.940256785713352</v>
      </c>
      <c r="H638" s="278">
        <v>5.642608592578557</v>
      </c>
      <c r="I638" s="278">
        <v>9.0181878307509589</v>
      </c>
      <c r="J638" s="278">
        <f>SUM(G638:I638)</f>
        <v>64.60105320904286</v>
      </c>
      <c r="K638" s="279"/>
      <c r="L638" s="278">
        <v>50.198220299828016</v>
      </c>
      <c r="M638" s="278">
        <v>5.9852050006091497</v>
      </c>
      <c r="N638" s="278">
        <v>8.3725786914708689</v>
      </c>
      <c r="O638" s="278">
        <f>SUM(L638:N638)</f>
        <v>64.556003991908028</v>
      </c>
    </row>
    <row r="639" spans="1:15" s="212" customFormat="1">
      <c r="A639" s="213" t="str">
        <f>name!E$5</f>
        <v>Professional occupations</v>
      </c>
      <c r="B639" s="278">
        <v>28.826077518244499</v>
      </c>
      <c r="C639" s="278">
        <v>1.5192043539968172</v>
      </c>
      <c r="D639" s="278">
        <v>2.235869761600993</v>
      </c>
      <c r="E639" s="278">
        <f t="shared" ref="E639:E646" si="280">SUM(B639:D639)</f>
        <v>32.58115163384231</v>
      </c>
      <c r="F639" s="279"/>
      <c r="G639" s="278">
        <v>44.446276323180783</v>
      </c>
      <c r="H639" s="278">
        <v>3.8371664390769311</v>
      </c>
      <c r="I639" s="278">
        <v>2.5063921362225519</v>
      </c>
      <c r="J639" s="278">
        <f t="shared" ref="J639:J641" si="281">SUM(G639:I639)</f>
        <v>50.789834898480265</v>
      </c>
      <c r="K639" s="279"/>
      <c r="L639" s="278">
        <v>64.040354230512207</v>
      </c>
      <c r="M639" s="278">
        <v>5.5394368853500673</v>
      </c>
      <c r="N639" s="278">
        <v>1.9126814095640079</v>
      </c>
      <c r="O639" s="278">
        <f t="shared" ref="O639:O646" si="282">SUM(L639:N639)</f>
        <v>71.49247252542628</v>
      </c>
    </row>
    <row r="640" spans="1:15" s="212" customFormat="1">
      <c r="A640" s="213" t="str">
        <f>name!E$6</f>
        <v>Associate professional occupations</v>
      </c>
      <c r="B640" s="278">
        <v>26.587607126191724</v>
      </c>
      <c r="C640" s="278">
        <v>2.1604786119790229</v>
      </c>
      <c r="D640" s="278">
        <v>2.1701415672855977</v>
      </c>
      <c r="E640" s="278">
        <f t="shared" si="280"/>
        <v>30.918227305456345</v>
      </c>
      <c r="F640" s="279"/>
      <c r="G640" s="278">
        <v>37.515742414890433</v>
      </c>
      <c r="H640" s="278">
        <v>4.6010480088346162</v>
      </c>
      <c r="I640" s="278">
        <v>2.2304440421758902</v>
      </c>
      <c r="J640" s="278">
        <f t="shared" si="281"/>
        <v>44.347234465900939</v>
      </c>
      <c r="K640" s="279"/>
      <c r="L640" s="278">
        <v>44.57419869509031</v>
      </c>
      <c r="M640" s="278">
        <v>5.3848573236305581</v>
      </c>
      <c r="N640" s="278">
        <v>2.3984134553284475</v>
      </c>
      <c r="O640" s="278">
        <f t="shared" si="282"/>
        <v>52.35746947404931</v>
      </c>
    </row>
    <row r="641" spans="1:15" s="212" customFormat="1">
      <c r="A641" s="213" t="str">
        <f>name!E$7</f>
        <v>Administrative and secretarial occupations</v>
      </c>
      <c r="B641" s="278">
        <v>34.420037062289104</v>
      </c>
      <c r="C641" s="278">
        <v>7.9678144879092834</v>
      </c>
      <c r="D641" s="278">
        <v>1.3999805384014785</v>
      </c>
      <c r="E641" s="278">
        <f t="shared" si="280"/>
        <v>43.78783208859987</v>
      </c>
      <c r="F641" s="279"/>
      <c r="G641" s="278">
        <v>45.180175123701922</v>
      </c>
      <c r="H641" s="278">
        <v>13.388102238599156</v>
      </c>
      <c r="I641" s="278">
        <v>1.1083743709775986</v>
      </c>
      <c r="J641" s="278">
        <f t="shared" si="281"/>
        <v>59.676651733278675</v>
      </c>
      <c r="K641" s="279"/>
      <c r="L641" s="278">
        <v>55.260665439198704</v>
      </c>
      <c r="M641" s="278">
        <v>13.024338474421828</v>
      </c>
      <c r="N641" s="278">
        <v>1.0347975624493007</v>
      </c>
      <c r="O641" s="278">
        <f t="shared" si="282"/>
        <v>69.319801476069827</v>
      </c>
    </row>
    <row r="642" spans="1:15" s="212" customFormat="1">
      <c r="A642" s="213" t="str">
        <f>name!E$8</f>
        <v>Skilled trades occupations</v>
      </c>
      <c r="B642" s="278">
        <v>11.48669549217734</v>
      </c>
      <c r="C642" s="278">
        <v>1.8435666074575361</v>
      </c>
      <c r="D642" s="278">
        <v>1.9953512379929237</v>
      </c>
      <c r="E642" s="278">
        <f t="shared" si="280"/>
        <v>15.3256133376278</v>
      </c>
      <c r="F642" s="279"/>
      <c r="G642" s="278">
        <v>11.150897266891544</v>
      </c>
      <c r="H642" s="278">
        <v>2.1826279218634865</v>
      </c>
      <c r="I642" s="278">
        <v>1.9193715789039292</v>
      </c>
      <c r="J642" s="278">
        <f>SUM(G642:I642)</f>
        <v>15.25289676765896</v>
      </c>
      <c r="K642" s="279"/>
      <c r="L642" s="278">
        <v>11.594086384203424</v>
      </c>
      <c r="M642" s="278">
        <v>3.322164839094087</v>
      </c>
      <c r="N642" s="278">
        <v>2.0054771284130055</v>
      </c>
      <c r="O642" s="278">
        <f t="shared" si="282"/>
        <v>16.921728351710517</v>
      </c>
    </row>
    <row r="643" spans="1:15" s="212" customFormat="1">
      <c r="A643" s="213" t="str">
        <f>name!E$9</f>
        <v>Caring, leisure and other service occupations</v>
      </c>
      <c r="B643" s="278">
        <v>24.312631259825473</v>
      </c>
      <c r="C643" s="278">
        <v>14.505302244576818</v>
      </c>
      <c r="D643" s="278">
        <v>5.7790125427775925</v>
      </c>
      <c r="E643" s="278">
        <f t="shared" si="280"/>
        <v>44.596946047179884</v>
      </c>
      <c r="F643" s="279"/>
      <c r="G643" s="278">
        <v>28.229148068911027</v>
      </c>
      <c r="H643" s="278">
        <v>18.89261123347346</v>
      </c>
      <c r="I643" s="278">
        <v>4.6060440359472405</v>
      </c>
      <c r="J643" s="278">
        <f t="shared" ref="J643:J646" si="283">SUM(G643:I643)</f>
        <v>51.727803338331732</v>
      </c>
      <c r="K643" s="279"/>
      <c r="L643" s="278">
        <v>22.88248525533789</v>
      </c>
      <c r="M643" s="278">
        <v>19.224122585161549</v>
      </c>
      <c r="N643" s="278">
        <v>4.9227384780958525</v>
      </c>
      <c r="O643" s="278">
        <f t="shared" si="282"/>
        <v>47.029346318595287</v>
      </c>
    </row>
    <row r="644" spans="1:15" s="212" customFormat="1">
      <c r="A644" s="213" t="str">
        <f>name!E$10</f>
        <v>Sales and customer service occupations</v>
      </c>
      <c r="B644" s="278">
        <v>16.905598740255545</v>
      </c>
      <c r="C644" s="278">
        <v>4.475282541124292</v>
      </c>
      <c r="D644" s="278">
        <v>1.8151432360721338</v>
      </c>
      <c r="E644" s="278">
        <f t="shared" si="280"/>
        <v>23.196024517451971</v>
      </c>
      <c r="F644" s="279"/>
      <c r="G644" s="278">
        <v>20.449924931785517</v>
      </c>
      <c r="H644" s="278">
        <v>7.5482266374655715</v>
      </c>
      <c r="I644" s="278">
        <v>1.7524628204144583</v>
      </c>
      <c r="J644" s="278">
        <f t="shared" si="283"/>
        <v>29.750614389665547</v>
      </c>
      <c r="K644" s="279"/>
      <c r="L644" s="278">
        <v>22.666402705531283</v>
      </c>
      <c r="M644" s="278">
        <v>9.7227059995435479</v>
      </c>
      <c r="N644" s="278">
        <v>1.4798493567996585</v>
      </c>
      <c r="O644" s="278">
        <f t="shared" si="282"/>
        <v>33.868958061874494</v>
      </c>
    </row>
    <row r="645" spans="1:15" s="212" customFormat="1">
      <c r="A645" s="213" t="str">
        <f>name!E$11</f>
        <v>Process, plant and machine operatives</v>
      </c>
      <c r="B645" s="278">
        <v>81.203282657151192</v>
      </c>
      <c r="C645" s="278">
        <v>8.1051064584517434</v>
      </c>
      <c r="D645" s="278">
        <v>2.5059593802319458</v>
      </c>
      <c r="E645" s="278">
        <f t="shared" si="280"/>
        <v>91.814348495834878</v>
      </c>
      <c r="F645" s="279"/>
      <c r="G645" s="278">
        <v>80.980550820932038</v>
      </c>
      <c r="H645" s="278">
        <v>14.258180215534425</v>
      </c>
      <c r="I645" s="278">
        <v>3.5400221618036576</v>
      </c>
      <c r="J645" s="278">
        <f t="shared" si="283"/>
        <v>98.778753198270124</v>
      </c>
      <c r="K645" s="279"/>
      <c r="L645" s="278">
        <v>76.028631129434388</v>
      </c>
      <c r="M645" s="278">
        <v>15.100103358193145</v>
      </c>
      <c r="N645" s="278">
        <v>3.3645571311509017</v>
      </c>
      <c r="O645" s="278">
        <f t="shared" si="282"/>
        <v>94.493291618778429</v>
      </c>
    </row>
    <row r="646" spans="1:15" s="212" customFormat="1">
      <c r="A646" s="213" t="str">
        <f>name!E$12</f>
        <v>Elementary occupations</v>
      </c>
      <c r="B646" s="278">
        <v>80.492626312935428</v>
      </c>
      <c r="C646" s="278">
        <v>10.851372048723686</v>
      </c>
      <c r="D646" s="278">
        <v>1.6101315647235956</v>
      </c>
      <c r="E646" s="278">
        <f t="shared" si="280"/>
        <v>92.95412992638272</v>
      </c>
      <c r="F646" s="279"/>
      <c r="G646" s="278">
        <v>73.552028263505107</v>
      </c>
      <c r="H646" s="278">
        <v>14.132428712882506</v>
      </c>
      <c r="I646" s="278">
        <v>1.3927010231523631</v>
      </c>
      <c r="J646" s="278">
        <f t="shared" si="283"/>
        <v>89.077157999539978</v>
      </c>
      <c r="K646" s="279"/>
      <c r="L646" s="278">
        <v>73.273955863436299</v>
      </c>
      <c r="M646" s="278">
        <v>19.85106553520631</v>
      </c>
      <c r="N646" s="278">
        <v>1.3869067876430177</v>
      </c>
      <c r="O646" s="278">
        <f t="shared" si="282"/>
        <v>94.51192818628563</v>
      </c>
    </row>
    <row r="647" spans="1:15" s="212" customFormat="1">
      <c r="A647" s="213"/>
      <c r="B647" s="278"/>
      <c r="C647" s="278"/>
      <c r="D647" s="278"/>
      <c r="E647" s="278"/>
      <c r="F647" s="279"/>
      <c r="G647" s="278"/>
      <c r="H647" s="278"/>
      <c r="I647" s="278"/>
      <c r="J647" s="278"/>
      <c r="K647" s="279"/>
      <c r="L647" s="278"/>
      <c r="M647" s="278"/>
      <c r="N647" s="278"/>
      <c r="O647" s="278"/>
    </row>
    <row r="648" spans="1:15" s="212" customFormat="1">
      <c r="A648" s="220" t="s">
        <v>119</v>
      </c>
      <c r="B648" s="282">
        <f>SUM(B638:B646)</f>
        <v>341.89300000135239</v>
      </c>
      <c r="C648" s="282">
        <f t="shared" ref="C648:E648" si="284">SUM(C638:C646)</f>
        <v>53.752000000937059</v>
      </c>
      <c r="D648" s="282">
        <f t="shared" si="284"/>
        <v>26.964000000546189</v>
      </c>
      <c r="E648" s="282">
        <f t="shared" si="284"/>
        <v>422.60900000283561</v>
      </c>
      <c r="F648" s="282"/>
      <c r="G648" s="282">
        <f t="shared" ref="G648:J648" si="285">SUM(G638:G646)</f>
        <v>391.44499999951177</v>
      </c>
      <c r="H648" s="282">
        <f t="shared" si="285"/>
        <v>84.483000000308706</v>
      </c>
      <c r="I648" s="282">
        <f t="shared" si="285"/>
        <v>28.074000000348651</v>
      </c>
      <c r="J648" s="282">
        <f t="shared" si="285"/>
        <v>504.00200000016906</v>
      </c>
      <c r="K648" s="282"/>
      <c r="L648" s="282">
        <f t="shared" ref="L648:O648" si="286">SUM(L638:L646)</f>
        <v>420.51900000257251</v>
      </c>
      <c r="M648" s="282">
        <f t="shared" si="286"/>
        <v>97.15400000121025</v>
      </c>
      <c r="N648" s="282">
        <f t="shared" si="286"/>
        <v>26.878000000915062</v>
      </c>
      <c r="O648" s="282">
        <f t="shared" si="286"/>
        <v>544.55100000469781</v>
      </c>
    </row>
    <row r="649" spans="1:15" s="212" customFormat="1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3"/>
      <c r="M649" s="213"/>
      <c r="N649" s="216"/>
    </row>
    <row r="650" spans="1:15" s="212" customFormat="1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13"/>
      <c r="M650" s="213"/>
      <c r="N650" s="216"/>
      <c r="O650" s="227" t="s">
        <v>114</v>
      </c>
    </row>
    <row r="651" spans="1:15" s="212" customFormat="1" ht="12.95">
      <c r="A651" s="218"/>
      <c r="B651" s="218"/>
      <c r="C651" s="218"/>
      <c r="D651" s="218"/>
      <c r="E651" s="218"/>
      <c r="F651" s="218"/>
      <c r="G651" s="218"/>
      <c r="H651" s="218"/>
      <c r="I651" s="218"/>
      <c r="J651" s="218"/>
      <c r="K651" s="218"/>
      <c r="L651" s="218"/>
      <c r="M651" s="218"/>
      <c r="N651" s="218"/>
      <c r="O651" s="218"/>
    </row>
    <row r="652" spans="1:15" s="212" customFormat="1" ht="12.95">
      <c r="A652" s="217" t="str">
        <f>name!A41</f>
        <v>Postal and courier</v>
      </c>
      <c r="B652" s="369">
        <f>$B$6</f>
        <v>2015</v>
      </c>
      <c r="C652" s="369"/>
      <c r="D652" s="369"/>
      <c r="E652" s="369"/>
      <c r="F652" s="239"/>
      <c r="G652" s="369">
        <f>$G$6</f>
        <v>2020</v>
      </c>
      <c r="H652" s="369"/>
      <c r="I652" s="369"/>
      <c r="J652" s="369"/>
      <c r="K652" s="239"/>
      <c r="L652" s="369">
        <f>$L$6</f>
        <v>2035</v>
      </c>
      <c r="M652" s="369"/>
      <c r="N652" s="369"/>
      <c r="O652" s="369"/>
    </row>
    <row r="653" spans="1:15" s="212" customFormat="1" ht="12.95">
      <c r="A653" s="230"/>
      <c r="B653" s="244" t="str">
        <f>$B$7</f>
        <v>FT</v>
      </c>
      <c r="C653" s="244" t="str">
        <f>$C$7</f>
        <v>PT</v>
      </c>
      <c r="D653" s="244" t="str">
        <f>$D$7</f>
        <v>SE</v>
      </c>
      <c r="E653" s="244" t="str">
        <f>$E$7</f>
        <v>Total</v>
      </c>
      <c r="F653" s="244"/>
      <c r="G653" s="244" t="str">
        <f>$G$7</f>
        <v>FT</v>
      </c>
      <c r="H653" s="244" t="str">
        <f>$H$7</f>
        <v>PT</v>
      </c>
      <c r="I653" s="244" t="str">
        <f>$I$7</f>
        <v>SE</v>
      </c>
      <c r="J653" s="244" t="str">
        <f>$J$7</f>
        <v>Total</v>
      </c>
      <c r="K653" s="244"/>
      <c r="L653" s="244" t="str">
        <f>$L$7</f>
        <v>FT</v>
      </c>
      <c r="M653" s="244" t="str">
        <f>$M$7</f>
        <v>PT</v>
      </c>
      <c r="N653" s="244" t="str">
        <f>$N$7</f>
        <v>SE</v>
      </c>
      <c r="O653" s="244" t="str">
        <f>$O$7</f>
        <v>Total</v>
      </c>
    </row>
    <row r="654" spans="1:15" s="212" customFormat="1" ht="12.95">
      <c r="A654" s="234"/>
      <c r="B654" s="215"/>
      <c r="C654" s="215"/>
      <c r="D654" s="215"/>
      <c r="E654" s="215"/>
      <c r="F654" s="215"/>
      <c r="G654" s="215"/>
      <c r="H654" s="215"/>
      <c r="I654" s="215"/>
      <c r="J654" s="215"/>
      <c r="K654" s="215"/>
      <c r="L654" s="215"/>
      <c r="M654" s="215"/>
      <c r="N654" s="215"/>
      <c r="O654" s="215"/>
    </row>
    <row r="655" spans="1:15" s="212" customFormat="1">
      <c r="A655" s="213" t="str">
        <f>name!E$4</f>
        <v>Managers, directors and senior officials</v>
      </c>
      <c r="B655" s="278">
        <v>15.980561836936552</v>
      </c>
      <c r="C655" s="278">
        <v>1.0365832790588656</v>
      </c>
      <c r="D655" s="278">
        <v>2.0201028451407677</v>
      </c>
      <c r="E655" s="278">
        <f>SUM(B655:D655)</f>
        <v>19.037247961136188</v>
      </c>
      <c r="F655" s="279"/>
      <c r="G655" s="278">
        <v>20.666376360376631</v>
      </c>
      <c r="H655" s="278">
        <v>2.2807067631492366</v>
      </c>
      <c r="I655" s="278">
        <v>3.644020635980906</v>
      </c>
      <c r="J655" s="278">
        <f>SUM(G655:I655)</f>
        <v>26.591103759506773</v>
      </c>
      <c r="K655" s="279"/>
      <c r="L655" s="278">
        <v>22.824526198334013</v>
      </c>
      <c r="M655" s="278">
        <v>3.2985923458699951</v>
      </c>
      <c r="N655" s="278">
        <v>3.2116669158378648</v>
      </c>
      <c r="O655" s="278">
        <f>SUM(L655:N655)</f>
        <v>29.334785460041871</v>
      </c>
    </row>
    <row r="656" spans="1:15" s="212" customFormat="1">
      <c r="A656" s="213" t="str">
        <f>name!E$5</f>
        <v>Professional occupations</v>
      </c>
      <c r="B656" s="278">
        <v>9.7881632552590965</v>
      </c>
      <c r="C656" s="278">
        <v>0.96187645072041994</v>
      </c>
      <c r="D656" s="278">
        <v>0.66723169252331738</v>
      </c>
      <c r="E656" s="278">
        <f t="shared" ref="E656:E663" si="287">SUM(B656:D656)</f>
        <v>11.417271398502834</v>
      </c>
      <c r="F656" s="279"/>
      <c r="G656" s="278">
        <v>14.713797139130429</v>
      </c>
      <c r="H656" s="278">
        <v>2.0613610249566539</v>
      </c>
      <c r="I656" s="278">
        <v>0.94530801494744043</v>
      </c>
      <c r="J656" s="278">
        <f t="shared" ref="J656:J658" si="288">SUM(G656:I656)</f>
        <v>17.720466179034524</v>
      </c>
      <c r="K656" s="279"/>
      <c r="L656" s="278">
        <v>19.322744104743293</v>
      </c>
      <c r="M656" s="278">
        <v>3.7004336712377728</v>
      </c>
      <c r="N656" s="278">
        <v>0.77195707621893961</v>
      </c>
      <c r="O656" s="278">
        <f t="shared" ref="O656:O663" si="289">SUM(L656:N656)</f>
        <v>23.795134852200004</v>
      </c>
    </row>
    <row r="657" spans="1:15" s="212" customFormat="1">
      <c r="A657" s="213" t="str">
        <f>name!E$6</f>
        <v>Associate professional occupations</v>
      </c>
      <c r="B657" s="278">
        <v>11.355757253098025</v>
      </c>
      <c r="C657" s="278">
        <v>1.7133328402289252</v>
      </c>
      <c r="D657" s="278">
        <v>0.4655748913779742</v>
      </c>
      <c r="E657" s="278">
        <f t="shared" si="287"/>
        <v>13.534664984704925</v>
      </c>
      <c r="F657" s="279"/>
      <c r="G657" s="278">
        <v>14.669356144665826</v>
      </c>
      <c r="H657" s="278">
        <v>2.7428088468648184</v>
      </c>
      <c r="I657" s="278">
        <v>0.67310431293554318</v>
      </c>
      <c r="J657" s="278">
        <f t="shared" si="288"/>
        <v>18.085269304466188</v>
      </c>
      <c r="K657" s="279"/>
      <c r="L657" s="278">
        <v>15.417502808749795</v>
      </c>
      <c r="M657" s="278">
        <v>3.9263165819094183</v>
      </c>
      <c r="N657" s="278">
        <v>0.6434043990859557</v>
      </c>
      <c r="O657" s="278">
        <f t="shared" si="289"/>
        <v>19.987223789745169</v>
      </c>
    </row>
    <row r="658" spans="1:15" s="212" customFormat="1">
      <c r="A658" s="213" t="str">
        <f>name!E$7</f>
        <v>Administrative and secretarial occupations</v>
      </c>
      <c r="B658" s="278">
        <v>24.330745727980162</v>
      </c>
      <c r="C658" s="278">
        <v>15.912604734825862</v>
      </c>
      <c r="D658" s="278">
        <v>0.30818270544816073</v>
      </c>
      <c r="E658" s="278">
        <f t="shared" si="287"/>
        <v>40.551533168254181</v>
      </c>
      <c r="F658" s="279"/>
      <c r="G658" s="278">
        <v>27.249633048400973</v>
      </c>
      <c r="H658" s="278">
        <v>21.059252373931979</v>
      </c>
      <c r="I658" s="278">
        <v>0.44534055011217738</v>
      </c>
      <c r="J658" s="278">
        <f t="shared" si="288"/>
        <v>48.754225972445127</v>
      </c>
      <c r="K658" s="279"/>
      <c r="L658" s="278">
        <v>32.916725461145511</v>
      </c>
      <c r="M658" s="278">
        <v>24.896273804423785</v>
      </c>
      <c r="N658" s="278">
        <v>0.41641764615169868</v>
      </c>
      <c r="O658" s="278">
        <f t="shared" si="289"/>
        <v>58.229416911720996</v>
      </c>
    </row>
    <row r="659" spans="1:15" s="212" customFormat="1">
      <c r="A659" s="213" t="str">
        <f>name!E$8</f>
        <v>Skilled trades occupations</v>
      </c>
      <c r="B659" s="278">
        <v>4.0575141233741023</v>
      </c>
      <c r="C659" s="278">
        <v>5.36203379348638</v>
      </c>
      <c r="D659" s="278">
        <v>3.0034024228007814</v>
      </c>
      <c r="E659" s="278">
        <f t="shared" si="287"/>
        <v>12.422950339661263</v>
      </c>
      <c r="F659" s="279"/>
      <c r="G659" s="278">
        <v>3.4814760182126667</v>
      </c>
      <c r="H659" s="278">
        <v>6.5992526409567658</v>
      </c>
      <c r="I659" s="278">
        <v>2.8101518584660012</v>
      </c>
      <c r="J659" s="278">
        <f>SUM(G659:I659)</f>
        <v>12.890880517635434</v>
      </c>
      <c r="K659" s="279"/>
      <c r="L659" s="278">
        <v>3.8859045312267138</v>
      </c>
      <c r="M659" s="278">
        <v>10.717899787909815</v>
      </c>
      <c r="N659" s="278">
        <v>2.4373022937588353</v>
      </c>
      <c r="O659" s="278">
        <f t="shared" si="289"/>
        <v>17.041106612895366</v>
      </c>
    </row>
    <row r="660" spans="1:15" s="212" customFormat="1">
      <c r="A660" s="213" t="str">
        <f>name!E$9</f>
        <v>Caring, leisure and other service occupations</v>
      </c>
      <c r="B660" s="278">
        <v>4.362758512763051</v>
      </c>
      <c r="C660" s="278">
        <v>2.5723445158571554</v>
      </c>
      <c r="D660" s="278">
        <v>0.28334266406954389</v>
      </c>
      <c r="E660" s="278">
        <f t="shared" si="287"/>
        <v>7.21844569268975</v>
      </c>
      <c r="F660" s="279"/>
      <c r="G660" s="278">
        <v>4.7515067710647934</v>
      </c>
      <c r="H660" s="278">
        <v>3.3804831258476757</v>
      </c>
      <c r="I660" s="278">
        <v>0.65416501309800978</v>
      </c>
      <c r="J660" s="278">
        <f t="shared" ref="J660:J663" si="290">SUM(G660:I660)</f>
        <v>8.7861549100104792</v>
      </c>
      <c r="K660" s="279"/>
      <c r="L660" s="278">
        <v>5.968104726943424</v>
      </c>
      <c r="M660" s="278">
        <v>3.7328794459843206</v>
      </c>
      <c r="N660" s="278">
        <v>0.74072406202969443</v>
      </c>
      <c r="O660" s="278">
        <f t="shared" si="289"/>
        <v>10.441708234957439</v>
      </c>
    </row>
    <row r="661" spans="1:15" s="212" customFormat="1">
      <c r="A661" s="213" t="str">
        <f>name!E$10</f>
        <v>Sales and customer service occupations</v>
      </c>
      <c r="B661" s="278">
        <v>9.3416578547270177</v>
      </c>
      <c r="C661" s="278">
        <v>4.9002725626016979</v>
      </c>
      <c r="D661" s="278">
        <v>0.30114825559774244</v>
      </c>
      <c r="E661" s="278">
        <f t="shared" si="287"/>
        <v>14.543078672926457</v>
      </c>
      <c r="F661" s="279"/>
      <c r="G661" s="278">
        <v>10.359587038490488</v>
      </c>
      <c r="H661" s="278">
        <v>6.4126717522701231</v>
      </c>
      <c r="I661" s="278">
        <v>0.33798159997687238</v>
      </c>
      <c r="J661" s="278">
        <f t="shared" si="290"/>
        <v>17.110240390737481</v>
      </c>
      <c r="K661" s="279"/>
      <c r="L661" s="278">
        <v>11.510296743318126</v>
      </c>
      <c r="M661" s="278">
        <v>9.0885050024613694</v>
      </c>
      <c r="N661" s="278">
        <v>0.28491330560199152</v>
      </c>
      <c r="O661" s="278">
        <f t="shared" si="289"/>
        <v>20.88371505138149</v>
      </c>
    </row>
    <row r="662" spans="1:15" s="212" customFormat="1">
      <c r="A662" s="213" t="str">
        <f>name!E$11</f>
        <v>Process, plant and machine operatives</v>
      </c>
      <c r="B662" s="278">
        <v>25.516273287375888</v>
      </c>
      <c r="C662" s="278">
        <v>2.7601254460949933</v>
      </c>
      <c r="D662" s="278">
        <v>4.212262717997505</v>
      </c>
      <c r="E662" s="278">
        <f t="shared" si="287"/>
        <v>32.488661451468388</v>
      </c>
      <c r="F662" s="279"/>
      <c r="G662" s="278">
        <v>23.282680839752203</v>
      </c>
      <c r="H662" s="278">
        <v>4.7893474640167186</v>
      </c>
      <c r="I662" s="278">
        <v>5.9594104742839029</v>
      </c>
      <c r="J662" s="278">
        <f t="shared" si="290"/>
        <v>34.031438778052824</v>
      </c>
      <c r="K662" s="279"/>
      <c r="L662" s="278">
        <v>23.073710037449406</v>
      </c>
      <c r="M662" s="278">
        <v>7.2152416593837367</v>
      </c>
      <c r="N662" s="278">
        <v>5.6127008511730336</v>
      </c>
      <c r="O662" s="278">
        <f t="shared" si="289"/>
        <v>35.901652548006176</v>
      </c>
    </row>
    <row r="663" spans="1:15" s="212" customFormat="1">
      <c r="A663" s="213" t="str">
        <f>name!E$12</f>
        <v>Elementary occupations</v>
      </c>
      <c r="B663" s="278">
        <v>69.438568149463393</v>
      </c>
      <c r="C663" s="278">
        <v>24.910826378423177</v>
      </c>
      <c r="D663" s="278">
        <v>2.3717518052126967</v>
      </c>
      <c r="E663" s="278">
        <f t="shared" si="287"/>
        <v>96.72114633309927</v>
      </c>
      <c r="F663" s="279"/>
      <c r="G663" s="278">
        <v>66.948586639039362</v>
      </c>
      <c r="H663" s="278">
        <v>29.515116009168572</v>
      </c>
      <c r="I663" s="278">
        <v>2.5555175402180126</v>
      </c>
      <c r="J663" s="278">
        <f t="shared" si="290"/>
        <v>99.019220188425948</v>
      </c>
      <c r="K663" s="279"/>
      <c r="L663" s="278">
        <v>66.763485389739074</v>
      </c>
      <c r="M663" s="278">
        <v>25.402857702664967</v>
      </c>
      <c r="N663" s="278">
        <v>2.5449134506307094</v>
      </c>
      <c r="O663" s="278">
        <f t="shared" si="289"/>
        <v>94.711256543034764</v>
      </c>
    </row>
    <row r="664" spans="1:15" s="212" customFormat="1">
      <c r="A664" s="213"/>
      <c r="B664" s="278"/>
      <c r="C664" s="278"/>
      <c r="D664" s="278"/>
      <c r="E664" s="278"/>
      <c r="F664" s="279"/>
      <c r="G664" s="278"/>
      <c r="H664" s="278"/>
      <c r="I664" s="278"/>
      <c r="J664" s="278"/>
      <c r="K664" s="279"/>
      <c r="L664" s="278"/>
      <c r="M664" s="278"/>
      <c r="N664" s="278"/>
      <c r="O664" s="278"/>
    </row>
    <row r="665" spans="1:15" s="212" customFormat="1">
      <c r="A665" s="220" t="s">
        <v>119</v>
      </c>
      <c r="B665" s="282">
        <f>SUM(B655:B663)</f>
        <v>174.17200000097728</v>
      </c>
      <c r="C665" s="282">
        <f t="shared" ref="C665:E665" si="291">SUM(C655:C663)</f>
        <v>60.130000001297475</v>
      </c>
      <c r="D665" s="282">
        <f t="shared" si="291"/>
        <v>13.633000000168488</v>
      </c>
      <c r="E665" s="282">
        <f t="shared" si="291"/>
        <v>247.93500000244325</v>
      </c>
      <c r="F665" s="282"/>
      <c r="G665" s="282">
        <f t="shared" ref="G665:J665" si="292">SUM(G655:G663)</f>
        <v>186.12299999913336</v>
      </c>
      <c r="H665" s="282">
        <f t="shared" si="292"/>
        <v>78.841000001162541</v>
      </c>
      <c r="I665" s="282">
        <f t="shared" si="292"/>
        <v>18.025000000018863</v>
      </c>
      <c r="J665" s="282">
        <f t="shared" si="292"/>
        <v>282.98900000031477</v>
      </c>
      <c r="K665" s="282"/>
      <c r="L665" s="282">
        <f t="shared" ref="L665:O665" si="293">SUM(L655:L663)</f>
        <v>201.68300000164936</v>
      </c>
      <c r="M665" s="282">
        <f t="shared" si="293"/>
        <v>91.979000001845179</v>
      </c>
      <c r="N665" s="282">
        <f t="shared" si="293"/>
        <v>16.66400000048872</v>
      </c>
      <c r="O665" s="282">
        <f t="shared" si="293"/>
        <v>310.32600000398332</v>
      </c>
    </row>
    <row r="666" spans="1:15" s="212" customFormat="1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3"/>
      <c r="M666" s="213"/>
      <c r="N666" s="216"/>
    </row>
    <row r="667" spans="1:15" s="212" customFormat="1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13"/>
      <c r="M667" s="213"/>
      <c r="N667" s="216"/>
      <c r="O667" s="227" t="s">
        <v>114</v>
      </c>
    </row>
    <row r="668" spans="1:15" s="212" customFormat="1" ht="12.95">
      <c r="A668" s="218"/>
      <c r="B668" s="218"/>
      <c r="C668" s="218"/>
      <c r="D668" s="218"/>
      <c r="E668" s="218"/>
      <c r="F668" s="218"/>
      <c r="G668" s="218"/>
      <c r="H668" s="218"/>
      <c r="I668" s="218"/>
      <c r="J668" s="218"/>
      <c r="K668" s="218"/>
      <c r="L668" s="218"/>
      <c r="M668" s="218"/>
      <c r="N668" s="218"/>
      <c r="O668" s="218"/>
    </row>
    <row r="669" spans="1:15" s="212" customFormat="1" ht="12.95">
      <c r="A669" s="217" t="str">
        <f>name!A42</f>
        <v>Accommodation</v>
      </c>
      <c r="B669" s="369">
        <f>$B$6</f>
        <v>2015</v>
      </c>
      <c r="C669" s="369"/>
      <c r="D669" s="369"/>
      <c r="E669" s="369"/>
      <c r="F669" s="239"/>
      <c r="G669" s="369">
        <f>$G$6</f>
        <v>2020</v>
      </c>
      <c r="H669" s="369"/>
      <c r="I669" s="369"/>
      <c r="J669" s="369"/>
      <c r="K669" s="239"/>
      <c r="L669" s="369">
        <f>$L$6</f>
        <v>2035</v>
      </c>
      <c r="M669" s="369"/>
      <c r="N669" s="369"/>
      <c r="O669" s="369"/>
    </row>
    <row r="670" spans="1:15" s="212" customFormat="1" ht="12.95">
      <c r="A670" s="230"/>
      <c r="B670" s="244" t="str">
        <f>$B$7</f>
        <v>FT</v>
      </c>
      <c r="C670" s="244" t="str">
        <f>$C$7</f>
        <v>PT</v>
      </c>
      <c r="D670" s="244" t="str">
        <f>$D$7</f>
        <v>SE</v>
      </c>
      <c r="E670" s="244" t="str">
        <f>$E$7</f>
        <v>Total</v>
      </c>
      <c r="F670" s="244"/>
      <c r="G670" s="244" t="str">
        <f>$G$7</f>
        <v>FT</v>
      </c>
      <c r="H670" s="244" t="str">
        <f>$H$7</f>
        <v>PT</v>
      </c>
      <c r="I670" s="244" t="str">
        <f>$I$7</f>
        <v>SE</v>
      </c>
      <c r="J670" s="244" t="str">
        <f>$J$7</f>
        <v>Total</v>
      </c>
      <c r="K670" s="244"/>
      <c r="L670" s="244" t="str">
        <f>$L$7</f>
        <v>FT</v>
      </c>
      <c r="M670" s="244" t="str">
        <f>$M$7</f>
        <v>PT</v>
      </c>
      <c r="N670" s="244" t="str">
        <f>$N$7</f>
        <v>SE</v>
      </c>
      <c r="O670" s="244" t="str">
        <f>$O$7</f>
        <v>Total</v>
      </c>
    </row>
    <row r="671" spans="1:15" s="212" customFormat="1" ht="12.95">
      <c r="A671" s="234"/>
      <c r="B671" s="215"/>
      <c r="C671" s="215"/>
      <c r="D671" s="215"/>
      <c r="E671" s="215"/>
      <c r="F671" s="215"/>
      <c r="G671" s="215"/>
      <c r="H671" s="215"/>
      <c r="I671" s="215"/>
      <c r="J671" s="215"/>
      <c r="K671" s="215"/>
      <c r="L671" s="215"/>
      <c r="M671" s="215"/>
      <c r="N671" s="215"/>
      <c r="O671" s="215"/>
    </row>
    <row r="672" spans="1:15" s="212" customFormat="1">
      <c r="A672" s="213" t="str">
        <f>name!E$4</f>
        <v>Managers, directors and senior officials</v>
      </c>
      <c r="B672" s="278">
        <v>34.506784820598561</v>
      </c>
      <c r="C672" s="278">
        <v>2.4530830586395496</v>
      </c>
      <c r="D672" s="278">
        <v>17.288400204292987</v>
      </c>
      <c r="E672" s="278">
        <f>SUM(B672:D672)</f>
        <v>54.248268083531102</v>
      </c>
      <c r="F672" s="279"/>
      <c r="G672" s="278">
        <v>35.322456939455336</v>
      </c>
      <c r="H672" s="278">
        <v>4.9563449267210844</v>
      </c>
      <c r="I672" s="278">
        <v>20.841939637450746</v>
      </c>
      <c r="J672" s="278">
        <f>SUM(G672:I672)</f>
        <v>61.120741503627173</v>
      </c>
      <c r="K672" s="279"/>
      <c r="L672" s="278">
        <v>40.302642863339877</v>
      </c>
      <c r="M672" s="278">
        <v>7.8176128773427411</v>
      </c>
      <c r="N672" s="278">
        <v>25.621613006658663</v>
      </c>
      <c r="O672" s="278">
        <f>SUM(L672:N672)</f>
        <v>73.741868747341272</v>
      </c>
    </row>
    <row r="673" spans="1:15" s="212" customFormat="1">
      <c r="A673" s="213" t="str">
        <f>name!E$5</f>
        <v>Professional occupations</v>
      </c>
      <c r="B673" s="278">
        <v>10.941582440482231</v>
      </c>
      <c r="C673" s="278">
        <v>0.95612722274133188</v>
      </c>
      <c r="D673" s="278">
        <v>1.1758661547194194</v>
      </c>
      <c r="E673" s="278">
        <f t="shared" ref="E673:E680" si="294">SUM(B673:D673)</f>
        <v>13.073575817942981</v>
      </c>
      <c r="F673" s="279"/>
      <c r="G673" s="278">
        <v>13.400749846081329</v>
      </c>
      <c r="H673" s="278">
        <v>2.0224797672303838</v>
      </c>
      <c r="I673" s="278">
        <v>1.4748267101006971</v>
      </c>
      <c r="J673" s="278">
        <f t="shared" ref="J673:J675" si="295">SUM(G673:I673)</f>
        <v>16.898056323412408</v>
      </c>
      <c r="K673" s="279"/>
      <c r="L673" s="278">
        <v>17.292544985696122</v>
      </c>
      <c r="M673" s="278">
        <v>3.6833949323774848</v>
      </c>
      <c r="N673" s="278">
        <v>1.1738379220274524</v>
      </c>
      <c r="O673" s="278">
        <f t="shared" ref="O673:O680" si="296">SUM(L673:N673)</f>
        <v>22.149777840101059</v>
      </c>
    </row>
    <row r="674" spans="1:15" s="212" customFormat="1">
      <c r="A674" s="213" t="str">
        <f>name!E$6</f>
        <v>Associate professional occupations</v>
      </c>
      <c r="B674" s="278">
        <v>9.5551656238477367</v>
      </c>
      <c r="C674" s="278">
        <v>2.6095121536305159</v>
      </c>
      <c r="D674" s="278">
        <v>0.81955493386909228</v>
      </c>
      <c r="E674" s="278">
        <f t="shared" si="294"/>
        <v>12.984232711347346</v>
      </c>
      <c r="F674" s="279"/>
      <c r="G674" s="278">
        <v>10.691868569979862</v>
      </c>
      <c r="H674" s="278">
        <v>4.141686290902582</v>
      </c>
      <c r="I674" s="278">
        <v>0.81364548406568016</v>
      </c>
      <c r="J674" s="278">
        <f t="shared" si="295"/>
        <v>15.647200344948125</v>
      </c>
      <c r="K674" s="279"/>
      <c r="L674" s="278">
        <v>13.820555270367054</v>
      </c>
      <c r="M674" s="278">
        <v>7.6059284354400969</v>
      </c>
      <c r="N674" s="278">
        <v>0.93863620398891245</v>
      </c>
      <c r="O674" s="278">
        <f t="shared" si="296"/>
        <v>22.365119909796064</v>
      </c>
    </row>
    <row r="675" spans="1:15" s="212" customFormat="1">
      <c r="A675" s="213" t="str">
        <f>name!E$7</f>
        <v>Administrative and secretarial occupations</v>
      </c>
      <c r="B675" s="278">
        <v>16.156968611369308</v>
      </c>
      <c r="C675" s="278">
        <v>4.3508268260697349</v>
      </c>
      <c r="D675" s="278">
        <v>0.37347547070041198</v>
      </c>
      <c r="E675" s="278">
        <f t="shared" si="294"/>
        <v>20.881270908139456</v>
      </c>
      <c r="F675" s="279"/>
      <c r="G675" s="278">
        <v>14.570604158219846</v>
      </c>
      <c r="H675" s="278">
        <v>6.3120139866435858</v>
      </c>
      <c r="I675" s="278">
        <v>0.39074719921962414</v>
      </c>
      <c r="J675" s="278">
        <f t="shared" si="295"/>
        <v>21.273365344083057</v>
      </c>
      <c r="K675" s="279"/>
      <c r="L675" s="278">
        <v>19.961575776692943</v>
      </c>
      <c r="M675" s="278">
        <v>11.9480712200113</v>
      </c>
      <c r="N675" s="278">
        <v>0.39694749354908859</v>
      </c>
      <c r="O675" s="278">
        <f t="shared" si="296"/>
        <v>32.306594490253332</v>
      </c>
    </row>
    <row r="676" spans="1:15" s="212" customFormat="1">
      <c r="A676" s="213" t="str">
        <f>name!E$8</f>
        <v>Skilled trades occupations</v>
      </c>
      <c r="B676" s="278">
        <v>47.430343122233303</v>
      </c>
      <c r="C676" s="278">
        <v>10.685966343496498</v>
      </c>
      <c r="D676" s="278">
        <v>5.4186067652314929</v>
      </c>
      <c r="E676" s="278">
        <f t="shared" si="294"/>
        <v>63.534916230961294</v>
      </c>
      <c r="F676" s="279"/>
      <c r="G676" s="278">
        <v>35.262511836611139</v>
      </c>
      <c r="H676" s="278">
        <v>11.857656999506482</v>
      </c>
      <c r="I676" s="278">
        <v>6.7888432939959218</v>
      </c>
      <c r="J676" s="278">
        <f>SUM(G676:I676)</f>
        <v>53.909012130113545</v>
      </c>
      <c r="K676" s="279"/>
      <c r="L676" s="278">
        <v>35.30953928503488</v>
      </c>
      <c r="M676" s="278">
        <v>15.043235601116232</v>
      </c>
      <c r="N676" s="278">
        <v>9.2271684378949708</v>
      </c>
      <c r="O676" s="278">
        <f t="shared" si="296"/>
        <v>59.579943324046084</v>
      </c>
    </row>
    <row r="677" spans="1:15" s="212" customFormat="1">
      <c r="A677" s="213" t="str">
        <f>name!E$9</f>
        <v>Caring, leisure and other service occupations</v>
      </c>
      <c r="B677" s="278">
        <v>11.792135423227156</v>
      </c>
      <c r="C677" s="278">
        <v>6.0129538627536041</v>
      </c>
      <c r="D677" s="278">
        <v>1.4714133803016771</v>
      </c>
      <c r="E677" s="278">
        <f t="shared" si="294"/>
        <v>19.276502666282436</v>
      </c>
      <c r="F677" s="279"/>
      <c r="G677" s="278">
        <v>9.8084285485562823</v>
      </c>
      <c r="H677" s="278">
        <v>7.2863150950592273</v>
      </c>
      <c r="I677" s="278">
        <v>1.9833121495591768</v>
      </c>
      <c r="J677" s="278">
        <f t="shared" ref="J677:J680" si="297">SUM(G677:I677)</f>
        <v>19.078055793174684</v>
      </c>
      <c r="K677" s="279"/>
      <c r="L677" s="278">
        <v>10.423067707764758</v>
      </c>
      <c r="M677" s="278">
        <v>10.204850807209223</v>
      </c>
      <c r="N677" s="278">
        <v>3.798877086171371</v>
      </c>
      <c r="O677" s="278">
        <f t="shared" si="296"/>
        <v>24.426795601145351</v>
      </c>
    </row>
    <row r="678" spans="1:15" s="212" customFormat="1">
      <c r="A678" s="213" t="str">
        <f>name!E$10</f>
        <v>Sales and customer service occupations</v>
      </c>
      <c r="B678" s="278">
        <v>10.172355782060135</v>
      </c>
      <c r="C678" s="278">
        <v>12.454662731157466</v>
      </c>
      <c r="D678" s="278">
        <v>6.4104996343962561</v>
      </c>
      <c r="E678" s="278">
        <f t="shared" si="294"/>
        <v>29.037518147613856</v>
      </c>
      <c r="F678" s="279"/>
      <c r="G678" s="278">
        <v>8.9259492385318477</v>
      </c>
      <c r="H678" s="278">
        <v>17.214264509302183</v>
      </c>
      <c r="I678" s="278">
        <v>5.4656001152527889</v>
      </c>
      <c r="J678" s="278">
        <f t="shared" si="297"/>
        <v>31.605813863086823</v>
      </c>
      <c r="K678" s="279"/>
      <c r="L678" s="278">
        <v>12.023750086199454</v>
      </c>
      <c r="M678" s="278">
        <v>33.810889585570209</v>
      </c>
      <c r="N678" s="278">
        <v>4.5371816626016486</v>
      </c>
      <c r="O678" s="278">
        <f t="shared" si="296"/>
        <v>50.371821334371312</v>
      </c>
    </row>
    <row r="679" spans="1:15" s="212" customFormat="1">
      <c r="A679" s="213" t="str">
        <f>name!E$11</f>
        <v>Process, plant and machine operatives</v>
      </c>
      <c r="B679" s="278">
        <v>5.335483297188186</v>
      </c>
      <c r="C679" s="278">
        <v>4.0179344903999752</v>
      </c>
      <c r="D679" s="278">
        <v>0.43998279044229216</v>
      </c>
      <c r="E679" s="278">
        <f t="shared" si="294"/>
        <v>9.7934005780304521</v>
      </c>
      <c r="F679" s="279"/>
      <c r="G679" s="278">
        <v>3.8564061620361167</v>
      </c>
      <c r="H679" s="278">
        <v>5.9546391675971062</v>
      </c>
      <c r="I679" s="278">
        <v>0.61887961164845406</v>
      </c>
      <c r="J679" s="278">
        <f t="shared" si="297"/>
        <v>10.429924941281678</v>
      </c>
      <c r="K679" s="279"/>
      <c r="L679" s="278">
        <v>3.7591275752222182</v>
      </c>
      <c r="M679" s="278">
        <v>12.281421457716375</v>
      </c>
      <c r="N679" s="278">
        <v>1.0096739693300762</v>
      </c>
      <c r="O679" s="278">
        <f t="shared" si="296"/>
        <v>17.05022300226867</v>
      </c>
    </row>
    <row r="680" spans="1:15" s="212" customFormat="1">
      <c r="A680" s="213" t="str">
        <f>name!E$12</f>
        <v>Elementary occupations</v>
      </c>
      <c r="B680" s="278">
        <v>66.982180879688158</v>
      </c>
      <c r="C680" s="278">
        <v>96.639933314831865</v>
      </c>
      <c r="D680" s="278">
        <v>1.6052006668281911</v>
      </c>
      <c r="E680" s="278">
        <f t="shared" si="294"/>
        <v>165.22731486134819</v>
      </c>
      <c r="F680" s="279"/>
      <c r="G680" s="278">
        <v>55.695024699429197</v>
      </c>
      <c r="H680" s="278">
        <v>112.92359925994852</v>
      </c>
      <c r="I680" s="278">
        <v>1.7202057984571917</v>
      </c>
      <c r="J680" s="278">
        <f t="shared" si="297"/>
        <v>170.3388297578349</v>
      </c>
      <c r="K680" s="279"/>
      <c r="L680" s="278">
        <v>66.976196451565841</v>
      </c>
      <c r="M680" s="278">
        <v>115.15359509080186</v>
      </c>
      <c r="N680" s="278">
        <v>2.9990642178249698</v>
      </c>
      <c r="O680" s="278">
        <f t="shared" si="296"/>
        <v>185.12885576019266</v>
      </c>
    </row>
    <row r="681" spans="1:15" s="212" customFormat="1">
      <c r="A681" s="213"/>
      <c r="B681" s="278"/>
      <c r="C681" s="278"/>
      <c r="D681" s="278"/>
      <c r="E681" s="278"/>
      <c r="F681" s="279"/>
      <c r="G681" s="278"/>
      <c r="H681" s="278"/>
      <c r="I681" s="278"/>
      <c r="J681" s="278"/>
      <c r="K681" s="279"/>
      <c r="L681" s="278"/>
      <c r="M681" s="278"/>
      <c r="N681" s="278"/>
      <c r="O681" s="278"/>
    </row>
    <row r="682" spans="1:15" s="212" customFormat="1">
      <c r="A682" s="220" t="s">
        <v>119</v>
      </c>
      <c r="B682" s="282">
        <f>SUM(B672:B680)</f>
        <v>212.87300000069473</v>
      </c>
      <c r="C682" s="282">
        <f t="shared" ref="C682:E682" si="298">SUM(C672:C680)</f>
        <v>140.18100000372053</v>
      </c>
      <c r="D682" s="282">
        <f t="shared" si="298"/>
        <v>35.003000000781824</v>
      </c>
      <c r="E682" s="282">
        <f t="shared" si="298"/>
        <v>388.0570000051971</v>
      </c>
      <c r="F682" s="282"/>
      <c r="G682" s="282">
        <f t="shared" ref="G682:J682" si="299">SUM(G672:G680)</f>
        <v>187.53399999890092</v>
      </c>
      <c r="H682" s="282">
        <f t="shared" si="299"/>
        <v>172.66900000291116</v>
      </c>
      <c r="I682" s="282">
        <f t="shared" si="299"/>
        <v>40.097999999750286</v>
      </c>
      <c r="J682" s="282">
        <f t="shared" si="299"/>
        <v>400.30100000156239</v>
      </c>
      <c r="K682" s="282"/>
      <c r="L682" s="282">
        <f t="shared" ref="L682:O682" si="300">SUM(L672:L680)</f>
        <v>219.86900000188314</v>
      </c>
      <c r="M682" s="282">
        <f t="shared" si="300"/>
        <v>217.54900000758551</v>
      </c>
      <c r="N682" s="282">
        <f t="shared" si="300"/>
        <v>49.703000000047155</v>
      </c>
      <c r="O682" s="282">
        <f t="shared" si="300"/>
        <v>487.12100000951585</v>
      </c>
    </row>
    <row r="683" spans="1:15" s="212" customFormat="1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3"/>
      <c r="M683" s="213"/>
      <c r="N683" s="216"/>
    </row>
    <row r="684" spans="1:15" s="212" customFormat="1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13"/>
      <c r="M684" s="213"/>
      <c r="N684" s="216"/>
      <c r="O684" s="227" t="s">
        <v>114</v>
      </c>
    </row>
    <row r="685" spans="1:15" s="212" customFormat="1" ht="12.95">
      <c r="A685" s="218"/>
      <c r="B685" s="218"/>
      <c r="C685" s="218"/>
      <c r="D685" s="218"/>
      <c r="E685" s="218"/>
      <c r="F685" s="218"/>
      <c r="G685" s="218"/>
      <c r="H685" s="218"/>
      <c r="I685" s="218"/>
      <c r="J685" s="218"/>
      <c r="K685" s="218"/>
      <c r="L685" s="218"/>
      <c r="M685" s="218"/>
      <c r="N685" s="218"/>
      <c r="O685" s="218"/>
    </row>
    <row r="686" spans="1:15" s="212" customFormat="1" ht="12.95">
      <c r="A686" s="217" t="str">
        <f>name!A43</f>
        <v>Food and beverage services</v>
      </c>
      <c r="B686" s="369">
        <f>$B$6</f>
        <v>2015</v>
      </c>
      <c r="C686" s="369"/>
      <c r="D686" s="369"/>
      <c r="E686" s="369"/>
      <c r="F686" s="239"/>
      <c r="G686" s="369">
        <f>$G$6</f>
        <v>2020</v>
      </c>
      <c r="H686" s="369"/>
      <c r="I686" s="369"/>
      <c r="J686" s="369"/>
      <c r="K686" s="239"/>
      <c r="L686" s="369">
        <f>$L$6</f>
        <v>2035</v>
      </c>
      <c r="M686" s="369"/>
      <c r="N686" s="369"/>
      <c r="O686" s="369"/>
    </row>
    <row r="687" spans="1:15" s="212" customFormat="1" ht="12.95">
      <c r="A687" s="230"/>
      <c r="B687" s="244" t="str">
        <f>$B$7</f>
        <v>FT</v>
      </c>
      <c r="C687" s="244" t="str">
        <f>$C$7</f>
        <v>PT</v>
      </c>
      <c r="D687" s="244" t="str">
        <f>$D$7</f>
        <v>SE</v>
      </c>
      <c r="E687" s="244" t="str">
        <f>$E$7</f>
        <v>Total</v>
      </c>
      <c r="F687" s="244"/>
      <c r="G687" s="244" t="str">
        <f>$G$7</f>
        <v>FT</v>
      </c>
      <c r="H687" s="244" t="str">
        <f>$H$7</f>
        <v>PT</v>
      </c>
      <c r="I687" s="244" t="str">
        <f>$I$7</f>
        <v>SE</v>
      </c>
      <c r="J687" s="244" t="str">
        <f>$J$7</f>
        <v>Total</v>
      </c>
      <c r="K687" s="244"/>
      <c r="L687" s="244" t="str">
        <f>$L$7</f>
        <v>FT</v>
      </c>
      <c r="M687" s="244" t="str">
        <f>$M$7</f>
        <v>PT</v>
      </c>
      <c r="N687" s="244" t="str">
        <f>$N$7</f>
        <v>SE</v>
      </c>
      <c r="O687" s="244" t="str">
        <f>$O$7</f>
        <v>Total</v>
      </c>
    </row>
    <row r="688" spans="1:15" s="212" customFormat="1" ht="12.95">
      <c r="A688" s="234"/>
      <c r="B688" s="215"/>
      <c r="C688" s="215"/>
      <c r="D688" s="215"/>
      <c r="E688" s="215"/>
      <c r="F688" s="215"/>
      <c r="G688" s="215"/>
      <c r="H688" s="215"/>
      <c r="I688" s="215"/>
      <c r="J688" s="215"/>
      <c r="K688" s="215"/>
      <c r="L688" s="215"/>
      <c r="M688" s="215"/>
      <c r="N688" s="215"/>
      <c r="O688" s="215"/>
    </row>
    <row r="689" spans="1:15" s="212" customFormat="1">
      <c r="A689" s="213" t="str">
        <f>name!E$4</f>
        <v>Managers, directors and senior officials</v>
      </c>
      <c r="B689" s="278">
        <v>95.251767713479438</v>
      </c>
      <c r="C689" s="278">
        <v>14.828382359139848</v>
      </c>
      <c r="D689" s="278">
        <v>40.556504825202161</v>
      </c>
      <c r="E689" s="278">
        <f>SUM(B689:D689)</f>
        <v>150.63665489782144</v>
      </c>
      <c r="F689" s="279"/>
      <c r="G689" s="278">
        <v>122.01259158460024</v>
      </c>
      <c r="H689" s="278">
        <v>27.301522169819265</v>
      </c>
      <c r="I689" s="278">
        <v>35.49366940034767</v>
      </c>
      <c r="J689" s="278">
        <f>SUM(G689:I689)</f>
        <v>184.80778315476718</v>
      </c>
      <c r="K689" s="279"/>
      <c r="L689" s="278">
        <v>148.04140537410805</v>
      </c>
      <c r="M689" s="278">
        <v>40.266151532086347</v>
      </c>
      <c r="N689" s="278">
        <v>42.923543400227267</v>
      </c>
      <c r="O689" s="278">
        <f>SUM(L689:N689)</f>
        <v>231.23110030642167</v>
      </c>
    </row>
    <row r="690" spans="1:15" s="212" customFormat="1">
      <c r="A690" s="213" t="str">
        <f>name!E$5</f>
        <v>Professional occupations</v>
      </c>
      <c r="B690" s="278">
        <v>29.748911855108677</v>
      </c>
      <c r="C690" s="278">
        <v>5.416221378476207</v>
      </c>
      <c r="D690" s="278">
        <v>3.0109070308407406</v>
      </c>
      <c r="E690" s="278">
        <f t="shared" ref="E690:E697" si="301">SUM(B690:D690)</f>
        <v>38.176040264425623</v>
      </c>
      <c r="F690" s="279"/>
      <c r="G690" s="278">
        <v>45.685747223464553</v>
      </c>
      <c r="H690" s="278">
        <v>10.849597548889076</v>
      </c>
      <c r="I690" s="278">
        <v>2.5792833635423915</v>
      </c>
      <c r="J690" s="278">
        <f t="shared" ref="J690:J692" si="302">SUM(G690:I690)</f>
        <v>59.11462813589602</v>
      </c>
      <c r="K690" s="279"/>
      <c r="L690" s="278">
        <v>62.511670172844212</v>
      </c>
      <c r="M690" s="278">
        <v>18.405225295876988</v>
      </c>
      <c r="N690" s="278">
        <v>2.0542305306939652</v>
      </c>
      <c r="O690" s="278">
        <f t="shared" ref="O690:O697" si="303">SUM(L690:N690)</f>
        <v>82.971125999415179</v>
      </c>
    </row>
    <row r="691" spans="1:15" s="212" customFormat="1">
      <c r="A691" s="213" t="str">
        <f>name!E$6</f>
        <v>Associate professional occupations</v>
      </c>
      <c r="B691" s="278">
        <v>25.974025657989753</v>
      </c>
      <c r="C691" s="278">
        <v>14.868477728538368</v>
      </c>
      <c r="D691" s="278">
        <v>1.8510866804039801</v>
      </c>
      <c r="E691" s="278">
        <f t="shared" si="301"/>
        <v>42.693590066932103</v>
      </c>
      <c r="F691" s="279"/>
      <c r="G691" s="278">
        <v>35.889167988937686</v>
      </c>
      <c r="H691" s="278">
        <v>21.875089287317863</v>
      </c>
      <c r="I691" s="278">
        <v>1.3897608626695324</v>
      </c>
      <c r="J691" s="278">
        <f t="shared" si="302"/>
        <v>59.154018138925082</v>
      </c>
      <c r="K691" s="279"/>
      <c r="L691" s="278">
        <v>48.624162273288484</v>
      </c>
      <c r="M691" s="278">
        <v>37.867037424996148</v>
      </c>
      <c r="N691" s="278">
        <v>1.5791657513443842</v>
      </c>
      <c r="O691" s="278">
        <f t="shared" si="303"/>
        <v>88.070365449629023</v>
      </c>
    </row>
    <row r="692" spans="1:15" s="212" customFormat="1">
      <c r="A692" s="213" t="str">
        <f>name!E$7</f>
        <v>Administrative and secretarial occupations</v>
      </c>
      <c r="B692" s="278">
        <v>41.974119647405693</v>
      </c>
      <c r="C692" s="278">
        <v>22.149419410520494</v>
      </c>
      <c r="D692" s="278">
        <v>0.83471019271935976</v>
      </c>
      <c r="E692" s="278">
        <f t="shared" si="301"/>
        <v>64.958249250645551</v>
      </c>
      <c r="F692" s="279"/>
      <c r="G692" s="278">
        <v>47.845245007568458</v>
      </c>
      <c r="H692" s="278">
        <v>30.182327727745825</v>
      </c>
      <c r="I692" s="278">
        <v>0.65777999828869593</v>
      </c>
      <c r="J692" s="278">
        <f t="shared" si="302"/>
        <v>78.685352733602983</v>
      </c>
      <c r="K692" s="279"/>
      <c r="L692" s="278">
        <v>68.937410365961014</v>
      </c>
      <c r="M692" s="278">
        <v>51.169794228607152</v>
      </c>
      <c r="N692" s="278">
        <v>0.70196521588299488</v>
      </c>
      <c r="O692" s="278">
        <f t="shared" si="303"/>
        <v>120.80916981045117</v>
      </c>
    </row>
    <row r="693" spans="1:15" s="212" customFormat="1">
      <c r="A693" s="213" t="str">
        <f>name!E$8</f>
        <v>Skilled trades occupations</v>
      </c>
      <c r="B693" s="278">
        <v>143.44810475629492</v>
      </c>
      <c r="C693" s="278">
        <v>69.517991164310459</v>
      </c>
      <c r="D693" s="278">
        <v>12.697891923605164</v>
      </c>
      <c r="E693" s="278">
        <f t="shared" si="301"/>
        <v>225.66398784421054</v>
      </c>
      <c r="F693" s="279"/>
      <c r="G693" s="278">
        <v>119.22901381003082</v>
      </c>
      <c r="H693" s="278">
        <v>69.012419982279383</v>
      </c>
      <c r="I693" s="278">
        <v>11.688754575125332</v>
      </c>
      <c r="J693" s="278">
        <f>SUM(G693:I693)</f>
        <v>199.93018836743553</v>
      </c>
      <c r="K693" s="279"/>
      <c r="L693" s="278">
        <v>124.84140831652743</v>
      </c>
      <c r="M693" s="278">
        <v>81.025227496267206</v>
      </c>
      <c r="N693" s="278">
        <v>15.350765808982876</v>
      </c>
      <c r="O693" s="278">
        <f t="shared" si="303"/>
        <v>221.21740162177753</v>
      </c>
    </row>
    <row r="694" spans="1:15" s="212" customFormat="1">
      <c r="A694" s="213" t="str">
        <f>name!E$9</f>
        <v>Caring, leisure and other service occupations</v>
      </c>
      <c r="B694" s="278">
        <v>30.610905098962775</v>
      </c>
      <c r="C694" s="278">
        <v>31.453864471033491</v>
      </c>
      <c r="D694" s="278">
        <v>2.7495105127075452</v>
      </c>
      <c r="E694" s="278">
        <f t="shared" si="301"/>
        <v>64.814280082703817</v>
      </c>
      <c r="F694" s="279"/>
      <c r="G694" s="278">
        <v>32.851697387012621</v>
      </c>
      <c r="H694" s="278">
        <v>36.509634549331722</v>
      </c>
      <c r="I694" s="278">
        <v>3.237117648573792</v>
      </c>
      <c r="J694" s="278">
        <f t="shared" ref="J694:J697" si="304">SUM(G694:I694)</f>
        <v>72.598449584918129</v>
      </c>
      <c r="K694" s="279"/>
      <c r="L694" s="278">
        <v>36.099574627526515</v>
      </c>
      <c r="M694" s="278">
        <v>48.477960136117602</v>
      </c>
      <c r="N694" s="278">
        <v>6.0343597406500189</v>
      </c>
      <c r="O694" s="278">
        <f t="shared" si="303"/>
        <v>90.611894504294128</v>
      </c>
    </row>
    <row r="695" spans="1:15" s="212" customFormat="1">
      <c r="A695" s="213" t="str">
        <f>name!E$10</f>
        <v>Sales and customer service occupations</v>
      </c>
      <c r="B695" s="278">
        <v>27.278938883578832</v>
      </c>
      <c r="C695" s="278">
        <v>70.277956205611858</v>
      </c>
      <c r="D695" s="278">
        <v>15.329088628042527</v>
      </c>
      <c r="E695" s="278">
        <f t="shared" si="301"/>
        <v>112.88598371723322</v>
      </c>
      <c r="F695" s="279"/>
      <c r="G695" s="278">
        <v>30.205471923226636</v>
      </c>
      <c r="H695" s="278">
        <v>90.280109016587446</v>
      </c>
      <c r="I695" s="278">
        <v>9.4949181253334736</v>
      </c>
      <c r="J695" s="278">
        <f t="shared" si="304"/>
        <v>129.98049906514757</v>
      </c>
      <c r="K695" s="279"/>
      <c r="L695" s="278">
        <v>42.976055856203992</v>
      </c>
      <c r="M695" s="278">
        <v>155.34647879914408</v>
      </c>
      <c r="N695" s="278">
        <v>7.8160437003307512</v>
      </c>
      <c r="O695" s="278">
        <f t="shared" si="303"/>
        <v>206.13857835567882</v>
      </c>
    </row>
    <row r="696" spans="1:15" s="212" customFormat="1">
      <c r="A696" s="213" t="str">
        <f>name!E$11</f>
        <v>Process, plant and machine operatives</v>
      </c>
      <c r="B696" s="278">
        <v>15.650250472644654</v>
      </c>
      <c r="C696" s="278">
        <v>28.308975356180024</v>
      </c>
      <c r="D696" s="278">
        <v>1.5410878503161207</v>
      </c>
      <c r="E696" s="278">
        <f t="shared" si="301"/>
        <v>45.500313679140802</v>
      </c>
      <c r="F696" s="279"/>
      <c r="G696" s="278">
        <v>13.732402365635917</v>
      </c>
      <c r="H696" s="278">
        <v>37.572424039898209</v>
      </c>
      <c r="I696" s="278">
        <v>1.1794973098551795</v>
      </c>
      <c r="J696" s="278">
        <f t="shared" si="304"/>
        <v>52.484323715389309</v>
      </c>
      <c r="K696" s="279"/>
      <c r="L696" s="278">
        <v>14.220680879979204</v>
      </c>
      <c r="M696" s="278">
        <v>70.823211443432839</v>
      </c>
      <c r="N696" s="278">
        <v>1.848355922401856</v>
      </c>
      <c r="O696" s="278">
        <f t="shared" si="303"/>
        <v>86.892248245813889</v>
      </c>
    </row>
    <row r="697" spans="1:15" s="212" customFormat="1">
      <c r="A697" s="213" t="str">
        <f>name!E$12</f>
        <v>Elementary occupations</v>
      </c>
      <c r="B697" s="278">
        <v>192.1999759171828</v>
      </c>
      <c r="C697" s="278">
        <v>552.69471194801019</v>
      </c>
      <c r="D697" s="278">
        <v>5.1182123579865344</v>
      </c>
      <c r="E697" s="278">
        <f t="shared" si="301"/>
        <v>750.01290022317949</v>
      </c>
      <c r="F697" s="279"/>
      <c r="G697" s="278">
        <v>192.0126627057798</v>
      </c>
      <c r="H697" s="278">
        <v>604.06587568920986</v>
      </c>
      <c r="I697" s="278">
        <v>2.9642187158718176</v>
      </c>
      <c r="J697" s="278">
        <f t="shared" si="304"/>
        <v>799.04275711086143</v>
      </c>
      <c r="K697" s="279"/>
      <c r="L697" s="278">
        <v>239.18363214009412</v>
      </c>
      <c r="M697" s="278">
        <v>582.22191367785967</v>
      </c>
      <c r="N697" s="278">
        <v>4.891569929687372</v>
      </c>
      <c r="O697" s="278">
        <f t="shared" si="303"/>
        <v>826.29711574764121</v>
      </c>
    </row>
    <row r="698" spans="1:15" s="212" customFormat="1">
      <c r="A698" s="213"/>
      <c r="B698" s="278"/>
      <c r="C698" s="278"/>
      <c r="D698" s="278"/>
      <c r="E698" s="278"/>
      <c r="F698" s="279"/>
      <c r="G698" s="278"/>
      <c r="H698" s="278"/>
      <c r="I698" s="278"/>
      <c r="J698" s="278"/>
      <c r="K698" s="279"/>
      <c r="L698" s="278"/>
      <c r="M698" s="278"/>
      <c r="N698" s="278"/>
      <c r="O698" s="278"/>
    </row>
    <row r="699" spans="1:15" s="212" customFormat="1">
      <c r="A699" s="220" t="s">
        <v>119</v>
      </c>
      <c r="B699" s="282">
        <f>SUM(B689:B697)</f>
        <v>602.13700000264748</v>
      </c>
      <c r="C699" s="282">
        <f t="shared" ref="C699:E699" si="305">SUM(C689:C697)</f>
        <v>809.5160000218209</v>
      </c>
      <c r="D699" s="282">
        <f t="shared" si="305"/>
        <v>83.689000001824127</v>
      </c>
      <c r="E699" s="282">
        <f t="shared" si="305"/>
        <v>1495.3420000262927</v>
      </c>
      <c r="F699" s="282"/>
      <c r="G699" s="282">
        <f t="shared" ref="G699:J699" si="306">SUM(G689:G697)</f>
        <v>639.46399999625669</v>
      </c>
      <c r="H699" s="282">
        <f t="shared" si="306"/>
        <v>927.64900001107867</v>
      </c>
      <c r="I699" s="282">
        <f t="shared" si="306"/>
        <v>68.684999999607896</v>
      </c>
      <c r="J699" s="282">
        <f t="shared" si="306"/>
        <v>1635.7980000069433</v>
      </c>
      <c r="K699" s="282"/>
      <c r="L699" s="282">
        <f t="shared" ref="L699:O699" si="307">SUM(L689:L697)</f>
        <v>785.43600000653305</v>
      </c>
      <c r="M699" s="282">
        <f t="shared" si="307"/>
        <v>1085.6030000343881</v>
      </c>
      <c r="N699" s="282">
        <f t="shared" si="307"/>
        <v>83.200000000201484</v>
      </c>
      <c r="O699" s="282">
        <f t="shared" si="307"/>
        <v>1954.2390000411224</v>
      </c>
    </row>
    <row r="700" spans="1:15" s="212" customFormat="1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3"/>
      <c r="M700" s="213"/>
      <c r="N700" s="216"/>
    </row>
    <row r="701" spans="1:15" s="212" customFormat="1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13"/>
      <c r="M701" s="213"/>
      <c r="N701" s="216"/>
      <c r="O701" s="227" t="s">
        <v>114</v>
      </c>
    </row>
    <row r="702" spans="1:15" s="212" customFormat="1" ht="12.95">
      <c r="A702" s="218"/>
      <c r="B702" s="218"/>
      <c r="C702" s="218"/>
      <c r="D702" s="218"/>
      <c r="E702" s="218"/>
      <c r="F702" s="218"/>
      <c r="G702" s="218"/>
      <c r="H702" s="218"/>
      <c r="I702" s="218"/>
      <c r="J702" s="218"/>
      <c r="K702" s="218"/>
      <c r="L702" s="218"/>
      <c r="M702" s="218"/>
      <c r="N702" s="218"/>
      <c r="O702" s="218"/>
    </row>
    <row r="703" spans="1:15" s="212" customFormat="1" ht="12.95">
      <c r="A703" s="217" t="str">
        <f>name!A44</f>
        <v>Publishing activities</v>
      </c>
      <c r="B703" s="369">
        <f>$B$6</f>
        <v>2015</v>
      </c>
      <c r="C703" s="369"/>
      <c r="D703" s="369"/>
      <c r="E703" s="369"/>
      <c r="F703" s="239"/>
      <c r="G703" s="369">
        <f>$G$6</f>
        <v>2020</v>
      </c>
      <c r="H703" s="369"/>
      <c r="I703" s="369"/>
      <c r="J703" s="369"/>
      <c r="K703" s="239"/>
      <c r="L703" s="369">
        <f>$L$6</f>
        <v>2035</v>
      </c>
      <c r="M703" s="369"/>
      <c r="N703" s="369"/>
      <c r="O703" s="369"/>
    </row>
    <row r="704" spans="1:15" s="212" customFormat="1" ht="12.95">
      <c r="A704" s="230"/>
      <c r="B704" s="244" t="str">
        <f>$B$7</f>
        <v>FT</v>
      </c>
      <c r="C704" s="244" t="str">
        <f>$C$7</f>
        <v>PT</v>
      </c>
      <c r="D704" s="244" t="str">
        <f>$D$7</f>
        <v>SE</v>
      </c>
      <c r="E704" s="244" t="str">
        <f>$E$7</f>
        <v>Total</v>
      </c>
      <c r="F704" s="244"/>
      <c r="G704" s="244" t="str">
        <f>$G$7</f>
        <v>FT</v>
      </c>
      <c r="H704" s="244" t="str">
        <f>$H$7</f>
        <v>PT</v>
      </c>
      <c r="I704" s="244" t="str">
        <f>$I$7</f>
        <v>SE</v>
      </c>
      <c r="J704" s="244" t="str">
        <f>$J$7</f>
        <v>Total</v>
      </c>
      <c r="K704" s="244"/>
      <c r="L704" s="244" t="str">
        <f>$L$7</f>
        <v>FT</v>
      </c>
      <c r="M704" s="244" t="str">
        <f>$M$7</f>
        <v>PT</v>
      </c>
      <c r="N704" s="244" t="str">
        <f>$N$7</f>
        <v>SE</v>
      </c>
      <c r="O704" s="244" t="str">
        <f>$O$7</f>
        <v>Total</v>
      </c>
    </row>
    <row r="705" spans="1:15" s="212" customFormat="1" ht="12.95">
      <c r="A705" s="234"/>
      <c r="B705" s="215"/>
      <c r="C705" s="215"/>
      <c r="D705" s="215"/>
      <c r="E705" s="215"/>
      <c r="F705" s="215"/>
      <c r="G705" s="215"/>
      <c r="H705" s="215"/>
      <c r="I705" s="215"/>
      <c r="J705" s="215"/>
      <c r="K705" s="215"/>
      <c r="L705" s="215"/>
      <c r="M705" s="215"/>
      <c r="N705" s="215"/>
      <c r="O705" s="215"/>
    </row>
    <row r="706" spans="1:15" s="212" customFormat="1">
      <c r="A706" s="213" t="str">
        <f>name!E$4</f>
        <v>Managers, directors and senior officials</v>
      </c>
      <c r="B706" s="278">
        <v>17.712925324523408</v>
      </c>
      <c r="C706" s="278">
        <v>2.4844220913098152</v>
      </c>
      <c r="D706" s="278">
        <v>7.7142390842225179</v>
      </c>
      <c r="E706" s="278">
        <f>SUM(B706:D706)</f>
        <v>27.911586500055741</v>
      </c>
      <c r="F706" s="279"/>
      <c r="G706" s="278">
        <v>16.992088941690266</v>
      </c>
      <c r="H706" s="278">
        <v>2.5522354789146799</v>
      </c>
      <c r="I706" s="278">
        <v>7.0120070841472035</v>
      </c>
      <c r="J706" s="278">
        <f>SUM(G706:I706)</f>
        <v>26.556331504752148</v>
      </c>
      <c r="K706" s="279"/>
      <c r="L706" s="278">
        <v>14.872900888704141</v>
      </c>
      <c r="M706" s="278">
        <v>2.789861217470845</v>
      </c>
      <c r="N706" s="278">
        <v>7.6394810628375582</v>
      </c>
      <c r="O706" s="278">
        <f>SUM(L706:N706)</f>
        <v>25.302243169012545</v>
      </c>
    </row>
    <row r="707" spans="1:15" s="212" customFormat="1">
      <c r="A707" s="213" t="str">
        <f>name!E$5</f>
        <v>Professional occupations</v>
      </c>
      <c r="B707" s="278">
        <v>28.783979320336393</v>
      </c>
      <c r="C707" s="278">
        <v>3.4217196326758694</v>
      </c>
      <c r="D707" s="278">
        <v>9.8453417949732209</v>
      </c>
      <c r="E707" s="278">
        <f t="shared" ref="E707:E714" si="308">SUM(B707:D707)</f>
        <v>42.051040747985482</v>
      </c>
      <c r="F707" s="279"/>
      <c r="G707" s="278">
        <v>31.904794611115008</v>
      </c>
      <c r="H707" s="278">
        <v>3.5200735353096095</v>
      </c>
      <c r="I707" s="278">
        <v>7.9267187898720168</v>
      </c>
      <c r="J707" s="278">
        <f t="shared" ref="J707:J709" si="309">SUM(G707:I707)</f>
        <v>43.351586936296634</v>
      </c>
      <c r="K707" s="279"/>
      <c r="L707" s="278">
        <v>40.097088731280877</v>
      </c>
      <c r="M707" s="278">
        <v>5.2335818119547133</v>
      </c>
      <c r="N707" s="278">
        <v>6.8870055733500903</v>
      </c>
      <c r="O707" s="278">
        <f t="shared" ref="O707:O714" si="310">SUM(L707:N707)</f>
        <v>52.217676116585679</v>
      </c>
    </row>
    <row r="708" spans="1:15" s="212" customFormat="1">
      <c r="A708" s="213" t="str">
        <f>name!E$6</f>
        <v>Associate professional occupations</v>
      </c>
      <c r="B708" s="278">
        <v>23.216590910062628</v>
      </c>
      <c r="C708" s="278">
        <v>5.2446270463749531</v>
      </c>
      <c r="D708" s="278">
        <v>16.707566049745466</v>
      </c>
      <c r="E708" s="278">
        <f t="shared" si="308"/>
        <v>45.168784006183046</v>
      </c>
      <c r="F708" s="279"/>
      <c r="G708" s="278">
        <v>23.721817188660069</v>
      </c>
      <c r="H708" s="278">
        <v>4.2019999562790131</v>
      </c>
      <c r="I708" s="278">
        <v>16.169431558913651</v>
      </c>
      <c r="J708" s="278">
        <f t="shared" si="309"/>
        <v>44.093248703852737</v>
      </c>
      <c r="K708" s="279"/>
      <c r="L708" s="278">
        <v>22.757082676357523</v>
      </c>
      <c r="M708" s="278">
        <v>3.8813739853972904</v>
      </c>
      <c r="N708" s="278">
        <v>15.44192518238091</v>
      </c>
      <c r="O708" s="278">
        <f t="shared" si="310"/>
        <v>42.080381844135722</v>
      </c>
    </row>
    <row r="709" spans="1:15" s="212" customFormat="1">
      <c r="A709" s="213" t="str">
        <f>name!E$7</f>
        <v>Administrative and secretarial occupations</v>
      </c>
      <c r="B709" s="278">
        <v>6.692598440121631</v>
      </c>
      <c r="C709" s="278">
        <v>4.4196128373162979</v>
      </c>
      <c r="D709" s="278">
        <v>1.2739475392366724</v>
      </c>
      <c r="E709" s="278">
        <f t="shared" si="308"/>
        <v>12.386158816674602</v>
      </c>
      <c r="F709" s="279"/>
      <c r="G709" s="278">
        <v>5.7008912580426259</v>
      </c>
      <c r="H709" s="278">
        <v>2.7631401014741641</v>
      </c>
      <c r="I709" s="278">
        <v>1.0800872920676488</v>
      </c>
      <c r="J709" s="278">
        <f t="shared" si="309"/>
        <v>9.544118651584439</v>
      </c>
      <c r="K709" s="279"/>
      <c r="L709" s="278">
        <v>4.5271301823412511</v>
      </c>
      <c r="M709" s="278">
        <v>1.9523725658993858</v>
      </c>
      <c r="N709" s="278">
        <v>0.76636949508162222</v>
      </c>
      <c r="O709" s="278">
        <f t="shared" si="310"/>
        <v>7.2458722433222587</v>
      </c>
    </row>
    <row r="710" spans="1:15" s="212" customFormat="1">
      <c r="A710" s="213" t="str">
        <f>name!E$8</f>
        <v>Skilled trades occupations</v>
      </c>
      <c r="B710" s="278">
        <v>8.0906733149105907</v>
      </c>
      <c r="C710" s="278">
        <v>1.6990740097628132</v>
      </c>
      <c r="D710" s="278">
        <v>3.9120792590333804</v>
      </c>
      <c r="E710" s="278">
        <f t="shared" si="308"/>
        <v>13.701826583706783</v>
      </c>
      <c r="F710" s="279"/>
      <c r="G710" s="278">
        <v>5.634276015875483</v>
      </c>
      <c r="H710" s="278">
        <v>0.76221445156828516</v>
      </c>
      <c r="I710" s="278">
        <v>2.6132352536756818</v>
      </c>
      <c r="J710" s="278">
        <f>SUM(G710:I710)</f>
        <v>9.0097257211194499</v>
      </c>
      <c r="K710" s="279"/>
      <c r="L710" s="278">
        <v>3.4592547065863419</v>
      </c>
      <c r="M710" s="278">
        <v>0.78827700415146496</v>
      </c>
      <c r="N710" s="278">
        <v>3.3292376156254524</v>
      </c>
      <c r="O710" s="278">
        <f t="shared" si="310"/>
        <v>7.5767693263632587</v>
      </c>
    </row>
    <row r="711" spans="1:15" s="212" customFormat="1">
      <c r="A711" s="213" t="str">
        <f>name!E$9</f>
        <v>Caring, leisure and other service occupations</v>
      </c>
      <c r="B711" s="278">
        <v>0.77934130633400078</v>
      </c>
      <c r="C711" s="278">
        <v>0.4442495159555126</v>
      </c>
      <c r="D711" s="278">
        <v>0.41639915751169304</v>
      </c>
      <c r="E711" s="278">
        <f t="shared" si="308"/>
        <v>1.6399899798012063</v>
      </c>
      <c r="F711" s="279"/>
      <c r="G711" s="278">
        <v>0.6709919854463563</v>
      </c>
      <c r="H711" s="278">
        <v>0.30641206612655847</v>
      </c>
      <c r="I711" s="278">
        <v>0.48225294752444336</v>
      </c>
      <c r="J711" s="278">
        <f t="shared" ref="J711:J714" si="311">SUM(G711:I711)</f>
        <v>1.459656999097358</v>
      </c>
      <c r="K711" s="279"/>
      <c r="L711" s="278">
        <v>0.81246360936620643</v>
      </c>
      <c r="M711" s="278">
        <v>0.28150537699410438</v>
      </c>
      <c r="N711" s="278">
        <v>0.46596294212883588</v>
      </c>
      <c r="O711" s="278">
        <f t="shared" si="310"/>
        <v>1.5599319284891466</v>
      </c>
    </row>
    <row r="712" spans="1:15" s="212" customFormat="1">
      <c r="A712" s="213" t="str">
        <f>name!E$10</f>
        <v>Sales and customer service occupations</v>
      </c>
      <c r="B712" s="278">
        <v>3.8226279959415517</v>
      </c>
      <c r="C712" s="278">
        <v>1.6042919070795087</v>
      </c>
      <c r="D712" s="278">
        <v>1.4845211142649808</v>
      </c>
      <c r="E712" s="278">
        <f t="shared" si="308"/>
        <v>6.911441017286041</v>
      </c>
      <c r="F712" s="279"/>
      <c r="G712" s="278">
        <v>3.0984611380972047</v>
      </c>
      <c r="H712" s="278">
        <v>1.0050565477499573</v>
      </c>
      <c r="I712" s="278">
        <v>0.98341168300461146</v>
      </c>
      <c r="J712" s="278">
        <f t="shared" si="311"/>
        <v>5.0869293688517736</v>
      </c>
      <c r="K712" s="279"/>
      <c r="L712" s="278">
        <v>2.8666864735386199</v>
      </c>
      <c r="M712" s="278">
        <v>1.002428416228053</v>
      </c>
      <c r="N712" s="278">
        <v>0.76206327983314304</v>
      </c>
      <c r="O712" s="278">
        <f t="shared" si="310"/>
        <v>4.6311781695998162</v>
      </c>
    </row>
    <row r="713" spans="1:15" s="212" customFormat="1">
      <c r="A713" s="213" t="str">
        <f>name!E$11</f>
        <v>Process, plant and machine operatives</v>
      </c>
      <c r="B713" s="278">
        <v>1.8034030701537644</v>
      </c>
      <c r="C713" s="278">
        <v>1.4927808249447609</v>
      </c>
      <c r="D713" s="278">
        <v>0.98819629543163789</v>
      </c>
      <c r="E713" s="278">
        <f t="shared" si="308"/>
        <v>4.2843801905301628</v>
      </c>
      <c r="F713" s="279"/>
      <c r="G713" s="278">
        <v>1.3039443901264534</v>
      </c>
      <c r="H713" s="278">
        <v>0.92986062159522409</v>
      </c>
      <c r="I713" s="278">
        <v>1.0179851606627437</v>
      </c>
      <c r="J713" s="278">
        <f t="shared" si="311"/>
        <v>3.2517901723844211</v>
      </c>
      <c r="K713" s="279"/>
      <c r="L713" s="278">
        <v>0.86952134234211165</v>
      </c>
      <c r="M713" s="278">
        <v>0.8854660406512076</v>
      </c>
      <c r="N713" s="278">
        <v>1.1763296135718628</v>
      </c>
      <c r="O713" s="278">
        <f t="shared" si="310"/>
        <v>2.9313169965651822</v>
      </c>
    </row>
    <row r="714" spans="1:15" s="212" customFormat="1">
      <c r="A714" s="213" t="str">
        <f>name!E$12</f>
        <v>Elementary occupations</v>
      </c>
      <c r="B714" s="278">
        <v>3.4738603164867388</v>
      </c>
      <c r="C714" s="278">
        <v>4.1742221346144941</v>
      </c>
      <c r="D714" s="278">
        <v>1.3527097060756181</v>
      </c>
      <c r="E714" s="278">
        <f t="shared" si="308"/>
        <v>9.0007921571768517</v>
      </c>
      <c r="F714" s="279"/>
      <c r="G714" s="278">
        <v>2.30073447070574</v>
      </c>
      <c r="H714" s="278">
        <v>2.0080072409726011</v>
      </c>
      <c r="I714" s="278">
        <v>1.5888702302755713</v>
      </c>
      <c r="J714" s="278">
        <f t="shared" si="311"/>
        <v>5.8976119419539117</v>
      </c>
      <c r="K714" s="279"/>
      <c r="L714" s="278">
        <v>1.9718713905592935</v>
      </c>
      <c r="M714" s="278">
        <v>2.3191335812591278</v>
      </c>
      <c r="N714" s="278">
        <v>1.5276252363092662</v>
      </c>
      <c r="O714" s="278">
        <f t="shared" si="310"/>
        <v>5.8186302081276873</v>
      </c>
    </row>
    <row r="715" spans="1:15" s="212" customFormat="1">
      <c r="A715" s="213"/>
      <c r="B715" s="278"/>
      <c r="C715" s="278"/>
      <c r="D715" s="278"/>
      <c r="E715" s="278"/>
      <c r="F715" s="279"/>
      <c r="G715" s="278"/>
      <c r="H715" s="278"/>
      <c r="I715" s="278"/>
      <c r="J715" s="278"/>
      <c r="K715" s="279"/>
      <c r="L715" s="278"/>
      <c r="M715" s="278"/>
      <c r="N715" s="278"/>
      <c r="O715" s="278"/>
    </row>
    <row r="716" spans="1:15" s="212" customFormat="1">
      <c r="A716" s="220" t="s">
        <v>119</v>
      </c>
      <c r="B716" s="282">
        <f>SUM(B706:B714)</f>
        <v>94.375999998870682</v>
      </c>
      <c r="C716" s="282">
        <f t="shared" ref="C716:E716" si="312">SUM(C706:C714)</f>
        <v>24.985000000034027</v>
      </c>
      <c r="D716" s="282">
        <f t="shared" si="312"/>
        <v>43.695000000495178</v>
      </c>
      <c r="E716" s="282">
        <f t="shared" si="312"/>
        <v>163.05599999939992</v>
      </c>
      <c r="F716" s="282"/>
      <c r="G716" s="282">
        <f t="shared" ref="G716:J716" si="313">SUM(G706:G714)</f>
        <v>91.3279999997592</v>
      </c>
      <c r="H716" s="282">
        <f t="shared" si="313"/>
        <v>18.048999999990095</v>
      </c>
      <c r="I716" s="282">
        <f t="shared" si="313"/>
        <v>38.874000000143575</v>
      </c>
      <c r="J716" s="282">
        <f t="shared" si="313"/>
        <v>148.25099999989288</v>
      </c>
      <c r="K716" s="282"/>
      <c r="L716" s="282">
        <f t="shared" ref="L716:O716" si="314">SUM(L706:L714)</f>
        <v>92.234000001076367</v>
      </c>
      <c r="M716" s="282">
        <f t="shared" si="314"/>
        <v>19.134000000006193</v>
      </c>
      <c r="N716" s="282">
        <f t="shared" si="314"/>
        <v>37.996000001118745</v>
      </c>
      <c r="O716" s="282">
        <f t="shared" si="314"/>
        <v>149.36400000220129</v>
      </c>
    </row>
    <row r="717" spans="1:15" s="212" customFormat="1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3"/>
      <c r="M717" s="213"/>
      <c r="N717" s="216"/>
    </row>
    <row r="718" spans="1:15" s="212" customFormat="1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13"/>
      <c r="M718" s="213"/>
      <c r="N718" s="216"/>
      <c r="O718" s="227" t="s">
        <v>114</v>
      </c>
    </row>
    <row r="719" spans="1:15" s="212" customFormat="1" ht="12.95">
      <c r="A719" s="218"/>
      <c r="B719" s="218"/>
      <c r="C719" s="218"/>
      <c r="D719" s="218"/>
      <c r="E719" s="218"/>
      <c r="F719" s="218"/>
      <c r="G719" s="218"/>
      <c r="H719" s="218"/>
      <c r="I719" s="218"/>
      <c r="J719" s="218"/>
      <c r="K719" s="218"/>
      <c r="L719" s="218"/>
      <c r="M719" s="218"/>
      <c r="N719" s="218"/>
      <c r="O719" s="218"/>
    </row>
    <row r="720" spans="1:15" s="212" customFormat="1" ht="12.95">
      <c r="A720" s="217" t="str">
        <f>name!A45</f>
        <v>Film and music</v>
      </c>
      <c r="B720" s="369">
        <f>$B$6</f>
        <v>2015</v>
      </c>
      <c r="C720" s="369"/>
      <c r="D720" s="369"/>
      <c r="E720" s="369"/>
      <c r="F720" s="239"/>
      <c r="G720" s="369">
        <f>$G$6</f>
        <v>2020</v>
      </c>
      <c r="H720" s="369"/>
      <c r="I720" s="369"/>
      <c r="J720" s="369"/>
      <c r="K720" s="239"/>
      <c r="L720" s="369">
        <f>$L$6</f>
        <v>2035</v>
      </c>
      <c r="M720" s="369"/>
      <c r="N720" s="369"/>
      <c r="O720" s="369"/>
    </row>
    <row r="721" spans="1:15" s="212" customFormat="1" ht="12.95">
      <c r="A721" s="230"/>
      <c r="B721" s="244" t="str">
        <f>$B$7</f>
        <v>FT</v>
      </c>
      <c r="C721" s="244" t="str">
        <f>$C$7</f>
        <v>PT</v>
      </c>
      <c r="D721" s="244" t="str">
        <f>$D$7</f>
        <v>SE</v>
      </c>
      <c r="E721" s="244" t="str">
        <f>$E$7</f>
        <v>Total</v>
      </c>
      <c r="F721" s="244"/>
      <c r="G721" s="244" t="str">
        <f>$G$7</f>
        <v>FT</v>
      </c>
      <c r="H721" s="244" t="str">
        <f>$H$7</f>
        <v>PT</v>
      </c>
      <c r="I721" s="244" t="str">
        <f>$I$7</f>
        <v>SE</v>
      </c>
      <c r="J721" s="244" t="str">
        <f>$J$7</f>
        <v>Total</v>
      </c>
      <c r="K721" s="244"/>
      <c r="L721" s="244" t="str">
        <f>$L$7</f>
        <v>FT</v>
      </c>
      <c r="M721" s="244" t="str">
        <f>$M$7</f>
        <v>PT</v>
      </c>
      <c r="N721" s="244" t="str">
        <f>$N$7</f>
        <v>SE</v>
      </c>
      <c r="O721" s="244" t="str">
        <f>$O$7</f>
        <v>Total</v>
      </c>
    </row>
    <row r="722" spans="1:15" s="212" customFormat="1" ht="12.95">
      <c r="A722" s="234"/>
      <c r="B722" s="215"/>
      <c r="C722" s="215"/>
      <c r="D722" s="215"/>
      <c r="E722" s="215"/>
      <c r="F722" s="215"/>
      <c r="G722" s="215"/>
      <c r="H722" s="215"/>
      <c r="I722" s="215"/>
      <c r="J722" s="215"/>
      <c r="K722" s="215"/>
      <c r="L722" s="215"/>
      <c r="M722" s="215"/>
      <c r="N722" s="215"/>
      <c r="O722" s="215"/>
    </row>
    <row r="723" spans="1:15" s="212" customFormat="1">
      <c r="A723" s="213" t="str">
        <f>name!E$4</f>
        <v>Managers, directors and senior officials</v>
      </c>
      <c r="B723" s="278">
        <v>12.641064167869883</v>
      </c>
      <c r="C723" s="278">
        <v>1.3938656827180049</v>
      </c>
      <c r="D723" s="278">
        <v>2.3709025262039041</v>
      </c>
      <c r="E723" s="278">
        <f>SUM(B723:D723)</f>
        <v>16.405832376791793</v>
      </c>
      <c r="F723" s="279"/>
      <c r="G723" s="278">
        <v>13.418014728990128</v>
      </c>
      <c r="H723" s="278">
        <v>2.4559518840411241</v>
      </c>
      <c r="I723" s="278">
        <v>2.2735179627084872</v>
      </c>
      <c r="J723" s="278">
        <f>SUM(G723:I723)</f>
        <v>18.147484575739739</v>
      </c>
      <c r="K723" s="279"/>
      <c r="L723" s="278">
        <v>13.172368791519606</v>
      </c>
      <c r="M723" s="278">
        <v>3.1071065787747782</v>
      </c>
      <c r="N723" s="278">
        <v>2.5860907331612362</v>
      </c>
      <c r="O723" s="278">
        <f>SUM(L723:N723)</f>
        <v>18.86556610345562</v>
      </c>
    </row>
    <row r="724" spans="1:15" s="212" customFormat="1">
      <c r="A724" s="213" t="str">
        <f>name!E$5</f>
        <v>Professional occupations</v>
      </c>
      <c r="B724" s="278">
        <v>17.614026078633842</v>
      </c>
      <c r="C724" s="278">
        <v>2.0102828155655872</v>
      </c>
      <c r="D724" s="278">
        <v>5.9637668746722694</v>
      </c>
      <c r="E724" s="278">
        <f t="shared" ref="E724:E731" si="315">SUM(B724:D724)</f>
        <v>25.5880757688717</v>
      </c>
      <c r="F724" s="279"/>
      <c r="G724" s="278">
        <v>23.206510923273818</v>
      </c>
      <c r="H724" s="278">
        <v>3.8610148610633703</v>
      </c>
      <c r="I724" s="278">
        <v>5.6933107919842945</v>
      </c>
      <c r="J724" s="278">
        <f t="shared" ref="J724:J726" si="316">SUM(G724:I724)</f>
        <v>32.760836576321481</v>
      </c>
      <c r="K724" s="279"/>
      <c r="L724" s="278">
        <v>27.704593331006322</v>
      </c>
      <c r="M724" s="278">
        <v>5.6375219662182134</v>
      </c>
      <c r="N724" s="278">
        <v>5.5563492187527608</v>
      </c>
      <c r="O724" s="278">
        <f t="shared" ref="O724:O731" si="317">SUM(L724:N724)</f>
        <v>38.898464515977295</v>
      </c>
    </row>
    <row r="725" spans="1:15" s="212" customFormat="1">
      <c r="A725" s="213" t="str">
        <f>name!E$6</f>
        <v>Associate professional occupations</v>
      </c>
      <c r="B725" s="278">
        <v>20.453242059978876</v>
      </c>
      <c r="C725" s="278">
        <v>3.3345708447060387</v>
      </c>
      <c r="D725" s="278">
        <v>17.361660548176328</v>
      </c>
      <c r="E725" s="278">
        <f t="shared" si="315"/>
        <v>41.149473452861244</v>
      </c>
      <c r="F725" s="279"/>
      <c r="G725" s="278">
        <v>24.200842200933238</v>
      </c>
      <c r="H725" s="278">
        <v>5.0183668678289015</v>
      </c>
      <c r="I725" s="278">
        <v>16.972865795249685</v>
      </c>
      <c r="J725" s="278">
        <f t="shared" si="316"/>
        <v>46.192074864011829</v>
      </c>
      <c r="K725" s="279"/>
      <c r="L725" s="278">
        <v>24.35146590967901</v>
      </c>
      <c r="M725" s="278">
        <v>5.3165484891724146</v>
      </c>
      <c r="N725" s="278">
        <v>17.159451429219924</v>
      </c>
      <c r="O725" s="278">
        <f t="shared" si="317"/>
        <v>46.827465828071354</v>
      </c>
    </row>
    <row r="726" spans="1:15" s="212" customFormat="1">
      <c r="A726" s="213" t="str">
        <f>name!E$7</f>
        <v>Administrative and secretarial occupations</v>
      </c>
      <c r="B726" s="278">
        <v>9.0596840581464413</v>
      </c>
      <c r="C726" s="278">
        <v>4.4243845094925254</v>
      </c>
      <c r="D726" s="278">
        <v>0.52022518452126332</v>
      </c>
      <c r="E726" s="278">
        <f t="shared" si="315"/>
        <v>14.004293752160232</v>
      </c>
      <c r="F726" s="279"/>
      <c r="G726" s="278">
        <v>9.6563621142263738</v>
      </c>
      <c r="H726" s="278">
        <v>6.1987163940362358</v>
      </c>
      <c r="I726" s="278">
        <v>0.40736407951397602</v>
      </c>
      <c r="J726" s="278">
        <f t="shared" si="316"/>
        <v>16.262442587776587</v>
      </c>
      <c r="K726" s="279"/>
      <c r="L726" s="278">
        <v>8.588211948536502</v>
      </c>
      <c r="M726" s="278">
        <v>5.7947384110909672</v>
      </c>
      <c r="N726" s="278">
        <v>0.42552283811877861</v>
      </c>
      <c r="O726" s="278">
        <f t="shared" si="317"/>
        <v>14.808473197746247</v>
      </c>
    </row>
    <row r="727" spans="1:15" s="212" customFormat="1">
      <c r="A727" s="213" t="str">
        <f>name!E$8</f>
        <v>Skilled trades occupations</v>
      </c>
      <c r="B727" s="278">
        <v>4.894466769575323</v>
      </c>
      <c r="C727" s="278">
        <v>0.81731234642894379</v>
      </c>
      <c r="D727" s="278">
        <v>2.4304562221761619</v>
      </c>
      <c r="E727" s="278">
        <f t="shared" si="315"/>
        <v>8.1422353381804289</v>
      </c>
      <c r="F727" s="279"/>
      <c r="G727" s="278">
        <v>4.5333231383697852</v>
      </c>
      <c r="H727" s="278">
        <v>0.93952610056527996</v>
      </c>
      <c r="I727" s="278">
        <v>2.0559678991039276</v>
      </c>
      <c r="J727" s="278">
        <f>SUM(G727:I727)</f>
        <v>7.5288171380389937</v>
      </c>
      <c r="K727" s="279"/>
      <c r="L727" s="278">
        <v>3.9291451463311504</v>
      </c>
      <c r="M727" s="278">
        <v>1.6221568838932581</v>
      </c>
      <c r="N727" s="278">
        <v>2.2132219428986315</v>
      </c>
      <c r="O727" s="278">
        <f t="shared" si="317"/>
        <v>7.7645239731230404</v>
      </c>
    </row>
    <row r="728" spans="1:15" s="212" customFormat="1">
      <c r="A728" s="213" t="str">
        <f>name!E$9</f>
        <v>Caring, leisure and other service occupations</v>
      </c>
      <c r="B728" s="278">
        <v>4.5603322032216678</v>
      </c>
      <c r="C728" s="278">
        <v>2.7383195865454626</v>
      </c>
      <c r="D728" s="278">
        <v>0.68280373734194133</v>
      </c>
      <c r="E728" s="278">
        <f t="shared" si="315"/>
        <v>7.9814555271090715</v>
      </c>
      <c r="F728" s="279"/>
      <c r="G728" s="278">
        <v>4.3697051380783032</v>
      </c>
      <c r="H728" s="278">
        <v>3.5016177576897074</v>
      </c>
      <c r="I728" s="278">
        <v>0.71208100308056521</v>
      </c>
      <c r="J728" s="278">
        <f t="shared" ref="J728:J731" si="318">SUM(G728:I728)</f>
        <v>8.5834038988485748</v>
      </c>
      <c r="K728" s="279"/>
      <c r="L728" s="278">
        <v>4.0833438971397618</v>
      </c>
      <c r="M728" s="278">
        <v>3.1504217399646954</v>
      </c>
      <c r="N728" s="278">
        <v>0.85569446788460846</v>
      </c>
      <c r="O728" s="278">
        <f t="shared" si="317"/>
        <v>8.0894601049890653</v>
      </c>
    </row>
    <row r="729" spans="1:15" s="212" customFormat="1">
      <c r="A729" s="213" t="str">
        <f>name!E$10</f>
        <v>Sales and customer service occupations</v>
      </c>
      <c r="B729" s="278">
        <v>4.4717093852972303</v>
      </c>
      <c r="C729" s="278">
        <v>1.8119444928254229</v>
      </c>
      <c r="D729" s="278">
        <v>0.54887885683758608</v>
      </c>
      <c r="E729" s="278">
        <f t="shared" si="315"/>
        <v>6.8325327349602389</v>
      </c>
      <c r="F729" s="279"/>
      <c r="G729" s="278">
        <v>4.6610641861299884</v>
      </c>
      <c r="H729" s="278">
        <v>2.6196372833390695</v>
      </c>
      <c r="I729" s="278">
        <v>0.38454752912957013</v>
      </c>
      <c r="J729" s="278">
        <f t="shared" si="318"/>
        <v>7.6652489985986278</v>
      </c>
      <c r="K729" s="279"/>
      <c r="L729" s="278">
        <v>4.9933705519822942</v>
      </c>
      <c r="M729" s="278">
        <v>2.9861747144540645</v>
      </c>
      <c r="N729" s="278">
        <v>0.37746186791976843</v>
      </c>
      <c r="O729" s="278">
        <f t="shared" si="317"/>
        <v>8.3570071343561274</v>
      </c>
    </row>
    <row r="730" spans="1:15" s="212" customFormat="1">
      <c r="A730" s="213" t="str">
        <f>name!E$11</f>
        <v>Process, plant and machine operatives</v>
      </c>
      <c r="B730" s="278">
        <v>0.84935171395391329</v>
      </c>
      <c r="C730" s="278">
        <v>0.34058125996196098</v>
      </c>
      <c r="D730" s="278">
        <v>0.1675865838705958</v>
      </c>
      <c r="E730" s="278">
        <f t="shared" si="315"/>
        <v>1.3575195577864703</v>
      </c>
      <c r="F730" s="279"/>
      <c r="G730" s="278">
        <v>0.91370718581921906</v>
      </c>
      <c r="H730" s="278">
        <v>0.53458334999766899</v>
      </c>
      <c r="I730" s="278">
        <v>0.17627877776129697</v>
      </c>
      <c r="J730" s="278">
        <f t="shared" si="318"/>
        <v>1.6245693135781849</v>
      </c>
      <c r="K730" s="279"/>
      <c r="L730" s="278">
        <v>0.78656673493369555</v>
      </c>
      <c r="M730" s="278">
        <v>0.77931461636299804</v>
      </c>
      <c r="N730" s="278">
        <v>0.2356339967724079</v>
      </c>
      <c r="O730" s="278">
        <f t="shared" si="317"/>
        <v>1.8015153480691015</v>
      </c>
    </row>
    <row r="731" spans="1:15" s="212" customFormat="1">
      <c r="A731" s="213" t="str">
        <f>name!E$12</f>
        <v>Elementary occupations</v>
      </c>
      <c r="B731" s="278">
        <v>6.2551235628790751</v>
      </c>
      <c r="C731" s="278">
        <v>7.0357384619648986</v>
      </c>
      <c r="D731" s="278">
        <v>2.7347194668120069</v>
      </c>
      <c r="E731" s="278">
        <f t="shared" si="315"/>
        <v>16.025581491655981</v>
      </c>
      <c r="F731" s="279"/>
      <c r="G731" s="278">
        <v>6.4284703841649087</v>
      </c>
      <c r="H731" s="278">
        <v>7.7705855015440939</v>
      </c>
      <c r="I731" s="278">
        <v>2.0190661621062569</v>
      </c>
      <c r="J731" s="278">
        <f t="shared" si="318"/>
        <v>16.21812204781526</v>
      </c>
      <c r="K731" s="279"/>
      <c r="L731" s="278">
        <v>6.7039336897227466</v>
      </c>
      <c r="M731" s="278">
        <v>6.3420166002888578</v>
      </c>
      <c r="N731" s="278">
        <v>2.5735735070801748</v>
      </c>
      <c r="O731" s="278">
        <f t="shared" si="317"/>
        <v>15.619523797091778</v>
      </c>
    </row>
    <row r="732" spans="1:15" s="212" customFormat="1">
      <c r="A732" s="213"/>
      <c r="B732" s="278"/>
      <c r="C732" s="278"/>
      <c r="D732" s="278"/>
      <c r="E732" s="278"/>
      <c r="F732" s="279"/>
      <c r="G732" s="278"/>
      <c r="H732" s="278"/>
      <c r="I732" s="278"/>
      <c r="J732" s="278"/>
      <c r="K732" s="279"/>
      <c r="L732" s="278"/>
      <c r="M732" s="278"/>
      <c r="N732" s="278"/>
      <c r="O732" s="278"/>
    </row>
    <row r="733" spans="1:15" s="212" customFormat="1">
      <c r="A733" s="220" t="s">
        <v>119</v>
      </c>
      <c r="B733" s="282">
        <f>SUM(B723:B731)</f>
        <v>80.798999999556244</v>
      </c>
      <c r="C733" s="282">
        <f t="shared" ref="C733:E733" si="319">SUM(C723:C731)</f>
        <v>23.907000000208846</v>
      </c>
      <c r="D733" s="282">
        <f t="shared" si="319"/>
        <v>32.781000000612053</v>
      </c>
      <c r="E733" s="282">
        <f t="shared" si="319"/>
        <v>137.48700000037718</v>
      </c>
      <c r="F733" s="282"/>
      <c r="G733" s="282">
        <f t="shared" ref="G733:J733" si="320">SUM(G723:G731)</f>
        <v>91.387999999985766</v>
      </c>
      <c r="H733" s="282">
        <f t="shared" si="320"/>
        <v>32.90000000010545</v>
      </c>
      <c r="I733" s="282">
        <f t="shared" si="320"/>
        <v>30.695000000638057</v>
      </c>
      <c r="J733" s="282">
        <f t="shared" si="320"/>
        <v>154.98300000072928</v>
      </c>
      <c r="K733" s="282"/>
      <c r="L733" s="282">
        <f t="shared" ref="L733:O733" si="321">SUM(L723:L731)</f>
        <v>94.313000000851076</v>
      </c>
      <c r="M733" s="282">
        <f t="shared" si="321"/>
        <v>34.736000000220251</v>
      </c>
      <c r="N733" s="282">
        <f t="shared" si="321"/>
        <v>31.983000001808286</v>
      </c>
      <c r="O733" s="282">
        <f t="shared" si="321"/>
        <v>161.03200000287964</v>
      </c>
    </row>
    <row r="734" spans="1:15" s="212" customFormat="1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3"/>
      <c r="M734" s="213"/>
      <c r="N734" s="216"/>
    </row>
    <row r="735" spans="1:15" s="212" customFormat="1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13"/>
      <c r="M735" s="213"/>
      <c r="N735" s="216"/>
      <c r="O735" s="227" t="s">
        <v>114</v>
      </c>
    </row>
    <row r="736" spans="1:15" s="212" customFormat="1" ht="12.95">
      <c r="A736" s="218"/>
      <c r="B736" s="218"/>
      <c r="C736" s="218"/>
      <c r="D736" s="218"/>
      <c r="E736" s="218"/>
      <c r="F736" s="218"/>
      <c r="G736" s="218"/>
      <c r="H736" s="218"/>
      <c r="I736" s="218"/>
      <c r="J736" s="218"/>
      <c r="K736" s="218"/>
      <c r="L736" s="218"/>
      <c r="M736" s="218"/>
      <c r="N736" s="218"/>
      <c r="O736" s="218"/>
    </row>
    <row r="737" spans="1:15" s="212" customFormat="1" ht="12.95">
      <c r="A737" s="217" t="str">
        <f>name!A46</f>
        <v>Broadcasting</v>
      </c>
      <c r="B737" s="369">
        <f>$B$6</f>
        <v>2015</v>
      </c>
      <c r="C737" s="369"/>
      <c r="D737" s="369"/>
      <c r="E737" s="369"/>
      <c r="F737" s="239"/>
      <c r="G737" s="369">
        <f>$G$6</f>
        <v>2020</v>
      </c>
      <c r="H737" s="369"/>
      <c r="I737" s="369"/>
      <c r="J737" s="369"/>
      <c r="K737" s="239"/>
      <c r="L737" s="369">
        <f>$L$6</f>
        <v>2035</v>
      </c>
      <c r="M737" s="369"/>
      <c r="N737" s="369"/>
      <c r="O737" s="369"/>
    </row>
    <row r="738" spans="1:15" s="212" customFormat="1" ht="12.95">
      <c r="A738" s="230"/>
      <c r="B738" s="244" t="str">
        <f>$B$7</f>
        <v>FT</v>
      </c>
      <c r="C738" s="244" t="str">
        <f>$C$7</f>
        <v>PT</v>
      </c>
      <c r="D738" s="244" t="str">
        <f>$D$7</f>
        <v>SE</v>
      </c>
      <c r="E738" s="244" t="str">
        <f>$E$7</f>
        <v>Total</v>
      </c>
      <c r="F738" s="244"/>
      <c r="G738" s="244" t="str">
        <f>$G$7</f>
        <v>FT</v>
      </c>
      <c r="H738" s="244" t="str">
        <f>$H$7</f>
        <v>PT</v>
      </c>
      <c r="I738" s="244" t="str">
        <f>$I$7</f>
        <v>SE</v>
      </c>
      <c r="J738" s="244" t="str">
        <f>$J$7</f>
        <v>Total</v>
      </c>
      <c r="K738" s="244"/>
      <c r="L738" s="244" t="str">
        <f>$L$7</f>
        <v>FT</v>
      </c>
      <c r="M738" s="244" t="str">
        <f>$M$7</f>
        <v>PT</v>
      </c>
      <c r="N738" s="244" t="str">
        <f>$N$7</f>
        <v>SE</v>
      </c>
      <c r="O738" s="244" t="str">
        <f>$O$7</f>
        <v>Total</v>
      </c>
    </row>
    <row r="739" spans="1:15" s="212" customFormat="1" ht="12.95">
      <c r="A739" s="234"/>
      <c r="B739" s="215"/>
      <c r="C739" s="215"/>
      <c r="D739" s="215"/>
      <c r="E739" s="215"/>
      <c r="F739" s="215"/>
      <c r="G739" s="215"/>
      <c r="H739" s="215"/>
      <c r="I739" s="215"/>
      <c r="J739" s="215"/>
      <c r="K739" s="215"/>
      <c r="L739" s="215"/>
      <c r="M739" s="215"/>
      <c r="N739" s="215"/>
      <c r="O739" s="215"/>
    </row>
    <row r="740" spans="1:15" s="212" customFormat="1">
      <c r="A740" s="213" t="str">
        <f>name!E$4</f>
        <v>Managers, directors and senior officials</v>
      </c>
      <c r="B740" s="278">
        <v>4.3901276149863371</v>
      </c>
      <c r="C740" s="278">
        <v>0.11161880391416019</v>
      </c>
      <c r="D740" s="278">
        <v>0.75773544208492472</v>
      </c>
      <c r="E740" s="278">
        <f>SUM(B740:D740)</f>
        <v>5.2594818609854217</v>
      </c>
      <c r="F740" s="279"/>
      <c r="G740" s="278">
        <v>4.5058660812252018</v>
      </c>
      <c r="H740" s="278">
        <v>0.26097339452498286</v>
      </c>
      <c r="I740" s="278">
        <v>1.1721360336103686</v>
      </c>
      <c r="J740" s="278">
        <f>SUM(G740:I740)</f>
        <v>5.9389755093605539</v>
      </c>
      <c r="K740" s="279"/>
      <c r="L740" s="278">
        <v>4.1986588261999787</v>
      </c>
      <c r="M740" s="278">
        <v>0.32809653755746337</v>
      </c>
      <c r="N740" s="278">
        <v>1.3156275684299035</v>
      </c>
      <c r="O740" s="278">
        <f>SUM(L740:N740)</f>
        <v>5.8423829321873448</v>
      </c>
    </row>
    <row r="741" spans="1:15" s="212" customFormat="1">
      <c r="A741" s="213" t="str">
        <f>name!E$5</f>
        <v>Professional occupations</v>
      </c>
      <c r="B741" s="278">
        <v>6.8293771172798685</v>
      </c>
      <c r="C741" s="278">
        <v>0.33529681447530441</v>
      </c>
      <c r="D741" s="278">
        <v>2.1556675434276218</v>
      </c>
      <c r="E741" s="278">
        <f t="shared" ref="E741:E748" si="322">SUM(B741:D741)</f>
        <v>9.3203414751827953</v>
      </c>
      <c r="F741" s="279"/>
      <c r="G741" s="278">
        <v>7.9872964886112898</v>
      </c>
      <c r="H741" s="278">
        <v>0.78477638057423516</v>
      </c>
      <c r="I741" s="278">
        <v>2.7779172934673855</v>
      </c>
      <c r="J741" s="278">
        <f t="shared" ref="J741:J743" si="323">SUM(G741:I741)</f>
        <v>11.549990162652911</v>
      </c>
      <c r="K741" s="279"/>
      <c r="L741" s="278">
        <v>10.11054380080358</v>
      </c>
      <c r="M741" s="278">
        <v>1.2895427624802263</v>
      </c>
      <c r="N741" s="278">
        <v>2.6265955506338661</v>
      </c>
      <c r="O741" s="278">
        <f t="shared" ref="O741:O748" si="324">SUM(L741:N741)</f>
        <v>14.026682113917671</v>
      </c>
    </row>
    <row r="742" spans="1:15" s="212" customFormat="1">
      <c r="A742" s="213" t="str">
        <f>name!E$6</f>
        <v>Associate professional occupations</v>
      </c>
      <c r="B742" s="278">
        <v>6.7982403134616742</v>
      </c>
      <c r="C742" s="278">
        <v>0.61509101308082825</v>
      </c>
      <c r="D742" s="278">
        <v>5.5821876135488884</v>
      </c>
      <c r="E742" s="278">
        <f t="shared" si="322"/>
        <v>12.99551894009139</v>
      </c>
      <c r="F742" s="279"/>
      <c r="G742" s="278">
        <v>6.6292926414902329</v>
      </c>
      <c r="H742" s="278">
        <v>1.1092524462328199</v>
      </c>
      <c r="I742" s="278">
        <v>8.0145416907099651</v>
      </c>
      <c r="J742" s="278">
        <f t="shared" si="323"/>
        <v>15.753086778433019</v>
      </c>
      <c r="K742" s="279"/>
      <c r="L742" s="278">
        <v>5.9136327126501085</v>
      </c>
      <c r="M742" s="278">
        <v>1.2032900469547931</v>
      </c>
      <c r="N742" s="278">
        <v>7.6491829945441197</v>
      </c>
      <c r="O742" s="278">
        <f t="shared" si="324"/>
        <v>14.76610575414902</v>
      </c>
    </row>
    <row r="743" spans="1:15" s="212" customFormat="1">
      <c r="A743" s="213" t="str">
        <f>name!E$7</f>
        <v>Administrative and secretarial occupations</v>
      </c>
      <c r="B743" s="278">
        <v>2.0822654241786211</v>
      </c>
      <c r="C743" s="278">
        <v>0.48945839349940229</v>
      </c>
      <c r="D743" s="278">
        <v>0.11190486315575007</v>
      </c>
      <c r="E743" s="278">
        <f t="shared" si="322"/>
        <v>2.6836286808337735</v>
      </c>
      <c r="F743" s="279"/>
      <c r="G743" s="278">
        <v>1.9872656139220555</v>
      </c>
      <c r="H743" s="278">
        <v>0.69239031971098541</v>
      </c>
      <c r="I743" s="278">
        <v>0.2318732793362436</v>
      </c>
      <c r="J743" s="278">
        <f t="shared" si="323"/>
        <v>2.9115292129692847</v>
      </c>
      <c r="K743" s="279"/>
      <c r="L743" s="278">
        <v>2.0097234632678429</v>
      </c>
      <c r="M743" s="278">
        <v>0.58708082768812808</v>
      </c>
      <c r="N743" s="278">
        <v>0.22644346108783245</v>
      </c>
      <c r="O743" s="278">
        <f t="shared" si="324"/>
        <v>2.8232477520438035</v>
      </c>
    </row>
    <row r="744" spans="1:15" s="212" customFormat="1">
      <c r="A744" s="213" t="str">
        <f>name!E$8</f>
        <v>Skilled trades occupations</v>
      </c>
      <c r="B744" s="278">
        <v>2.8026805417093201</v>
      </c>
      <c r="C744" s="278">
        <v>0.12819014703080173</v>
      </c>
      <c r="D744" s="278">
        <v>0.71793804118603288</v>
      </c>
      <c r="E744" s="278">
        <f t="shared" si="322"/>
        <v>3.6488087299261549</v>
      </c>
      <c r="F744" s="279"/>
      <c r="G744" s="278">
        <v>2.3781920637232616</v>
      </c>
      <c r="H744" s="278">
        <v>0.16607467720981134</v>
      </c>
      <c r="I744" s="278">
        <v>1.0629841909319744</v>
      </c>
      <c r="J744" s="278">
        <f>SUM(G744:I744)</f>
        <v>3.6072509318650474</v>
      </c>
      <c r="K744" s="279"/>
      <c r="L744" s="278">
        <v>2.0348461231166155</v>
      </c>
      <c r="M744" s="278">
        <v>0.22980416202372905</v>
      </c>
      <c r="N744" s="278">
        <v>1.153833944190884</v>
      </c>
      <c r="O744" s="278">
        <f t="shared" si="324"/>
        <v>3.418484229331229</v>
      </c>
    </row>
    <row r="745" spans="1:15" s="212" customFormat="1">
      <c r="A745" s="213" t="str">
        <f>name!E$9</f>
        <v>Caring, leisure and other service occupations</v>
      </c>
      <c r="B745" s="278">
        <v>1.1487272418957293</v>
      </c>
      <c r="C745" s="278">
        <v>0.32208090290980312</v>
      </c>
      <c r="D745" s="278">
        <v>0.12454658417074589</v>
      </c>
      <c r="E745" s="278">
        <f t="shared" si="322"/>
        <v>1.5953547289762782</v>
      </c>
      <c r="F745" s="279"/>
      <c r="G745" s="278">
        <v>1.0459175327765475</v>
      </c>
      <c r="H745" s="278">
        <v>0.46902786222570519</v>
      </c>
      <c r="I745" s="278">
        <v>0.27958414043253993</v>
      </c>
      <c r="J745" s="278">
        <f t="shared" ref="J745:J748" si="325">SUM(G745:I745)</f>
        <v>1.7945295354347925</v>
      </c>
      <c r="K745" s="279"/>
      <c r="L745" s="278">
        <v>1.1093883560277407</v>
      </c>
      <c r="M745" s="278">
        <v>0.48565520948839125</v>
      </c>
      <c r="N745" s="278">
        <v>0.28749224811203733</v>
      </c>
      <c r="O745" s="278">
        <f t="shared" si="324"/>
        <v>1.8825358136281691</v>
      </c>
    </row>
    <row r="746" spans="1:15" s="212" customFormat="1">
      <c r="A746" s="213" t="str">
        <f>name!E$10</f>
        <v>Sales and customer service occupations</v>
      </c>
      <c r="B746" s="278">
        <v>1.4689976253273971</v>
      </c>
      <c r="C746" s="278">
        <v>0.28612169089560291</v>
      </c>
      <c r="D746" s="278">
        <v>0.1810117391553632</v>
      </c>
      <c r="E746" s="278">
        <f t="shared" si="322"/>
        <v>1.9361310553783631</v>
      </c>
      <c r="F746" s="279"/>
      <c r="G746" s="278">
        <v>1.3718078084248058</v>
      </c>
      <c r="H746" s="278">
        <v>0.40444221937473224</v>
      </c>
      <c r="I746" s="278">
        <v>0.19881683517566587</v>
      </c>
      <c r="J746" s="278">
        <f t="shared" si="325"/>
        <v>1.9750668629752037</v>
      </c>
      <c r="K746" s="279"/>
      <c r="L746" s="278">
        <v>1.5110030547931186</v>
      </c>
      <c r="M746" s="278">
        <v>0.43695836415183908</v>
      </c>
      <c r="N746" s="278">
        <v>0.18104341212400801</v>
      </c>
      <c r="O746" s="278">
        <f t="shared" si="324"/>
        <v>2.1290048310689658</v>
      </c>
    </row>
    <row r="747" spans="1:15" s="212" customFormat="1">
      <c r="A747" s="213" t="str">
        <f>name!E$11</f>
        <v>Process, plant and machine operatives</v>
      </c>
      <c r="B747" s="278">
        <v>0.17950397237386453</v>
      </c>
      <c r="C747" s="278">
        <v>3.2564179209946073E-2</v>
      </c>
      <c r="D747" s="278">
        <v>4.4228849453783227E-2</v>
      </c>
      <c r="E747" s="278">
        <f t="shared" si="322"/>
        <v>0.25629700103759384</v>
      </c>
      <c r="F747" s="279"/>
      <c r="G747" s="278">
        <v>0.16539001536186829</v>
      </c>
      <c r="H747" s="278">
        <v>5.2601343181881643E-2</v>
      </c>
      <c r="I747" s="278">
        <v>6.0996063501369505E-2</v>
      </c>
      <c r="J747" s="278">
        <f t="shared" si="325"/>
        <v>0.27898742204511945</v>
      </c>
      <c r="K747" s="279"/>
      <c r="L747" s="278">
        <v>0.12625174019842203</v>
      </c>
      <c r="M747" s="278">
        <v>6.5057619327165403E-2</v>
      </c>
      <c r="N747" s="278">
        <v>7.7706393004491447E-2</v>
      </c>
      <c r="O747" s="278">
        <f t="shared" si="324"/>
        <v>0.26901575253007887</v>
      </c>
    </row>
    <row r="748" spans="1:15" s="212" customFormat="1">
      <c r="A748" s="213" t="str">
        <f>name!E$12</f>
        <v>Elementary occupations</v>
      </c>
      <c r="B748" s="278">
        <v>0.52408014855214813</v>
      </c>
      <c r="C748" s="278">
        <v>0.56657805499733449</v>
      </c>
      <c r="D748" s="278">
        <v>0.11377932399126084</v>
      </c>
      <c r="E748" s="278">
        <f t="shared" si="322"/>
        <v>1.2044375275407433</v>
      </c>
      <c r="F748" s="279"/>
      <c r="G748" s="278">
        <v>0.45997175446307192</v>
      </c>
      <c r="H748" s="278">
        <v>0.72446135696408942</v>
      </c>
      <c r="I748" s="278">
        <v>0.14215047305207132</v>
      </c>
      <c r="J748" s="278">
        <f t="shared" si="325"/>
        <v>1.3265835844792326</v>
      </c>
      <c r="K748" s="279"/>
      <c r="L748" s="278">
        <v>0.33995192315053124</v>
      </c>
      <c r="M748" s="278">
        <v>0.53351447032868593</v>
      </c>
      <c r="N748" s="278">
        <v>0.18807442855935386</v>
      </c>
      <c r="O748" s="278">
        <f t="shared" si="324"/>
        <v>1.0615408220385709</v>
      </c>
    </row>
    <row r="749" spans="1:15" s="212" customFormat="1">
      <c r="A749" s="213"/>
      <c r="B749" s="278"/>
      <c r="C749" s="278"/>
      <c r="D749" s="278"/>
      <c r="E749" s="278"/>
      <c r="F749" s="279"/>
      <c r="G749" s="278"/>
      <c r="H749" s="278"/>
      <c r="I749" s="278"/>
      <c r="J749" s="278"/>
      <c r="K749" s="279"/>
      <c r="L749" s="278"/>
      <c r="M749" s="278"/>
      <c r="N749" s="278"/>
      <c r="O749" s="278"/>
    </row>
    <row r="750" spans="1:15" s="212" customFormat="1">
      <c r="A750" s="220" t="s">
        <v>119</v>
      </c>
      <c r="B750" s="282">
        <f>SUM(B740:B748)</f>
        <v>26.22399999976496</v>
      </c>
      <c r="C750" s="282">
        <f t="shared" ref="C750:E750" si="326">SUM(C740:C748)</f>
        <v>2.8870000000131837</v>
      </c>
      <c r="D750" s="282">
        <f t="shared" si="326"/>
        <v>9.7890000001743704</v>
      </c>
      <c r="E750" s="282">
        <f t="shared" si="326"/>
        <v>38.899999999952506</v>
      </c>
      <c r="F750" s="282"/>
      <c r="G750" s="282">
        <f t="shared" ref="G750:J750" si="327">SUM(G740:G748)</f>
        <v>26.530999999998336</v>
      </c>
      <c r="H750" s="282">
        <f t="shared" si="327"/>
        <v>4.663999999999243</v>
      </c>
      <c r="I750" s="282">
        <f t="shared" si="327"/>
        <v>13.941000000217583</v>
      </c>
      <c r="J750" s="282">
        <f t="shared" si="327"/>
        <v>45.136000000215155</v>
      </c>
      <c r="K750" s="282"/>
      <c r="L750" s="282">
        <f t="shared" ref="L750:O750" si="328">SUM(L740:L748)</f>
        <v>27.35400000020794</v>
      </c>
      <c r="M750" s="282">
        <f t="shared" si="328"/>
        <v>5.1590000000004208</v>
      </c>
      <c r="N750" s="282">
        <f t="shared" si="328"/>
        <v>13.706000000686497</v>
      </c>
      <c r="O750" s="282">
        <f t="shared" si="328"/>
        <v>46.219000000894852</v>
      </c>
    </row>
    <row r="751" spans="1:15" s="212" customFormat="1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3"/>
      <c r="M751" s="213"/>
      <c r="N751" s="216"/>
    </row>
    <row r="752" spans="1:15" s="212" customFormat="1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13"/>
      <c r="M752" s="213"/>
      <c r="N752" s="216"/>
      <c r="O752" s="227" t="s">
        <v>114</v>
      </c>
    </row>
    <row r="753" spans="1:15" s="212" customFormat="1" ht="12.95">
      <c r="A753" s="218"/>
      <c r="B753" s="218"/>
      <c r="C753" s="218"/>
      <c r="D753" s="218"/>
      <c r="E753" s="218"/>
      <c r="F753" s="218"/>
      <c r="G753" s="218"/>
      <c r="H753" s="218"/>
      <c r="I753" s="218"/>
      <c r="J753" s="218"/>
      <c r="K753" s="218"/>
      <c r="L753" s="218"/>
      <c r="M753" s="218"/>
      <c r="N753" s="218"/>
      <c r="O753" s="218"/>
    </row>
    <row r="754" spans="1:15" s="212" customFormat="1" ht="12.95">
      <c r="A754" s="217" t="str">
        <f>name!A47</f>
        <v>Telecommunications</v>
      </c>
      <c r="B754" s="369">
        <f>$B$6</f>
        <v>2015</v>
      </c>
      <c r="C754" s="369"/>
      <c r="D754" s="369"/>
      <c r="E754" s="369"/>
      <c r="F754" s="239"/>
      <c r="G754" s="369">
        <f>$G$6</f>
        <v>2020</v>
      </c>
      <c r="H754" s="369"/>
      <c r="I754" s="369"/>
      <c r="J754" s="369"/>
      <c r="K754" s="239"/>
      <c r="L754" s="369">
        <f>$L$6</f>
        <v>2035</v>
      </c>
      <c r="M754" s="369"/>
      <c r="N754" s="369"/>
      <c r="O754" s="369"/>
    </row>
    <row r="755" spans="1:15" s="212" customFormat="1" ht="12.95">
      <c r="A755" s="230"/>
      <c r="B755" s="244" t="str">
        <f>$B$7</f>
        <v>FT</v>
      </c>
      <c r="C755" s="244" t="str">
        <f>$C$7</f>
        <v>PT</v>
      </c>
      <c r="D755" s="244" t="str">
        <f>$D$7</f>
        <v>SE</v>
      </c>
      <c r="E755" s="244" t="str">
        <f>$E$7</f>
        <v>Total</v>
      </c>
      <c r="F755" s="244"/>
      <c r="G755" s="244" t="str">
        <f>$G$7</f>
        <v>FT</v>
      </c>
      <c r="H755" s="244" t="str">
        <f>$H$7</f>
        <v>PT</v>
      </c>
      <c r="I755" s="244" t="str">
        <f>$I$7</f>
        <v>SE</v>
      </c>
      <c r="J755" s="244" t="str">
        <f>$J$7</f>
        <v>Total</v>
      </c>
      <c r="K755" s="244"/>
      <c r="L755" s="244" t="str">
        <f>$L$7</f>
        <v>FT</v>
      </c>
      <c r="M755" s="244" t="str">
        <f>$M$7</f>
        <v>PT</v>
      </c>
      <c r="N755" s="244" t="str">
        <f>$N$7</f>
        <v>SE</v>
      </c>
      <c r="O755" s="244" t="str">
        <f>$O$7</f>
        <v>Total</v>
      </c>
    </row>
    <row r="756" spans="1:15" s="212" customFormat="1" ht="12.95">
      <c r="A756" s="234"/>
      <c r="B756" s="215"/>
      <c r="C756" s="215"/>
      <c r="D756" s="215"/>
      <c r="E756" s="215"/>
      <c r="F756" s="215"/>
      <c r="G756" s="215"/>
      <c r="H756" s="215"/>
      <c r="I756" s="215"/>
      <c r="J756" s="215"/>
      <c r="K756" s="215"/>
      <c r="L756" s="215"/>
      <c r="M756" s="215"/>
      <c r="N756" s="215"/>
      <c r="O756" s="215"/>
    </row>
    <row r="757" spans="1:15" s="212" customFormat="1">
      <c r="A757" s="213" t="str">
        <f>name!E$4</f>
        <v>Managers, directors and senior officials</v>
      </c>
      <c r="B757" s="278">
        <v>31.908913056566863</v>
      </c>
      <c r="C757" s="278">
        <v>1.1869360852823783</v>
      </c>
      <c r="D757" s="278">
        <v>3.380137099918449</v>
      </c>
      <c r="E757" s="278">
        <f>SUM(B757:D757)</f>
        <v>36.475986241767693</v>
      </c>
      <c r="F757" s="279"/>
      <c r="G757" s="278">
        <v>31.433192848518374</v>
      </c>
      <c r="H757" s="278">
        <v>1.1285709022555839</v>
      </c>
      <c r="I757" s="278">
        <v>2.654383616553134</v>
      </c>
      <c r="J757" s="278">
        <f>SUM(G757:I757)</f>
        <v>35.216147367327089</v>
      </c>
      <c r="K757" s="279"/>
      <c r="L757" s="278">
        <v>30.594687762286647</v>
      </c>
      <c r="M757" s="278">
        <v>1.2165948816100953</v>
      </c>
      <c r="N757" s="278">
        <v>3.4421399553335155</v>
      </c>
      <c r="O757" s="278">
        <f>SUM(L757:N757)</f>
        <v>35.253422599230255</v>
      </c>
    </row>
    <row r="758" spans="1:15" s="212" customFormat="1">
      <c r="A758" s="213" t="str">
        <f>name!E$5</f>
        <v>Professional occupations</v>
      </c>
      <c r="B758" s="278">
        <v>50.505640147811818</v>
      </c>
      <c r="C758" s="278">
        <v>0.75199490698665072</v>
      </c>
      <c r="D758" s="278">
        <v>6.99787928487806</v>
      </c>
      <c r="E758" s="278">
        <f t="shared" ref="E758:E765" si="329">SUM(B758:D758)</f>
        <v>58.25551433967653</v>
      </c>
      <c r="F758" s="279"/>
      <c r="G758" s="278">
        <v>55.073168992520166</v>
      </c>
      <c r="H758" s="278">
        <v>0.66974601229783137</v>
      </c>
      <c r="I758" s="278">
        <v>4.9745715661666194</v>
      </c>
      <c r="J758" s="278">
        <f t="shared" ref="J758:J760" si="330">SUM(G758:I758)</f>
        <v>60.717486570984612</v>
      </c>
      <c r="K758" s="279"/>
      <c r="L758" s="278">
        <v>76.048425941597955</v>
      </c>
      <c r="M758" s="278">
        <v>0.91264740153199975</v>
      </c>
      <c r="N758" s="278">
        <v>4.557131492493653</v>
      </c>
      <c r="O758" s="278">
        <f t="shared" ref="O758:O765" si="331">SUM(L758:N758)</f>
        <v>81.518204835623607</v>
      </c>
    </row>
    <row r="759" spans="1:15" s="212" customFormat="1">
      <c r="A759" s="213" t="str">
        <f>name!E$6</f>
        <v>Associate professional occupations</v>
      </c>
      <c r="B759" s="278">
        <v>23.49652638744746</v>
      </c>
      <c r="C759" s="278">
        <v>1.2426056773436998</v>
      </c>
      <c r="D759" s="278">
        <v>2.3047193823118737</v>
      </c>
      <c r="E759" s="278">
        <f t="shared" si="329"/>
        <v>27.043851447103034</v>
      </c>
      <c r="F759" s="279"/>
      <c r="G759" s="278">
        <v>23.911562709505375</v>
      </c>
      <c r="H759" s="278">
        <v>0.97390806564481769</v>
      </c>
      <c r="I759" s="278">
        <v>1.411409393456563</v>
      </c>
      <c r="J759" s="278">
        <f t="shared" si="330"/>
        <v>26.296880168606755</v>
      </c>
      <c r="K759" s="279"/>
      <c r="L759" s="278">
        <v>26.139317123948633</v>
      </c>
      <c r="M759" s="278">
        <v>0.90243101112029656</v>
      </c>
      <c r="N759" s="278">
        <v>1.7841660707427527</v>
      </c>
      <c r="O759" s="278">
        <f t="shared" si="331"/>
        <v>28.825914205811682</v>
      </c>
    </row>
    <row r="760" spans="1:15" s="212" customFormat="1">
      <c r="A760" s="213" t="str">
        <f>name!E$7</f>
        <v>Administrative and secretarial occupations</v>
      </c>
      <c r="B760" s="278">
        <v>10.129225202662916</v>
      </c>
      <c r="C760" s="278">
        <v>1.8403184273510791</v>
      </c>
      <c r="D760" s="278">
        <v>1.0585046134390566</v>
      </c>
      <c r="E760" s="278">
        <f t="shared" si="329"/>
        <v>13.028048243453052</v>
      </c>
      <c r="F760" s="279"/>
      <c r="G760" s="278">
        <v>9.6133644273460988</v>
      </c>
      <c r="H760" s="278">
        <v>1.3066132155046677</v>
      </c>
      <c r="I760" s="278">
        <v>0.29420454256267514</v>
      </c>
      <c r="J760" s="278">
        <f t="shared" si="330"/>
        <v>11.21418218541344</v>
      </c>
      <c r="K760" s="279"/>
      <c r="L760" s="278">
        <v>11.82427095612837</v>
      </c>
      <c r="M760" s="278">
        <v>1.233629453581792</v>
      </c>
      <c r="N760" s="278">
        <v>0.33719777813022001</v>
      </c>
      <c r="O760" s="278">
        <f t="shared" si="331"/>
        <v>13.395098187840381</v>
      </c>
    </row>
    <row r="761" spans="1:15" s="212" customFormat="1">
      <c r="A761" s="213" t="str">
        <f>name!E$8</f>
        <v>Skilled trades occupations</v>
      </c>
      <c r="B761" s="278">
        <v>23.277946587861646</v>
      </c>
      <c r="C761" s="278">
        <v>0.63542489112620704</v>
      </c>
      <c r="D761" s="278">
        <v>2.431241337299606</v>
      </c>
      <c r="E761" s="278">
        <f t="shared" si="329"/>
        <v>26.344612816287459</v>
      </c>
      <c r="F761" s="279"/>
      <c r="G761" s="278">
        <v>16.742169889348599</v>
      </c>
      <c r="H761" s="278">
        <v>0.30655499909178802</v>
      </c>
      <c r="I761" s="278">
        <v>1.4183246994747198</v>
      </c>
      <c r="J761" s="278">
        <f>SUM(G761:I761)</f>
        <v>18.467049587915106</v>
      </c>
      <c r="K761" s="279"/>
      <c r="L761" s="278">
        <v>11.551567389120788</v>
      </c>
      <c r="M761" s="278">
        <v>0.33064539687604805</v>
      </c>
      <c r="N761" s="278">
        <v>2.1854772715788693</v>
      </c>
      <c r="O761" s="278">
        <f t="shared" si="331"/>
        <v>14.067690057575703</v>
      </c>
    </row>
    <row r="762" spans="1:15" s="212" customFormat="1">
      <c r="A762" s="213" t="str">
        <f>name!E$9</f>
        <v>Caring, leisure and other service occupations</v>
      </c>
      <c r="B762" s="278">
        <v>4.4592993101258616</v>
      </c>
      <c r="C762" s="278">
        <v>0.55023789313072813</v>
      </c>
      <c r="D762" s="278">
        <v>0.54214046459987719</v>
      </c>
      <c r="E762" s="278">
        <f t="shared" si="329"/>
        <v>5.5516776678564677</v>
      </c>
      <c r="F762" s="279"/>
      <c r="G762" s="278">
        <v>3.9049882394968849</v>
      </c>
      <c r="H762" s="278">
        <v>0.32430025311565419</v>
      </c>
      <c r="I762" s="278">
        <v>0.17790171828612295</v>
      </c>
      <c r="J762" s="278">
        <f t="shared" ref="J762:J765" si="332">SUM(G762:I762)</f>
        <v>4.407190210898662</v>
      </c>
      <c r="K762" s="279"/>
      <c r="L762" s="278">
        <v>4.869750362539512</v>
      </c>
      <c r="M762" s="278">
        <v>0.27781151851491248</v>
      </c>
      <c r="N762" s="278">
        <v>0.3212664199001018</v>
      </c>
      <c r="O762" s="278">
        <f t="shared" si="331"/>
        <v>5.4688283009545264</v>
      </c>
    </row>
    <row r="763" spans="1:15" s="212" customFormat="1">
      <c r="A763" s="213" t="str">
        <f>name!E$10</f>
        <v>Sales and customer service occupations</v>
      </c>
      <c r="B763" s="278">
        <v>14.955533474153132</v>
      </c>
      <c r="C763" s="278">
        <v>7.3327472075719946</v>
      </c>
      <c r="D763" s="278">
        <v>1.1884702347659477</v>
      </c>
      <c r="E763" s="278">
        <f t="shared" si="329"/>
        <v>23.476750916491074</v>
      </c>
      <c r="F763" s="279"/>
      <c r="G763" s="278">
        <v>12.842639682367533</v>
      </c>
      <c r="H763" s="278">
        <v>5.1894085250246151</v>
      </c>
      <c r="I763" s="278">
        <v>0.54450926814119005</v>
      </c>
      <c r="J763" s="278">
        <f t="shared" si="332"/>
        <v>18.576557475533338</v>
      </c>
      <c r="K763" s="279"/>
      <c r="L763" s="278">
        <v>15.413418954956972</v>
      </c>
      <c r="M763" s="278">
        <v>6.1380202931807801</v>
      </c>
      <c r="N763" s="278">
        <v>0.59347258717117091</v>
      </c>
      <c r="O763" s="278">
        <f t="shared" si="331"/>
        <v>22.144911835308925</v>
      </c>
    </row>
    <row r="764" spans="1:15" s="212" customFormat="1">
      <c r="A764" s="213" t="str">
        <f>name!E$11</f>
        <v>Process, plant and machine operatives</v>
      </c>
      <c r="B764" s="278">
        <v>1.4716547151932011</v>
      </c>
      <c r="C764" s="278">
        <v>0.46925615214066213</v>
      </c>
      <c r="D764" s="278">
        <v>0.57268336034308864</v>
      </c>
      <c r="E764" s="278">
        <f t="shared" si="329"/>
        <v>2.5135942276769518</v>
      </c>
      <c r="F764" s="279"/>
      <c r="G764" s="278">
        <v>1.027168357202062</v>
      </c>
      <c r="H764" s="278">
        <v>0.25808353110384824</v>
      </c>
      <c r="I764" s="278">
        <v>0.35326591462462559</v>
      </c>
      <c r="J764" s="278">
        <f t="shared" si="332"/>
        <v>1.6385178029305358</v>
      </c>
      <c r="K764" s="279"/>
      <c r="L764" s="278">
        <v>0.93095083306359283</v>
      </c>
      <c r="M764" s="278">
        <v>0.31393053585911046</v>
      </c>
      <c r="N764" s="278">
        <v>0.66661685244212709</v>
      </c>
      <c r="O764" s="278">
        <f t="shared" si="331"/>
        <v>1.9114982213648304</v>
      </c>
    </row>
    <row r="765" spans="1:15" s="212" customFormat="1">
      <c r="A765" s="213" t="str">
        <f>name!E$12</f>
        <v>Elementary occupations</v>
      </c>
      <c r="B765" s="278">
        <v>1.2902611160643618</v>
      </c>
      <c r="C765" s="278">
        <v>0.55447875921816414</v>
      </c>
      <c r="D765" s="278">
        <v>1.7292242225540508</v>
      </c>
      <c r="E765" s="278">
        <f t="shared" si="329"/>
        <v>3.5739640978365768</v>
      </c>
      <c r="F765" s="279"/>
      <c r="G765" s="278">
        <v>0.89674485230063106</v>
      </c>
      <c r="H765" s="278">
        <v>0.29281449600074122</v>
      </c>
      <c r="I765" s="278">
        <v>0.98642928085879555</v>
      </c>
      <c r="J765" s="278">
        <f t="shared" si="332"/>
        <v>2.1759886291601678</v>
      </c>
      <c r="K765" s="279"/>
      <c r="L765" s="278">
        <v>0.94561067696172629</v>
      </c>
      <c r="M765" s="278">
        <v>0.54528950799188536</v>
      </c>
      <c r="N765" s="278">
        <v>1.2955315724537404</v>
      </c>
      <c r="O765" s="278">
        <f t="shared" si="331"/>
        <v>2.7864317574073523</v>
      </c>
    </row>
    <row r="766" spans="1:15" s="212" customFormat="1">
      <c r="A766" s="213"/>
      <c r="B766" s="278"/>
      <c r="C766" s="278"/>
      <c r="D766" s="278"/>
      <c r="E766" s="278"/>
      <c r="F766" s="279"/>
      <c r="G766" s="278"/>
      <c r="H766" s="278"/>
      <c r="I766" s="278"/>
      <c r="J766" s="278"/>
      <c r="K766" s="279"/>
      <c r="L766" s="278"/>
      <c r="M766" s="278"/>
      <c r="N766" s="278"/>
      <c r="O766" s="278"/>
    </row>
    <row r="767" spans="1:15" s="212" customFormat="1">
      <c r="A767" s="220" t="s">
        <v>119</v>
      </c>
      <c r="B767" s="282">
        <f>SUM(B757:B765)</f>
        <v>161.49499999788725</v>
      </c>
      <c r="C767" s="282">
        <f t="shared" ref="C767:E767" si="333">SUM(C757:C765)</f>
        <v>14.564000000151564</v>
      </c>
      <c r="D767" s="282">
        <f t="shared" si="333"/>
        <v>20.205000000110012</v>
      </c>
      <c r="E767" s="282">
        <f t="shared" si="333"/>
        <v>196.26399999814885</v>
      </c>
      <c r="F767" s="282"/>
      <c r="G767" s="282">
        <f t="shared" ref="G767:J767" si="334">SUM(G757:G765)</f>
        <v>155.44499999860574</v>
      </c>
      <c r="H767" s="282">
        <f t="shared" si="334"/>
        <v>10.450000000039546</v>
      </c>
      <c r="I767" s="282">
        <f t="shared" si="334"/>
        <v>12.815000000124444</v>
      </c>
      <c r="J767" s="282">
        <f t="shared" si="334"/>
        <v>178.70999999876975</v>
      </c>
      <c r="K767" s="282"/>
      <c r="L767" s="282">
        <f t="shared" ref="L767:O767" si="335">SUM(L757:L765)</f>
        <v>178.31800000060423</v>
      </c>
      <c r="M767" s="282">
        <f t="shared" si="335"/>
        <v>11.871000000266921</v>
      </c>
      <c r="N767" s="282">
        <f t="shared" si="335"/>
        <v>15.183000000246148</v>
      </c>
      <c r="O767" s="282">
        <f t="shared" si="335"/>
        <v>205.37200000111724</v>
      </c>
    </row>
    <row r="768" spans="1:15" s="212" customFormat="1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3"/>
      <c r="M768" s="213"/>
      <c r="N768" s="216"/>
    </row>
    <row r="769" spans="1:15" s="212" customFormat="1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13"/>
      <c r="M769" s="213"/>
      <c r="N769" s="216"/>
      <c r="O769" s="227" t="s">
        <v>114</v>
      </c>
    </row>
    <row r="770" spans="1:15" s="212" customFormat="1" ht="12.95">
      <c r="A770" s="218"/>
      <c r="B770" s="218"/>
      <c r="C770" s="218"/>
      <c r="D770" s="218"/>
      <c r="E770" s="218"/>
      <c r="F770" s="218"/>
      <c r="G770" s="218"/>
      <c r="H770" s="218"/>
      <c r="I770" s="218"/>
      <c r="J770" s="218"/>
      <c r="K770" s="218"/>
      <c r="L770" s="218"/>
      <c r="M770" s="218"/>
      <c r="N770" s="218"/>
      <c r="O770" s="218"/>
    </row>
    <row r="771" spans="1:15" s="212" customFormat="1" ht="12.95">
      <c r="A771" s="217" t="str">
        <f>name!A48</f>
        <v>Computing services</v>
      </c>
      <c r="B771" s="369">
        <f>$B$6</f>
        <v>2015</v>
      </c>
      <c r="C771" s="369"/>
      <c r="D771" s="369"/>
      <c r="E771" s="369"/>
      <c r="F771" s="239"/>
      <c r="G771" s="369">
        <f>$G$6</f>
        <v>2020</v>
      </c>
      <c r="H771" s="369"/>
      <c r="I771" s="369"/>
      <c r="J771" s="369"/>
      <c r="K771" s="239"/>
      <c r="L771" s="369">
        <f>$L$6</f>
        <v>2035</v>
      </c>
      <c r="M771" s="369"/>
      <c r="N771" s="369"/>
      <c r="O771" s="369"/>
    </row>
    <row r="772" spans="1:15" s="212" customFormat="1" ht="12.95">
      <c r="A772" s="230"/>
      <c r="B772" s="244" t="str">
        <f>$B$7</f>
        <v>FT</v>
      </c>
      <c r="C772" s="244" t="str">
        <f>$C$7</f>
        <v>PT</v>
      </c>
      <c r="D772" s="244" t="str">
        <f>$D$7</f>
        <v>SE</v>
      </c>
      <c r="E772" s="244" t="str">
        <f>$E$7</f>
        <v>Total</v>
      </c>
      <c r="F772" s="244"/>
      <c r="G772" s="244" t="str">
        <f>$G$7</f>
        <v>FT</v>
      </c>
      <c r="H772" s="244" t="str">
        <f>$H$7</f>
        <v>PT</v>
      </c>
      <c r="I772" s="244" t="str">
        <f>$I$7</f>
        <v>SE</v>
      </c>
      <c r="J772" s="244" t="str">
        <f>$J$7</f>
        <v>Total</v>
      </c>
      <c r="K772" s="244"/>
      <c r="L772" s="244" t="str">
        <f>$L$7</f>
        <v>FT</v>
      </c>
      <c r="M772" s="244" t="str">
        <f>$M$7</f>
        <v>PT</v>
      </c>
      <c r="N772" s="244" t="str">
        <f>$N$7</f>
        <v>SE</v>
      </c>
      <c r="O772" s="244" t="str">
        <f>$O$7</f>
        <v>Total</v>
      </c>
    </row>
    <row r="773" spans="1:15" s="212" customFormat="1" ht="12.95">
      <c r="A773" s="234"/>
      <c r="B773" s="215"/>
      <c r="C773" s="215"/>
      <c r="D773" s="215"/>
      <c r="E773" s="215"/>
      <c r="F773" s="215"/>
      <c r="G773" s="215"/>
      <c r="H773" s="215"/>
      <c r="I773" s="215"/>
      <c r="J773" s="215"/>
      <c r="K773" s="215"/>
      <c r="L773" s="215"/>
      <c r="M773" s="215"/>
      <c r="N773" s="215"/>
      <c r="O773" s="215"/>
    </row>
    <row r="774" spans="1:15" s="212" customFormat="1">
      <c r="A774" s="213" t="str">
        <f>name!E$4</f>
        <v>Managers, directors and senior officials</v>
      </c>
      <c r="B774" s="278">
        <v>82.460531203430818</v>
      </c>
      <c r="C774" s="278">
        <v>9.6176522606282369</v>
      </c>
      <c r="D774" s="278">
        <v>10.18155281900288</v>
      </c>
      <c r="E774" s="278">
        <f>SUM(B774:D774)</f>
        <v>102.25973628306193</v>
      </c>
      <c r="F774" s="279"/>
      <c r="G774" s="278">
        <v>92.674243040889309</v>
      </c>
      <c r="H774" s="278">
        <v>14.946079083827684</v>
      </c>
      <c r="I774" s="278">
        <v>11.70048131220779</v>
      </c>
      <c r="J774" s="278">
        <f>SUM(G774:I774)</f>
        <v>119.32080343692478</v>
      </c>
      <c r="K774" s="279"/>
      <c r="L774" s="278">
        <v>88.558089486852253</v>
      </c>
      <c r="M774" s="278">
        <v>17.05067607879052</v>
      </c>
      <c r="N774" s="278">
        <v>14.255450936873011</v>
      </c>
      <c r="O774" s="278">
        <f>SUM(L774:N774)</f>
        <v>119.86421650251577</v>
      </c>
    </row>
    <row r="775" spans="1:15" s="212" customFormat="1">
      <c r="A775" s="213" t="str">
        <f>name!E$5</f>
        <v>Professional occupations</v>
      </c>
      <c r="B775" s="278">
        <v>263.94335355249785</v>
      </c>
      <c r="C775" s="278">
        <v>15.002913116620405</v>
      </c>
      <c r="D775" s="278">
        <v>26.075131047389583</v>
      </c>
      <c r="E775" s="278">
        <f t="shared" ref="E775:E782" si="336">SUM(B775:D775)</f>
        <v>305.02139771650781</v>
      </c>
      <c r="F775" s="279"/>
      <c r="G775" s="278">
        <v>322.30065773764761</v>
      </c>
      <c r="H775" s="278">
        <v>20.290401062173128</v>
      </c>
      <c r="I775" s="278">
        <v>26.046268361396585</v>
      </c>
      <c r="J775" s="278">
        <f t="shared" ref="J775:J777" si="337">SUM(G775:I775)</f>
        <v>368.63732716121734</v>
      </c>
      <c r="K775" s="279"/>
      <c r="L775" s="278">
        <v>422.88848482248704</v>
      </c>
      <c r="M775" s="278">
        <v>28.346751682809256</v>
      </c>
      <c r="N775" s="278">
        <v>26.626397137742018</v>
      </c>
      <c r="O775" s="278">
        <f t="shared" ref="O775:O782" si="338">SUM(L775:N775)</f>
        <v>477.86163364303832</v>
      </c>
    </row>
    <row r="776" spans="1:15" s="212" customFormat="1">
      <c r="A776" s="213" t="str">
        <f>name!E$6</f>
        <v>Associate professional occupations</v>
      </c>
      <c r="B776" s="278">
        <v>95.740111139233164</v>
      </c>
      <c r="C776" s="278">
        <v>10.628310270076129</v>
      </c>
      <c r="D776" s="278">
        <v>13.474953128740248</v>
      </c>
      <c r="E776" s="278">
        <f t="shared" si="336"/>
        <v>119.84337453804955</v>
      </c>
      <c r="F776" s="279"/>
      <c r="G776" s="278">
        <v>111.03433981412181</v>
      </c>
      <c r="H776" s="278">
        <v>12.600623244093038</v>
      </c>
      <c r="I776" s="278">
        <v>14.424099448883434</v>
      </c>
      <c r="J776" s="278">
        <f t="shared" si="337"/>
        <v>138.05906250709828</v>
      </c>
      <c r="K776" s="279"/>
      <c r="L776" s="278">
        <v>112.20644923557295</v>
      </c>
      <c r="M776" s="278">
        <v>11.875361122085026</v>
      </c>
      <c r="N776" s="278">
        <v>16.555999344301913</v>
      </c>
      <c r="O776" s="278">
        <f t="shared" si="338"/>
        <v>140.6378097019599</v>
      </c>
    </row>
    <row r="777" spans="1:15" s="212" customFormat="1">
      <c r="A777" s="213" t="str">
        <f>name!E$7</f>
        <v>Administrative and secretarial occupations</v>
      </c>
      <c r="B777" s="278">
        <v>29.459981726191916</v>
      </c>
      <c r="C777" s="278">
        <v>16.817918357287059</v>
      </c>
      <c r="D777" s="278">
        <v>1.547500415747934</v>
      </c>
      <c r="E777" s="278">
        <f t="shared" si="336"/>
        <v>47.825400499226909</v>
      </c>
      <c r="F777" s="279"/>
      <c r="G777" s="278">
        <v>29.43747744866641</v>
      </c>
      <c r="H777" s="278">
        <v>13.442792853327358</v>
      </c>
      <c r="I777" s="278">
        <v>1.5688119273255445</v>
      </c>
      <c r="J777" s="278">
        <f t="shared" si="337"/>
        <v>44.449082229319316</v>
      </c>
      <c r="K777" s="279"/>
      <c r="L777" s="278">
        <v>27.873584913281253</v>
      </c>
      <c r="M777" s="278">
        <v>11.441153476136767</v>
      </c>
      <c r="N777" s="278">
        <v>1.1710200447679868</v>
      </c>
      <c r="O777" s="278">
        <f t="shared" si="338"/>
        <v>40.485758434186003</v>
      </c>
    </row>
    <row r="778" spans="1:15" s="212" customFormat="1">
      <c r="A778" s="213" t="str">
        <f>name!E$8</f>
        <v>Skilled trades occupations</v>
      </c>
      <c r="B778" s="278">
        <v>22.096128741225222</v>
      </c>
      <c r="C778" s="278">
        <v>2.6273201023602137</v>
      </c>
      <c r="D778" s="278">
        <v>7.790138984557017</v>
      </c>
      <c r="E778" s="278">
        <f t="shared" si="336"/>
        <v>32.513587828142455</v>
      </c>
      <c r="F778" s="279"/>
      <c r="G778" s="278">
        <v>18.13101780969324</v>
      </c>
      <c r="H778" s="278">
        <v>2.1244052922071126</v>
      </c>
      <c r="I778" s="278">
        <v>6.0544238689525596</v>
      </c>
      <c r="J778" s="278">
        <f>SUM(G778:I778)</f>
        <v>26.309846970852909</v>
      </c>
      <c r="K778" s="279"/>
      <c r="L778" s="278">
        <v>13.570685819865824</v>
      </c>
      <c r="M778" s="278">
        <v>2.9901356179194916</v>
      </c>
      <c r="N778" s="278">
        <v>10.972743346069207</v>
      </c>
      <c r="O778" s="278">
        <f t="shared" si="338"/>
        <v>27.533564783854523</v>
      </c>
    </row>
    <row r="779" spans="1:15" s="212" customFormat="1">
      <c r="A779" s="213" t="str">
        <f>name!E$9</f>
        <v>Caring, leisure and other service occupations</v>
      </c>
      <c r="B779" s="278">
        <v>9.0903797492889726</v>
      </c>
      <c r="C779" s="278">
        <v>1.7816658408315258</v>
      </c>
      <c r="D779" s="278">
        <v>1.0069296347991761</v>
      </c>
      <c r="E779" s="278">
        <f t="shared" si="336"/>
        <v>11.878975224919675</v>
      </c>
      <c r="F779" s="279"/>
      <c r="G779" s="278">
        <v>8.7478989216064935</v>
      </c>
      <c r="H779" s="278">
        <v>1.7892657074854521</v>
      </c>
      <c r="I779" s="278">
        <v>1.1526413719641428</v>
      </c>
      <c r="J779" s="278">
        <f t="shared" ref="J779:J782" si="339">SUM(G779:I779)</f>
        <v>11.689806001056088</v>
      </c>
      <c r="K779" s="279"/>
      <c r="L779" s="278">
        <v>11.19202008131232</v>
      </c>
      <c r="M779" s="278">
        <v>1.7793972962072131</v>
      </c>
      <c r="N779" s="278">
        <v>1.723166913642455</v>
      </c>
      <c r="O779" s="278">
        <f t="shared" si="338"/>
        <v>14.694584291161988</v>
      </c>
    </row>
    <row r="780" spans="1:15" s="212" customFormat="1">
      <c r="A780" s="213" t="str">
        <f>name!E$10</f>
        <v>Sales and customer service occupations</v>
      </c>
      <c r="B780" s="278">
        <v>10.539518136864416</v>
      </c>
      <c r="C780" s="278">
        <v>3.7283821870759724</v>
      </c>
      <c r="D780" s="278">
        <v>0.83578161342317292</v>
      </c>
      <c r="E780" s="278">
        <f t="shared" si="336"/>
        <v>15.103681937363561</v>
      </c>
      <c r="F780" s="279"/>
      <c r="G780" s="278">
        <v>9.9897257794634893</v>
      </c>
      <c r="H780" s="278">
        <v>3.6117476281838665</v>
      </c>
      <c r="I780" s="278">
        <v>0.70386675530509657</v>
      </c>
      <c r="J780" s="278">
        <f t="shared" si="339"/>
        <v>14.305340162952453</v>
      </c>
      <c r="K780" s="279"/>
      <c r="L780" s="278">
        <v>11.511570583836718</v>
      </c>
      <c r="M780" s="278">
        <v>4.568229222206365</v>
      </c>
      <c r="N780" s="278">
        <v>0.82755140345998246</v>
      </c>
      <c r="O780" s="278">
        <f t="shared" si="338"/>
        <v>16.907351209503066</v>
      </c>
    </row>
    <row r="781" spans="1:15" s="212" customFormat="1">
      <c r="A781" s="213" t="str">
        <f>name!E$11</f>
        <v>Process, plant and machine operatives</v>
      </c>
      <c r="B781" s="278">
        <v>2.0212817121263558</v>
      </c>
      <c r="C781" s="278">
        <v>1.6606884333090606</v>
      </c>
      <c r="D781" s="278">
        <v>2.2863843161929309</v>
      </c>
      <c r="E781" s="278">
        <f t="shared" si="336"/>
        <v>5.9683544616283477</v>
      </c>
      <c r="F781" s="279"/>
      <c r="G781" s="278">
        <v>1.5778103793733853</v>
      </c>
      <c r="H781" s="278">
        <v>2.1746255888680528</v>
      </c>
      <c r="I781" s="278">
        <v>2.4807279142887277</v>
      </c>
      <c r="J781" s="278">
        <f t="shared" si="339"/>
        <v>6.2331638825301656</v>
      </c>
      <c r="K781" s="279"/>
      <c r="L781" s="278">
        <v>1.6359009989374267</v>
      </c>
      <c r="M781" s="278">
        <v>2.2117090614481345</v>
      </c>
      <c r="N781" s="278">
        <v>3.5934816352355692</v>
      </c>
      <c r="O781" s="278">
        <f t="shared" si="338"/>
        <v>7.4410916956211306</v>
      </c>
    </row>
    <row r="782" spans="1:15" s="212" customFormat="1">
      <c r="A782" s="213" t="str">
        <f>name!E$12</f>
        <v>Elementary occupations</v>
      </c>
      <c r="B782" s="278">
        <v>2.5227140306664424</v>
      </c>
      <c r="C782" s="278">
        <v>1.3111494309557492</v>
      </c>
      <c r="D782" s="278">
        <v>2.203628040620119</v>
      </c>
      <c r="E782" s="278">
        <f t="shared" si="336"/>
        <v>6.037491502242311</v>
      </c>
      <c r="F782" s="279"/>
      <c r="G782" s="278">
        <v>1.8368290649791872</v>
      </c>
      <c r="H782" s="278">
        <v>1.0080595394958967</v>
      </c>
      <c r="I782" s="278">
        <v>1.60267904032967</v>
      </c>
      <c r="J782" s="278">
        <f t="shared" si="339"/>
        <v>4.4475676448047539</v>
      </c>
      <c r="K782" s="279"/>
      <c r="L782" s="278">
        <v>1.7982140616822784</v>
      </c>
      <c r="M782" s="278">
        <v>1.0205864419645567</v>
      </c>
      <c r="N782" s="278">
        <v>3.1281892397518076</v>
      </c>
      <c r="O782" s="278">
        <f t="shared" si="338"/>
        <v>5.9469897433986425</v>
      </c>
    </row>
    <row r="783" spans="1:15" s="212" customFormat="1">
      <c r="A783" s="213"/>
      <c r="B783" s="278"/>
      <c r="C783" s="278"/>
      <c r="D783" s="278"/>
      <c r="E783" s="278"/>
      <c r="F783" s="279"/>
      <c r="G783" s="278"/>
      <c r="H783" s="278"/>
      <c r="I783" s="278"/>
      <c r="J783" s="278"/>
      <c r="K783" s="279"/>
      <c r="L783" s="278"/>
      <c r="M783" s="278"/>
      <c r="N783" s="278"/>
      <c r="O783" s="278"/>
    </row>
    <row r="784" spans="1:15" s="212" customFormat="1">
      <c r="A784" s="220" t="s">
        <v>119</v>
      </c>
      <c r="B784" s="282">
        <f>SUM(B774:B782)</f>
        <v>517.87399999152512</v>
      </c>
      <c r="C784" s="282">
        <f t="shared" ref="C784:E784" si="340">SUM(C774:C782)</f>
        <v>63.175999999144366</v>
      </c>
      <c r="D784" s="282">
        <f t="shared" si="340"/>
        <v>65.402000000473066</v>
      </c>
      <c r="E784" s="282">
        <f t="shared" si="340"/>
        <v>646.45199999114266</v>
      </c>
      <c r="F784" s="282"/>
      <c r="G784" s="282">
        <f t="shared" ref="G784:J784" si="341">SUM(G774:G782)</f>
        <v>595.72999999644105</v>
      </c>
      <c r="H784" s="282">
        <f t="shared" si="341"/>
        <v>71.987999999661596</v>
      </c>
      <c r="I784" s="282">
        <f t="shared" si="341"/>
        <v>65.734000000653552</v>
      </c>
      <c r="J784" s="282">
        <f t="shared" si="341"/>
        <v>733.45199999675617</v>
      </c>
      <c r="K784" s="282"/>
      <c r="L784" s="282">
        <f t="shared" ref="L784:O784" si="342">SUM(L774:L782)</f>
        <v>691.23500000382808</v>
      </c>
      <c r="M784" s="282">
        <f t="shared" si="342"/>
        <v>81.283999999567314</v>
      </c>
      <c r="N784" s="282">
        <f t="shared" si="342"/>
        <v>78.854000001843943</v>
      </c>
      <c r="O784" s="282">
        <f t="shared" si="342"/>
        <v>851.37300000523931</v>
      </c>
    </row>
    <row r="785" spans="1:15" s="212" customFormat="1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3"/>
      <c r="M785" s="213"/>
      <c r="N785" s="216"/>
    </row>
    <row r="786" spans="1:15" s="212" customFormat="1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13"/>
      <c r="M786" s="213"/>
      <c r="N786" s="216"/>
      <c r="O786" s="227" t="s">
        <v>114</v>
      </c>
    </row>
    <row r="787" spans="1:15" s="212" customFormat="1" ht="12.95">
      <c r="A787" s="218"/>
      <c r="B787" s="218"/>
      <c r="C787" s="218"/>
      <c r="D787" s="218"/>
      <c r="E787" s="218"/>
      <c r="F787" s="218"/>
      <c r="G787" s="218"/>
      <c r="H787" s="218"/>
      <c r="I787" s="218"/>
      <c r="J787" s="218"/>
      <c r="K787" s="218"/>
      <c r="L787" s="218"/>
      <c r="M787" s="218"/>
      <c r="N787" s="218"/>
      <c r="O787" s="218"/>
    </row>
    <row r="788" spans="1:15" s="212" customFormat="1" ht="12.95">
      <c r="A788" s="217" t="str">
        <f>name!A49</f>
        <v>Information services</v>
      </c>
      <c r="B788" s="369">
        <f>$B$6</f>
        <v>2015</v>
      </c>
      <c r="C788" s="369"/>
      <c r="D788" s="369"/>
      <c r="E788" s="369"/>
      <c r="F788" s="239"/>
      <c r="G788" s="369">
        <f>$G$6</f>
        <v>2020</v>
      </c>
      <c r="H788" s="369"/>
      <c r="I788" s="369"/>
      <c r="J788" s="369"/>
      <c r="K788" s="239"/>
      <c r="L788" s="369">
        <f>$L$6</f>
        <v>2035</v>
      </c>
      <c r="M788" s="369"/>
      <c r="N788" s="369"/>
      <c r="O788" s="369"/>
    </row>
    <row r="789" spans="1:15" s="212" customFormat="1" ht="12.95">
      <c r="A789" s="230"/>
      <c r="B789" s="244" t="str">
        <f>$B$7</f>
        <v>FT</v>
      </c>
      <c r="C789" s="244" t="str">
        <f>$C$7</f>
        <v>PT</v>
      </c>
      <c r="D789" s="244" t="str">
        <f>$D$7</f>
        <v>SE</v>
      </c>
      <c r="E789" s="244" t="str">
        <f>$E$7</f>
        <v>Total</v>
      </c>
      <c r="F789" s="244"/>
      <c r="G789" s="244" t="str">
        <f>$G$7</f>
        <v>FT</v>
      </c>
      <c r="H789" s="244" t="str">
        <f>$H$7</f>
        <v>PT</v>
      </c>
      <c r="I789" s="244" t="str">
        <f>$I$7</f>
        <v>SE</v>
      </c>
      <c r="J789" s="244" t="str">
        <f>$J$7</f>
        <v>Total</v>
      </c>
      <c r="K789" s="244"/>
      <c r="L789" s="244" t="str">
        <f>$L$7</f>
        <v>FT</v>
      </c>
      <c r="M789" s="244" t="str">
        <f>$M$7</f>
        <v>PT</v>
      </c>
      <c r="N789" s="244" t="str">
        <f>$N$7</f>
        <v>SE</v>
      </c>
      <c r="O789" s="244" t="str">
        <f>$O$7</f>
        <v>Total</v>
      </c>
    </row>
    <row r="790" spans="1:15" s="212" customFormat="1" ht="12.95">
      <c r="A790" s="234"/>
      <c r="B790" s="215"/>
      <c r="C790" s="215"/>
      <c r="D790" s="215"/>
      <c r="E790" s="215"/>
      <c r="F790" s="215"/>
      <c r="G790" s="215"/>
      <c r="H790" s="215"/>
      <c r="I790" s="215"/>
      <c r="J790" s="215"/>
      <c r="K790" s="215"/>
      <c r="L790" s="215"/>
      <c r="M790" s="215"/>
      <c r="N790" s="215"/>
      <c r="O790" s="215"/>
    </row>
    <row r="791" spans="1:15" s="212" customFormat="1">
      <c r="A791" s="213" t="str">
        <f>name!E$4</f>
        <v>Managers, directors and senior officials</v>
      </c>
      <c r="B791" s="278">
        <v>11.773558486655235</v>
      </c>
      <c r="C791" s="278">
        <v>0.5464562753792287</v>
      </c>
      <c r="D791" s="278">
        <v>1.1579194142952542</v>
      </c>
      <c r="E791" s="278">
        <f>SUM(B791:D791)</f>
        <v>13.477934176329716</v>
      </c>
      <c r="F791" s="279"/>
      <c r="G791" s="278">
        <v>11.303686575924653</v>
      </c>
      <c r="H791" s="278">
        <v>0.97520115628320547</v>
      </c>
      <c r="I791" s="278">
        <v>1.018941697271891</v>
      </c>
      <c r="J791" s="278">
        <f>SUM(G791:I791)</f>
        <v>13.29782942947975</v>
      </c>
      <c r="K791" s="279"/>
      <c r="L791" s="278">
        <v>11.558852593164728</v>
      </c>
      <c r="M791" s="278">
        <v>1.2058738726979628</v>
      </c>
      <c r="N791" s="278">
        <v>1.2773091032046302</v>
      </c>
      <c r="O791" s="278">
        <f>SUM(L791:N791)</f>
        <v>14.04203556906732</v>
      </c>
    </row>
    <row r="792" spans="1:15" s="212" customFormat="1">
      <c r="A792" s="213" t="str">
        <f>name!E$5</f>
        <v>Professional occupations</v>
      </c>
      <c r="B792" s="278">
        <v>29.749478835612589</v>
      </c>
      <c r="C792" s="278">
        <v>0.79427146349258537</v>
      </c>
      <c r="D792" s="278">
        <v>2.1060657642103173</v>
      </c>
      <c r="E792" s="278">
        <f t="shared" ref="E792:E799" si="343">SUM(B792:D792)</f>
        <v>32.649816063315491</v>
      </c>
      <c r="F792" s="279"/>
      <c r="G792" s="278">
        <v>31.623621713552339</v>
      </c>
      <c r="H792" s="278">
        <v>1.2213225658873867</v>
      </c>
      <c r="I792" s="278">
        <v>1.6453191038142567</v>
      </c>
      <c r="J792" s="278">
        <f t="shared" ref="J792:J794" si="344">SUM(G792:I792)</f>
        <v>34.490263383253982</v>
      </c>
      <c r="K792" s="279"/>
      <c r="L792" s="278">
        <v>42.901220249068039</v>
      </c>
      <c r="M792" s="278">
        <v>1.8795251128528989</v>
      </c>
      <c r="N792" s="278">
        <v>1.6091424226351594</v>
      </c>
      <c r="O792" s="278">
        <f t="shared" ref="O792:O799" si="345">SUM(L792:N792)</f>
        <v>46.389887784556095</v>
      </c>
    </row>
    <row r="793" spans="1:15" s="212" customFormat="1">
      <c r="A793" s="213" t="str">
        <f>name!E$6</f>
        <v>Associate professional occupations</v>
      </c>
      <c r="B793" s="278">
        <v>14.713202197249476</v>
      </c>
      <c r="C793" s="278">
        <v>0.72784203907014189</v>
      </c>
      <c r="D793" s="278">
        <v>1.6575824487610598</v>
      </c>
      <c r="E793" s="278">
        <f t="shared" si="343"/>
        <v>17.098626685080678</v>
      </c>
      <c r="F793" s="279"/>
      <c r="G793" s="278">
        <v>14.599068937143555</v>
      </c>
      <c r="H793" s="278">
        <v>1.0062418419606183</v>
      </c>
      <c r="I793" s="278">
        <v>1.326754244966885</v>
      </c>
      <c r="J793" s="278">
        <f t="shared" si="344"/>
        <v>16.932065024071058</v>
      </c>
      <c r="K793" s="279"/>
      <c r="L793" s="278">
        <v>15.730111655081375</v>
      </c>
      <c r="M793" s="278">
        <v>1.1711685053650667</v>
      </c>
      <c r="N793" s="278">
        <v>1.441806429518441</v>
      </c>
      <c r="O793" s="278">
        <f t="shared" si="345"/>
        <v>18.34308658996488</v>
      </c>
    </row>
    <row r="794" spans="1:15" s="212" customFormat="1">
      <c r="A794" s="213" t="str">
        <f>name!E$7</f>
        <v>Administrative and secretarial occupations</v>
      </c>
      <c r="B794" s="278">
        <v>6.6393422873681445</v>
      </c>
      <c r="C794" s="278">
        <v>1.0955021685604158</v>
      </c>
      <c r="D794" s="278">
        <v>0.20951673396359785</v>
      </c>
      <c r="E794" s="278">
        <f t="shared" si="343"/>
        <v>7.9443611898921587</v>
      </c>
      <c r="F794" s="279"/>
      <c r="G794" s="278">
        <v>5.517115871076931</v>
      </c>
      <c r="H794" s="278">
        <v>1.092332198935263</v>
      </c>
      <c r="I794" s="278">
        <v>0.15236479774609793</v>
      </c>
      <c r="J794" s="278">
        <f t="shared" si="344"/>
        <v>6.7618128677582918</v>
      </c>
      <c r="K794" s="279"/>
      <c r="L794" s="278">
        <v>5.4792175160979522</v>
      </c>
      <c r="M794" s="278">
        <v>1.132244130074183</v>
      </c>
      <c r="N794" s="278">
        <v>0.12693538262855944</v>
      </c>
      <c r="O794" s="278">
        <f t="shared" si="345"/>
        <v>6.7383970288006942</v>
      </c>
    </row>
    <row r="795" spans="1:15" s="212" customFormat="1">
      <c r="A795" s="213" t="str">
        <f>name!E$8</f>
        <v>Skilled trades occupations</v>
      </c>
      <c r="B795" s="278">
        <v>2.6956239095920731</v>
      </c>
      <c r="C795" s="278">
        <v>0.17732018609415912</v>
      </c>
      <c r="D795" s="278">
        <v>0.85463310548531712</v>
      </c>
      <c r="E795" s="278">
        <f t="shared" si="343"/>
        <v>3.7275772011715493</v>
      </c>
      <c r="F795" s="279"/>
      <c r="G795" s="278">
        <v>1.9000259651476663</v>
      </c>
      <c r="H795" s="278">
        <v>0.17390757803748974</v>
      </c>
      <c r="I795" s="278">
        <v>0.48460685230343026</v>
      </c>
      <c r="J795" s="278">
        <f>SUM(G795:I795)</f>
        <v>2.5585403954885866</v>
      </c>
      <c r="K795" s="279"/>
      <c r="L795" s="278">
        <v>1.6164697260629459</v>
      </c>
      <c r="M795" s="278">
        <v>0.29911504955976975</v>
      </c>
      <c r="N795" s="278">
        <v>0.80744917269289196</v>
      </c>
      <c r="O795" s="278">
        <f t="shared" si="345"/>
        <v>2.7230339483156079</v>
      </c>
    </row>
    <row r="796" spans="1:15" s="212" customFormat="1">
      <c r="A796" s="213" t="str">
        <f>name!E$9</f>
        <v>Caring, leisure and other service occupations</v>
      </c>
      <c r="B796" s="278">
        <v>2.5167082764654261</v>
      </c>
      <c r="C796" s="278">
        <v>0.50380690024030639</v>
      </c>
      <c r="D796" s="278">
        <v>0.30300007165502202</v>
      </c>
      <c r="E796" s="278">
        <f t="shared" si="343"/>
        <v>3.3235152483607542</v>
      </c>
      <c r="F796" s="279"/>
      <c r="G796" s="278">
        <v>1.9773843522949899</v>
      </c>
      <c r="H796" s="278">
        <v>0.58429168815543786</v>
      </c>
      <c r="I796" s="278">
        <v>0.28190528916972146</v>
      </c>
      <c r="J796" s="278">
        <f t="shared" ref="J796:J799" si="346">SUM(G796:I796)</f>
        <v>2.8435813296201493</v>
      </c>
      <c r="K796" s="279"/>
      <c r="L796" s="278">
        <v>2.4863816202446607</v>
      </c>
      <c r="M796" s="278">
        <v>0.6765264485992919</v>
      </c>
      <c r="N796" s="278">
        <v>0.43738262040287429</v>
      </c>
      <c r="O796" s="278">
        <f t="shared" si="345"/>
        <v>3.6002906892468269</v>
      </c>
    </row>
    <row r="797" spans="1:15" s="212" customFormat="1">
      <c r="A797" s="213" t="str">
        <f>name!E$10</f>
        <v>Sales and customer service occupations</v>
      </c>
      <c r="B797" s="278">
        <v>3.0125339091113412</v>
      </c>
      <c r="C797" s="278">
        <v>0.42922777933881351</v>
      </c>
      <c r="D797" s="278">
        <v>0.15612881471024739</v>
      </c>
      <c r="E797" s="278">
        <f t="shared" si="343"/>
        <v>3.5978905031604023</v>
      </c>
      <c r="F797" s="279"/>
      <c r="G797" s="278">
        <v>2.4275268795455962</v>
      </c>
      <c r="H797" s="278">
        <v>0.61139545011440122</v>
      </c>
      <c r="I797" s="278">
        <v>8.5527148784467336E-2</v>
      </c>
      <c r="J797" s="278">
        <f t="shared" si="346"/>
        <v>3.1244494784444647</v>
      </c>
      <c r="K797" s="279"/>
      <c r="L797" s="278">
        <v>2.8372686439390753</v>
      </c>
      <c r="M797" s="278">
        <v>1.0175338992688789</v>
      </c>
      <c r="N797" s="278">
        <v>8.7057327396073039E-2</v>
      </c>
      <c r="O797" s="278">
        <f t="shared" si="345"/>
        <v>3.9418598706040275</v>
      </c>
    </row>
    <row r="798" spans="1:15" s="212" customFormat="1">
      <c r="A798" s="213" t="str">
        <f>name!E$11</f>
        <v>Process, plant and machine operatives</v>
      </c>
      <c r="B798" s="278">
        <v>1.0203508302717319</v>
      </c>
      <c r="C798" s="278">
        <v>0.24762931525996831</v>
      </c>
      <c r="D798" s="278">
        <v>0.22000526294567282</v>
      </c>
      <c r="E798" s="278">
        <f t="shared" si="343"/>
        <v>1.4879854084773729</v>
      </c>
      <c r="F798" s="279"/>
      <c r="G798" s="278">
        <v>0.61122696187501757</v>
      </c>
      <c r="H798" s="278">
        <v>0.42704516500179002</v>
      </c>
      <c r="I798" s="278">
        <v>0.1881317696031137</v>
      </c>
      <c r="J798" s="278">
        <f t="shared" si="346"/>
        <v>1.2264038964799213</v>
      </c>
      <c r="K798" s="279"/>
      <c r="L798" s="278">
        <v>0.58753787948240643</v>
      </c>
      <c r="M798" s="278">
        <v>0.57088047137897546</v>
      </c>
      <c r="N798" s="278">
        <v>0.26773120714107401</v>
      </c>
      <c r="O798" s="278">
        <f t="shared" si="345"/>
        <v>1.4261495580024559</v>
      </c>
    </row>
    <row r="799" spans="1:15" s="212" customFormat="1">
      <c r="A799" s="213" t="str">
        <f>name!E$12</f>
        <v>Elementary occupations</v>
      </c>
      <c r="B799" s="278">
        <v>6.3292012668394237</v>
      </c>
      <c r="C799" s="278">
        <v>2.4249438726017551</v>
      </c>
      <c r="D799" s="278">
        <v>1.1091483840647058</v>
      </c>
      <c r="E799" s="278">
        <f t="shared" si="343"/>
        <v>9.8632935235058845</v>
      </c>
      <c r="F799" s="279"/>
      <c r="G799" s="278">
        <v>4.364342743220968</v>
      </c>
      <c r="H799" s="278">
        <v>2.5802623556348259</v>
      </c>
      <c r="I799" s="278">
        <v>0.75844909639873426</v>
      </c>
      <c r="J799" s="278">
        <f t="shared" si="346"/>
        <v>7.7030541952545279</v>
      </c>
      <c r="K799" s="279"/>
      <c r="L799" s="278">
        <v>5.0189401176734529</v>
      </c>
      <c r="M799" s="278">
        <v>1.9161325102314122</v>
      </c>
      <c r="N799" s="278">
        <v>1.028186334567132</v>
      </c>
      <c r="O799" s="278">
        <f t="shared" si="345"/>
        <v>7.9632589624719969</v>
      </c>
    </row>
    <row r="800" spans="1:15" s="212" customFormat="1">
      <c r="A800" s="213"/>
      <c r="B800" s="278"/>
      <c r="C800" s="278"/>
      <c r="D800" s="278"/>
      <c r="E800" s="278"/>
      <c r="F800" s="279"/>
      <c r="G800" s="278"/>
      <c r="H800" s="278"/>
      <c r="I800" s="278"/>
      <c r="J800" s="278"/>
      <c r="K800" s="279"/>
      <c r="L800" s="278"/>
      <c r="M800" s="278"/>
      <c r="N800" s="278"/>
      <c r="O800" s="278"/>
    </row>
    <row r="801" spans="1:15" s="212" customFormat="1">
      <c r="A801" s="220" t="s">
        <v>119</v>
      </c>
      <c r="B801" s="282">
        <f>SUM(B791:B799)</f>
        <v>78.449999999165442</v>
      </c>
      <c r="C801" s="282">
        <f t="shared" ref="C801:E801" si="347">SUM(C791:C799)</f>
        <v>6.9470000000373746</v>
      </c>
      <c r="D801" s="282">
        <f t="shared" si="347"/>
        <v>7.7740000000911946</v>
      </c>
      <c r="E801" s="282">
        <f t="shared" si="347"/>
        <v>93.170999999294011</v>
      </c>
      <c r="F801" s="282"/>
      <c r="G801" s="282">
        <f t="shared" ref="G801:J801" si="348">SUM(G791:G799)</f>
        <v>74.323999999781719</v>
      </c>
      <c r="H801" s="282">
        <f t="shared" si="348"/>
        <v>8.6720000000104172</v>
      </c>
      <c r="I801" s="282">
        <f t="shared" si="348"/>
        <v>5.9420000000585969</v>
      </c>
      <c r="J801" s="282">
        <f t="shared" si="348"/>
        <v>88.937999999850732</v>
      </c>
      <c r="K801" s="282"/>
      <c r="L801" s="282">
        <f t="shared" ref="L801:O801" si="349">SUM(L791:L799)</f>
        <v>88.216000000814631</v>
      </c>
      <c r="M801" s="282">
        <f t="shared" si="349"/>
        <v>9.869000000028441</v>
      </c>
      <c r="N801" s="282">
        <f t="shared" si="349"/>
        <v>7.0830000001868347</v>
      </c>
      <c r="O801" s="282">
        <f t="shared" si="349"/>
        <v>105.16800000102991</v>
      </c>
    </row>
    <row r="802" spans="1:15" s="212" customFormat="1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3"/>
      <c r="M802" s="213"/>
      <c r="N802" s="216"/>
    </row>
    <row r="803" spans="1:15" s="212" customFormat="1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13"/>
      <c r="M803" s="213"/>
      <c r="N803" s="216"/>
      <c r="O803" s="227" t="s">
        <v>114</v>
      </c>
    </row>
    <row r="804" spans="1:15" s="212" customFormat="1" ht="12.95">
      <c r="A804" s="218"/>
      <c r="B804" s="218"/>
      <c r="C804" s="218"/>
      <c r="D804" s="218"/>
      <c r="E804" s="218"/>
      <c r="F804" s="218"/>
      <c r="G804" s="218"/>
      <c r="H804" s="218"/>
      <c r="I804" s="218"/>
      <c r="J804" s="218"/>
      <c r="K804" s="218"/>
      <c r="L804" s="218"/>
      <c r="M804" s="218"/>
      <c r="N804" s="218"/>
      <c r="O804" s="218"/>
    </row>
    <row r="805" spans="1:15" s="212" customFormat="1" ht="12.95">
      <c r="A805" s="217" t="str">
        <f>name!A50</f>
        <v>Financial services</v>
      </c>
      <c r="B805" s="369">
        <f>$B$6</f>
        <v>2015</v>
      </c>
      <c r="C805" s="369"/>
      <c r="D805" s="369"/>
      <c r="E805" s="369"/>
      <c r="F805" s="239"/>
      <c r="G805" s="369">
        <f>$G$6</f>
        <v>2020</v>
      </c>
      <c r="H805" s="369"/>
      <c r="I805" s="369"/>
      <c r="J805" s="369"/>
      <c r="K805" s="239"/>
      <c r="L805" s="369">
        <f>$L$6</f>
        <v>2035</v>
      </c>
      <c r="M805" s="369"/>
      <c r="N805" s="369"/>
      <c r="O805" s="369"/>
    </row>
    <row r="806" spans="1:15" s="212" customFormat="1" ht="12.95">
      <c r="A806" s="230"/>
      <c r="B806" s="244" t="str">
        <f>$B$7</f>
        <v>FT</v>
      </c>
      <c r="C806" s="244" t="str">
        <f>$C$7</f>
        <v>PT</v>
      </c>
      <c r="D806" s="244" t="str">
        <f>$D$7</f>
        <v>SE</v>
      </c>
      <c r="E806" s="244" t="str">
        <f>$E$7</f>
        <v>Total</v>
      </c>
      <c r="F806" s="244"/>
      <c r="G806" s="244" t="str">
        <f>$G$7</f>
        <v>FT</v>
      </c>
      <c r="H806" s="244" t="str">
        <f>$H$7</f>
        <v>PT</v>
      </c>
      <c r="I806" s="244" t="str">
        <f>$I$7</f>
        <v>SE</v>
      </c>
      <c r="J806" s="244" t="str">
        <f>$J$7</f>
        <v>Total</v>
      </c>
      <c r="K806" s="244"/>
      <c r="L806" s="244" t="str">
        <f>$L$7</f>
        <v>FT</v>
      </c>
      <c r="M806" s="244" t="str">
        <f>$M$7</f>
        <v>PT</v>
      </c>
      <c r="N806" s="244" t="str">
        <f>$N$7</f>
        <v>SE</v>
      </c>
      <c r="O806" s="244" t="str">
        <f>$O$7</f>
        <v>Total</v>
      </c>
    </row>
    <row r="807" spans="1:15" s="212" customFormat="1" ht="12.95">
      <c r="A807" s="234"/>
      <c r="B807" s="215"/>
      <c r="C807" s="215"/>
      <c r="D807" s="215"/>
      <c r="E807" s="215"/>
      <c r="F807" s="215"/>
      <c r="G807" s="215"/>
      <c r="H807" s="215"/>
      <c r="I807" s="215"/>
      <c r="J807" s="215"/>
      <c r="K807" s="215"/>
      <c r="L807" s="215"/>
      <c r="M807" s="215"/>
      <c r="N807" s="215"/>
      <c r="O807" s="215"/>
    </row>
    <row r="808" spans="1:15" s="212" customFormat="1">
      <c r="A808" s="213" t="str">
        <f>name!E$4</f>
        <v>Managers, directors and senior officials</v>
      </c>
      <c r="B808" s="278">
        <v>74.104635585026131</v>
      </c>
      <c r="C808" s="278">
        <v>6.1172387429386719</v>
      </c>
      <c r="D808" s="278">
        <v>4.9705356685119124</v>
      </c>
      <c r="E808" s="278">
        <f>SUM(B808:D808)</f>
        <v>85.192409996476712</v>
      </c>
      <c r="F808" s="279"/>
      <c r="G808" s="278">
        <v>76.516299009996203</v>
      </c>
      <c r="H808" s="278">
        <v>7.8132469361936945</v>
      </c>
      <c r="I808" s="278">
        <v>2.6725216947727937</v>
      </c>
      <c r="J808" s="278">
        <f>SUM(G808:I808)</f>
        <v>87.002067640962693</v>
      </c>
      <c r="K808" s="279"/>
      <c r="L808" s="278">
        <v>64.816546922689497</v>
      </c>
      <c r="M808" s="278">
        <v>9.8466100632008633</v>
      </c>
      <c r="N808" s="278">
        <v>2.6168331632501243</v>
      </c>
      <c r="O808" s="278">
        <f>SUM(L808:N808)</f>
        <v>77.279990149140488</v>
      </c>
    </row>
    <row r="809" spans="1:15" s="212" customFormat="1">
      <c r="A809" s="213" t="str">
        <f>name!E$5</f>
        <v>Professional occupations</v>
      </c>
      <c r="B809" s="278">
        <v>80.692139270295357</v>
      </c>
      <c r="C809" s="278">
        <v>3.7920031597223933</v>
      </c>
      <c r="D809" s="278">
        <v>9.4935720890443562</v>
      </c>
      <c r="E809" s="278">
        <f t="shared" ref="E809:E816" si="350">SUM(B809:D809)</f>
        <v>93.977714519062118</v>
      </c>
      <c r="F809" s="279"/>
      <c r="G809" s="278">
        <v>96.109681558217559</v>
      </c>
      <c r="H809" s="278">
        <v>4.4621112739231208</v>
      </c>
      <c r="I809" s="278">
        <v>3.3977014566876624</v>
      </c>
      <c r="J809" s="278">
        <f t="shared" ref="J809:J811" si="351">SUM(G809:I809)</f>
        <v>103.96949428882834</v>
      </c>
      <c r="K809" s="279"/>
      <c r="L809" s="278">
        <v>113.85778801565739</v>
      </c>
      <c r="M809" s="278">
        <v>5.2272608068058055</v>
      </c>
      <c r="N809" s="278">
        <v>2.778949832054582</v>
      </c>
      <c r="O809" s="278">
        <f t="shared" ref="O809:O816" si="352">SUM(L809:N809)</f>
        <v>121.86399865451777</v>
      </c>
    </row>
    <row r="810" spans="1:15" s="212" customFormat="1">
      <c r="A810" s="213" t="str">
        <f>name!E$6</f>
        <v>Associate professional occupations</v>
      </c>
      <c r="B810" s="278">
        <v>76.088064595192577</v>
      </c>
      <c r="C810" s="278">
        <v>8.6001415375221502</v>
      </c>
      <c r="D810" s="278">
        <v>5.6449913385884294</v>
      </c>
      <c r="E810" s="278">
        <f t="shared" si="350"/>
        <v>90.333197471303151</v>
      </c>
      <c r="F810" s="279"/>
      <c r="G810" s="278">
        <v>79.175051517892896</v>
      </c>
      <c r="H810" s="278">
        <v>8.1392121005084501</v>
      </c>
      <c r="I810" s="278">
        <v>2.3875628439762582</v>
      </c>
      <c r="J810" s="278">
        <f t="shared" si="351"/>
        <v>89.701826462377596</v>
      </c>
      <c r="K810" s="279"/>
      <c r="L810" s="278">
        <v>74.466003570950235</v>
      </c>
      <c r="M810" s="278">
        <v>8.3890829043335113</v>
      </c>
      <c r="N810" s="278">
        <v>2.4541155107523966</v>
      </c>
      <c r="O810" s="278">
        <f t="shared" si="352"/>
        <v>85.309201986036143</v>
      </c>
    </row>
    <row r="811" spans="1:15" s="212" customFormat="1">
      <c r="A811" s="213" t="str">
        <f>name!E$7</f>
        <v>Administrative and secretarial occupations</v>
      </c>
      <c r="B811" s="278">
        <v>91.545572013843184</v>
      </c>
      <c r="C811" s="278">
        <v>42.530534297527872</v>
      </c>
      <c r="D811" s="278">
        <v>1.2169631357140982</v>
      </c>
      <c r="E811" s="278">
        <f t="shared" si="350"/>
        <v>135.29306944708517</v>
      </c>
      <c r="F811" s="279"/>
      <c r="G811" s="278">
        <v>82.657070477167309</v>
      </c>
      <c r="H811" s="278">
        <v>35.385445702679519</v>
      </c>
      <c r="I811" s="278">
        <v>0.40127599377373208</v>
      </c>
      <c r="J811" s="278">
        <f t="shared" si="351"/>
        <v>118.44379217362057</v>
      </c>
      <c r="K811" s="279"/>
      <c r="L811" s="278">
        <v>76.395943548925828</v>
      </c>
      <c r="M811" s="278">
        <v>30.188979552320163</v>
      </c>
      <c r="N811" s="278">
        <v>0.40644793761964443</v>
      </c>
      <c r="O811" s="278">
        <f t="shared" si="352"/>
        <v>106.99137103886564</v>
      </c>
    </row>
    <row r="812" spans="1:15" s="212" customFormat="1">
      <c r="A812" s="213" t="str">
        <f>name!E$8</f>
        <v>Skilled trades occupations</v>
      </c>
      <c r="B812" s="278">
        <v>4.4439077530043356</v>
      </c>
      <c r="C812" s="278">
        <v>0.36113278011758942</v>
      </c>
      <c r="D812" s="278">
        <v>1.2211691547869485</v>
      </c>
      <c r="E812" s="278">
        <f t="shared" si="350"/>
        <v>6.0262096879088736</v>
      </c>
      <c r="F812" s="279"/>
      <c r="G812" s="278">
        <v>3.2507055405249399</v>
      </c>
      <c r="H812" s="278">
        <v>0.22037763377328032</v>
      </c>
      <c r="I812" s="278">
        <v>0.39561924624083439</v>
      </c>
      <c r="J812" s="278">
        <f>SUM(G812:I812)</f>
        <v>3.8667024205390543</v>
      </c>
      <c r="K812" s="279"/>
      <c r="L812" s="278">
        <v>2.8128913022206778</v>
      </c>
      <c r="M812" s="278">
        <v>0.34272586591308313</v>
      </c>
      <c r="N812" s="278">
        <v>0.4308630575471975</v>
      </c>
      <c r="O812" s="278">
        <f t="shared" si="352"/>
        <v>3.5864802256809587</v>
      </c>
    </row>
    <row r="813" spans="1:15" s="212" customFormat="1">
      <c r="A813" s="213" t="str">
        <f>name!E$9</f>
        <v>Caring, leisure and other service occupations</v>
      </c>
      <c r="B813" s="278">
        <v>0.75385349528695045</v>
      </c>
      <c r="C813" s="278">
        <v>0.21453978033386842</v>
      </c>
      <c r="D813" s="278">
        <v>0.36060863998580944</v>
      </c>
      <c r="E813" s="278">
        <f t="shared" si="350"/>
        <v>1.3290019156066284</v>
      </c>
      <c r="F813" s="279"/>
      <c r="G813" s="278">
        <v>0.66224574508148593</v>
      </c>
      <c r="H813" s="278">
        <v>0.16216421882302501</v>
      </c>
      <c r="I813" s="278">
        <v>0.21372501780579833</v>
      </c>
      <c r="J813" s="278">
        <f t="shared" ref="J813:J816" si="353">SUM(G813:I813)</f>
        <v>1.0381349817103094</v>
      </c>
      <c r="K813" s="279"/>
      <c r="L813" s="278">
        <v>0.61228982393194797</v>
      </c>
      <c r="M813" s="278">
        <v>0.13590323194184206</v>
      </c>
      <c r="N813" s="278">
        <v>0.27982277856094828</v>
      </c>
      <c r="O813" s="278">
        <f t="shared" si="352"/>
        <v>1.0280158344347383</v>
      </c>
    </row>
    <row r="814" spans="1:15" s="212" customFormat="1">
      <c r="A814" s="213" t="str">
        <f>name!E$10</f>
        <v>Sales and customer service occupations</v>
      </c>
      <c r="B814" s="278">
        <v>19.335186065159959</v>
      </c>
      <c r="C814" s="278">
        <v>11.114078506090513</v>
      </c>
      <c r="D814" s="278">
        <v>4.3118625084942348</v>
      </c>
      <c r="E814" s="278">
        <f t="shared" si="350"/>
        <v>34.76112707974471</v>
      </c>
      <c r="F814" s="279"/>
      <c r="G814" s="278">
        <v>16.810525417665456</v>
      </c>
      <c r="H814" s="278">
        <v>10.294042510259406</v>
      </c>
      <c r="I814" s="278">
        <v>1.6905477497761392</v>
      </c>
      <c r="J814" s="278">
        <f t="shared" si="353"/>
        <v>28.795115677701002</v>
      </c>
      <c r="K814" s="279"/>
      <c r="L814" s="278">
        <v>16.276264770771597</v>
      </c>
      <c r="M814" s="278">
        <v>10.133348017988119</v>
      </c>
      <c r="N814" s="278">
        <v>1.2649129982150005</v>
      </c>
      <c r="O814" s="278">
        <f t="shared" si="352"/>
        <v>27.674525786974716</v>
      </c>
    </row>
    <row r="815" spans="1:15" s="212" customFormat="1">
      <c r="A815" s="213" t="str">
        <f>name!E$11</f>
        <v>Process, plant and machine operatives</v>
      </c>
      <c r="B815" s="278">
        <v>1.3497583281568981</v>
      </c>
      <c r="C815" s="278">
        <v>0.22265310910775743</v>
      </c>
      <c r="D815" s="278">
        <v>0.46455413856539168</v>
      </c>
      <c r="E815" s="278">
        <f t="shared" si="350"/>
        <v>2.0369655758300471</v>
      </c>
      <c r="F815" s="279"/>
      <c r="G815" s="278">
        <v>0.94595159870863066</v>
      </c>
      <c r="H815" s="278">
        <v>0.1721087200334363</v>
      </c>
      <c r="I815" s="278">
        <v>0.18775058647443904</v>
      </c>
      <c r="J815" s="278">
        <f t="shared" si="353"/>
        <v>1.3058109052165061</v>
      </c>
      <c r="K815" s="279"/>
      <c r="L815" s="278">
        <v>0.8038284342185843</v>
      </c>
      <c r="M815" s="278">
        <v>0.24393396148843663</v>
      </c>
      <c r="N815" s="278">
        <v>0.22004515532934504</v>
      </c>
      <c r="O815" s="278">
        <f t="shared" si="352"/>
        <v>1.267807551036366</v>
      </c>
    </row>
    <row r="816" spans="1:15" s="212" customFormat="1">
      <c r="A816" s="213" t="str">
        <f>name!E$12</f>
        <v>Elementary occupations</v>
      </c>
      <c r="B816" s="278">
        <v>3.0808828892065256</v>
      </c>
      <c r="C816" s="278">
        <v>0.72467808699245539</v>
      </c>
      <c r="D816" s="278">
        <v>0.7947433267108045</v>
      </c>
      <c r="E816" s="278">
        <f t="shared" si="350"/>
        <v>4.6003043029097856</v>
      </c>
      <c r="F816" s="279"/>
      <c r="G816" s="278">
        <v>2.2424691330490383</v>
      </c>
      <c r="H816" s="278">
        <v>0.4742909040307729</v>
      </c>
      <c r="I816" s="278">
        <v>0.32529541064352546</v>
      </c>
      <c r="J816" s="278">
        <f t="shared" si="353"/>
        <v>3.0420554477233366</v>
      </c>
      <c r="K816" s="279"/>
      <c r="L816" s="278">
        <v>1.9454436167100693</v>
      </c>
      <c r="M816" s="278">
        <v>0.43215559673525372</v>
      </c>
      <c r="N816" s="278">
        <v>0.26600956707765339</v>
      </c>
      <c r="O816" s="278">
        <f t="shared" si="352"/>
        <v>2.643608780522976</v>
      </c>
    </row>
    <row r="817" spans="1:15" s="212" customFormat="1">
      <c r="A817" s="213"/>
      <c r="B817" s="278"/>
      <c r="C817" s="278"/>
      <c r="D817" s="278"/>
      <c r="E817" s="278"/>
      <c r="F817" s="279"/>
      <c r="G817" s="278"/>
      <c r="H817" s="278"/>
      <c r="I817" s="278"/>
      <c r="J817" s="278"/>
      <c r="K817" s="279"/>
      <c r="L817" s="278"/>
      <c r="M817" s="278"/>
      <c r="N817" s="278"/>
      <c r="O817" s="278"/>
    </row>
    <row r="818" spans="1:15" s="212" customFormat="1">
      <c r="A818" s="220" t="s">
        <v>119</v>
      </c>
      <c r="B818" s="282">
        <f>SUM(B808:B816)</f>
        <v>351.3939999951719</v>
      </c>
      <c r="C818" s="282">
        <f t="shared" ref="C818:E818" si="354">SUM(C808:C816)</f>
        <v>73.67700000035326</v>
      </c>
      <c r="D818" s="282">
        <f t="shared" si="354"/>
        <v>28.479000000401985</v>
      </c>
      <c r="E818" s="282">
        <f t="shared" si="354"/>
        <v>453.54999999592718</v>
      </c>
      <c r="F818" s="282"/>
      <c r="G818" s="282">
        <f t="shared" ref="G818:J818" si="355">SUM(G808:G816)</f>
        <v>358.36999999830357</v>
      </c>
      <c r="H818" s="282">
        <f t="shared" si="355"/>
        <v>67.123000000224692</v>
      </c>
      <c r="I818" s="282">
        <f t="shared" si="355"/>
        <v>11.672000000151179</v>
      </c>
      <c r="J818" s="282">
        <f t="shared" si="355"/>
        <v>437.16499999867943</v>
      </c>
      <c r="K818" s="282"/>
      <c r="L818" s="282">
        <f t="shared" ref="L818:O818" si="356">SUM(L808:L816)</f>
        <v>351.98700000607585</v>
      </c>
      <c r="M818" s="282">
        <f t="shared" si="356"/>
        <v>64.940000000727068</v>
      </c>
      <c r="N818" s="282">
        <f t="shared" si="356"/>
        <v>10.718000000406892</v>
      </c>
      <c r="O818" s="282">
        <f t="shared" si="356"/>
        <v>427.64500000720977</v>
      </c>
    </row>
    <row r="819" spans="1:15" s="212" customFormat="1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3"/>
      <c r="M819" s="213"/>
      <c r="N819" s="216"/>
    </row>
    <row r="820" spans="1:15" s="212" customFormat="1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13"/>
      <c r="M820" s="213"/>
      <c r="N820" s="216"/>
      <c r="O820" s="227" t="s">
        <v>114</v>
      </c>
    </row>
    <row r="821" spans="1:15" s="212" customFormat="1" ht="12.95">
      <c r="A821" s="218"/>
      <c r="B821" s="218"/>
      <c r="C821" s="218"/>
      <c r="D821" s="218"/>
      <c r="E821" s="218"/>
      <c r="F821" s="218"/>
      <c r="G821" s="218"/>
      <c r="H821" s="218"/>
      <c r="I821" s="218"/>
      <c r="J821" s="218"/>
      <c r="K821" s="218"/>
      <c r="L821" s="218"/>
      <c r="M821" s="218"/>
      <c r="N821" s="218"/>
      <c r="O821" s="218"/>
    </row>
    <row r="822" spans="1:15" s="212" customFormat="1" ht="12.95">
      <c r="A822" s="217" t="str">
        <f>name!A51</f>
        <v>Insurance and pensions</v>
      </c>
      <c r="B822" s="369">
        <f>$B$6</f>
        <v>2015</v>
      </c>
      <c r="C822" s="369"/>
      <c r="D822" s="369"/>
      <c r="E822" s="369"/>
      <c r="F822" s="239"/>
      <c r="G822" s="369">
        <f>$G$6</f>
        <v>2020</v>
      </c>
      <c r="H822" s="369"/>
      <c r="I822" s="369"/>
      <c r="J822" s="369"/>
      <c r="K822" s="239"/>
      <c r="L822" s="369">
        <f>$L$6</f>
        <v>2035</v>
      </c>
      <c r="M822" s="369"/>
      <c r="N822" s="369"/>
      <c r="O822" s="369"/>
    </row>
    <row r="823" spans="1:15" s="212" customFormat="1" ht="12.95">
      <c r="A823" s="230"/>
      <c r="B823" s="244" t="str">
        <f>$B$7</f>
        <v>FT</v>
      </c>
      <c r="C823" s="244" t="str">
        <f>$C$7</f>
        <v>PT</v>
      </c>
      <c r="D823" s="244" t="str">
        <f>$D$7</f>
        <v>SE</v>
      </c>
      <c r="E823" s="244" t="str">
        <f>$E$7</f>
        <v>Total</v>
      </c>
      <c r="F823" s="244"/>
      <c r="G823" s="244" t="str">
        <f>$G$7</f>
        <v>FT</v>
      </c>
      <c r="H823" s="244" t="str">
        <f>$H$7</f>
        <v>PT</v>
      </c>
      <c r="I823" s="244" t="str">
        <f>$I$7</f>
        <v>SE</v>
      </c>
      <c r="J823" s="244" t="str">
        <f>$J$7</f>
        <v>Total</v>
      </c>
      <c r="K823" s="244"/>
      <c r="L823" s="244" t="str">
        <f>$L$7</f>
        <v>FT</v>
      </c>
      <c r="M823" s="244" t="str">
        <f>$M$7</f>
        <v>PT</v>
      </c>
      <c r="N823" s="244" t="str">
        <f>$N$7</f>
        <v>SE</v>
      </c>
      <c r="O823" s="244" t="str">
        <f>$O$7</f>
        <v>Total</v>
      </c>
    </row>
    <row r="824" spans="1:15" s="212" customFormat="1" ht="12.95">
      <c r="A824" s="234"/>
      <c r="B824" s="215"/>
      <c r="C824" s="215"/>
      <c r="D824" s="215"/>
      <c r="E824" s="215"/>
      <c r="F824" s="215"/>
      <c r="G824" s="215"/>
      <c r="H824" s="215"/>
      <c r="I824" s="215"/>
      <c r="J824" s="215"/>
      <c r="K824" s="215"/>
      <c r="L824" s="215"/>
      <c r="M824" s="215"/>
      <c r="N824" s="215"/>
      <c r="O824" s="215"/>
    </row>
    <row r="825" spans="1:15" s="212" customFormat="1">
      <c r="A825" s="213" t="str">
        <f>name!E$4</f>
        <v>Managers, directors and senior officials</v>
      </c>
      <c r="B825" s="278">
        <v>10.217579193314339</v>
      </c>
      <c r="C825" s="278">
        <v>0.75143269818014502</v>
      </c>
      <c r="D825" s="278">
        <v>0.79001793825335875</v>
      </c>
      <c r="E825" s="278">
        <f>SUM(B825:D825)</f>
        <v>11.759029829747842</v>
      </c>
      <c r="F825" s="279"/>
      <c r="G825" s="278">
        <v>12.311301990401869</v>
      </c>
      <c r="H825" s="278">
        <v>0.98209049298111362</v>
      </c>
      <c r="I825" s="278">
        <v>0.50570476448424939</v>
      </c>
      <c r="J825" s="278">
        <f>SUM(G825:I825)</f>
        <v>13.799097247867232</v>
      </c>
      <c r="K825" s="279"/>
      <c r="L825" s="278">
        <v>10.426349938031196</v>
      </c>
      <c r="M825" s="278">
        <v>1.1460041672653796</v>
      </c>
      <c r="N825" s="278">
        <v>0.3497047224797612</v>
      </c>
      <c r="O825" s="278">
        <f>SUM(L825:N825)</f>
        <v>11.922058827776336</v>
      </c>
    </row>
    <row r="826" spans="1:15" s="212" customFormat="1">
      <c r="A826" s="213" t="str">
        <f>name!E$5</f>
        <v>Professional occupations</v>
      </c>
      <c r="B826" s="278">
        <v>19.783317758574313</v>
      </c>
      <c r="C826" s="278">
        <v>1.2035979398295393</v>
      </c>
      <c r="D826" s="278">
        <v>0.84113117135984861</v>
      </c>
      <c r="E826" s="278">
        <f t="shared" ref="E826:E833" si="357">SUM(B826:D826)</f>
        <v>21.8280468697637</v>
      </c>
      <c r="F826" s="279"/>
      <c r="G826" s="278">
        <v>28.06276019114279</v>
      </c>
      <c r="H826" s="278">
        <v>1.3938626935564775</v>
      </c>
      <c r="I826" s="278">
        <v>0.47364248706205547</v>
      </c>
      <c r="J826" s="278">
        <f t="shared" ref="J826:J828" si="358">SUM(G826:I826)</f>
        <v>29.930265371761323</v>
      </c>
      <c r="K826" s="279"/>
      <c r="L826" s="278">
        <v>32.154945371442906</v>
      </c>
      <c r="M826" s="278">
        <v>1.4331761714992095</v>
      </c>
      <c r="N826" s="278">
        <v>0.26837777150793057</v>
      </c>
      <c r="O826" s="278">
        <f t="shared" ref="O826:O833" si="359">SUM(L826:N826)</f>
        <v>33.856499314450048</v>
      </c>
    </row>
    <row r="827" spans="1:15" s="212" customFormat="1">
      <c r="A827" s="213" t="str">
        <f>name!E$6</f>
        <v>Associate professional occupations</v>
      </c>
      <c r="B827" s="278">
        <v>19.901660065689999</v>
      </c>
      <c r="C827" s="278">
        <v>2.4216269354445563</v>
      </c>
      <c r="D827" s="278">
        <v>1.6461812831530533</v>
      </c>
      <c r="E827" s="278">
        <f t="shared" si="357"/>
        <v>23.969468284287608</v>
      </c>
      <c r="F827" s="279"/>
      <c r="G827" s="278">
        <v>24.48360549206771</v>
      </c>
      <c r="H827" s="278">
        <v>2.416587643452567</v>
      </c>
      <c r="I827" s="278">
        <v>0.79876672257967074</v>
      </c>
      <c r="J827" s="278">
        <f t="shared" si="358"/>
        <v>27.698959858099947</v>
      </c>
      <c r="K827" s="279"/>
      <c r="L827" s="278">
        <v>22.928750270158467</v>
      </c>
      <c r="M827" s="278">
        <v>2.4040379876126887</v>
      </c>
      <c r="N827" s="278">
        <v>0.53017442073185128</v>
      </c>
      <c r="O827" s="278">
        <f t="shared" si="359"/>
        <v>25.862962678503006</v>
      </c>
    </row>
    <row r="828" spans="1:15" s="212" customFormat="1">
      <c r="A828" s="213" t="str">
        <f>name!E$7</f>
        <v>Administrative and secretarial occupations</v>
      </c>
      <c r="B828" s="278">
        <v>23.439756158653989</v>
      </c>
      <c r="C828" s="278">
        <v>3.5349703754585788</v>
      </c>
      <c r="D828" s="278">
        <v>0.58887229202686764</v>
      </c>
      <c r="E828" s="278">
        <f t="shared" si="357"/>
        <v>27.563598826139433</v>
      </c>
      <c r="F828" s="279"/>
      <c r="G828" s="278">
        <v>24.275985530541739</v>
      </c>
      <c r="H828" s="278">
        <v>3.0226016386613606</v>
      </c>
      <c r="I828" s="278">
        <v>0.23653649048021982</v>
      </c>
      <c r="J828" s="278">
        <f t="shared" si="358"/>
        <v>27.535123659683318</v>
      </c>
      <c r="K828" s="279"/>
      <c r="L828" s="278">
        <v>20.436452987468687</v>
      </c>
      <c r="M828" s="278">
        <v>2.3576342332136573</v>
      </c>
      <c r="N828" s="278">
        <v>0.17503404274669451</v>
      </c>
      <c r="O828" s="278">
        <f t="shared" si="359"/>
        <v>22.969121263429038</v>
      </c>
    </row>
    <row r="829" spans="1:15" s="212" customFormat="1">
      <c r="A829" s="213" t="str">
        <f>name!E$8</f>
        <v>Skilled trades occupations</v>
      </c>
      <c r="B829" s="278">
        <v>1.302430098323992</v>
      </c>
      <c r="C829" s="278">
        <v>0.12710102795003514</v>
      </c>
      <c r="D829" s="278">
        <v>1.2774068338337625</v>
      </c>
      <c r="E829" s="278">
        <f t="shared" si="357"/>
        <v>2.7069379601077896</v>
      </c>
      <c r="F829" s="279"/>
      <c r="G829" s="278">
        <v>1.2586874872349501</v>
      </c>
      <c r="H829" s="278">
        <v>8.4604981421730743E-2</v>
      </c>
      <c r="I829" s="278">
        <v>0.61870085862862467</v>
      </c>
      <c r="J829" s="278">
        <f>SUM(G829:I829)</f>
        <v>1.9619933272853054</v>
      </c>
      <c r="K829" s="279"/>
      <c r="L829" s="278">
        <v>1.1446188706494878</v>
      </c>
      <c r="M829" s="278">
        <v>7.6512947501054918E-2</v>
      </c>
      <c r="N829" s="278">
        <v>0.46007469013027402</v>
      </c>
      <c r="O829" s="278">
        <f t="shared" si="359"/>
        <v>1.6812065082808165</v>
      </c>
    </row>
    <row r="830" spans="1:15" s="212" customFormat="1">
      <c r="A830" s="213" t="str">
        <f>name!E$9</f>
        <v>Caring, leisure and other service occupations</v>
      </c>
      <c r="B830" s="278">
        <v>2.9008661847792041</v>
      </c>
      <c r="C830" s="278">
        <v>8.0801822054425945E-2</v>
      </c>
      <c r="D830" s="278">
        <v>7.4150824725446707E-2</v>
      </c>
      <c r="E830" s="278">
        <f t="shared" si="357"/>
        <v>3.0558188315590766</v>
      </c>
      <c r="F830" s="279"/>
      <c r="G830" s="278">
        <v>3.0854456911210315</v>
      </c>
      <c r="H830" s="278">
        <v>7.0063584202471232E-2</v>
      </c>
      <c r="I830" s="278">
        <v>0.10132481568572006</v>
      </c>
      <c r="J830" s="278">
        <f t="shared" ref="J830:J833" si="360">SUM(G830:I830)</f>
        <v>3.2568340910092228</v>
      </c>
      <c r="K830" s="279"/>
      <c r="L830" s="278">
        <v>3.2718146174393161</v>
      </c>
      <c r="M830" s="278">
        <v>5.65429340031742E-2</v>
      </c>
      <c r="N830" s="278">
        <v>6.0532942084389502E-2</v>
      </c>
      <c r="O830" s="278">
        <f t="shared" si="359"/>
        <v>3.3888904935268798</v>
      </c>
    </row>
    <row r="831" spans="1:15" s="212" customFormat="1">
      <c r="A831" s="213" t="str">
        <f>name!E$10</f>
        <v>Sales and customer service occupations</v>
      </c>
      <c r="B831" s="278">
        <v>9.8464911877356993</v>
      </c>
      <c r="C831" s="278">
        <v>2.3960515619329228</v>
      </c>
      <c r="D831" s="278">
        <v>0.67202758754678027</v>
      </c>
      <c r="E831" s="278">
        <f t="shared" si="357"/>
        <v>12.914570337215403</v>
      </c>
      <c r="F831" s="279"/>
      <c r="G831" s="278">
        <v>10.020173634311293</v>
      </c>
      <c r="H831" s="278">
        <v>2.2562794441892811</v>
      </c>
      <c r="I831" s="278">
        <v>0.25583650831614141</v>
      </c>
      <c r="J831" s="278">
        <f t="shared" si="360"/>
        <v>12.532289586816715</v>
      </c>
      <c r="K831" s="279"/>
      <c r="L831" s="278">
        <v>8.8347185171006934</v>
      </c>
      <c r="M831" s="278">
        <v>2.2283556308065346</v>
      </c>
      <c r="N831" s="278">
        <v>0.16007438980740252</v>
      </c>
      <c r="O831" s="278">
        <f t="shared" si="359"/>
        <v>11.22314853771463</v>
      </c>
    </row>
    <row r="832" spans="1:15" s="212" customFormat="1">
      <c r="A832" s="213" t="str">
        <f>name!E$11</f>
        <v>Process, plant and machine operatives</v>
      </c>
      <c r="B832" s="278">
        <v>0.4518998351307994</v>
      </c>
      <c r="C832" s="278">
        <v>6.66260310978804E-2</v>
      </c>
      <c r="D832" s="278">
        <v>0.10268218536698669</v>
      </c>
      <c r="E832" s="278">
        <f t="shared" si="357"/>
        <v>0.6212080515956665</v>
      </c>
      <c r="F832" s="279"/>
      <c r="G832" s="278">
        <v>0.37026775852344129</v>
      </c>
      <c r="H832" s="278">
        <v>5.3916461322614233E-2</v>
      </c>
      <c r="I832" s="278">
        <v>7.0028489332238583E-2</v>
      </c>
      <c r="J832" s="278">
        <f t="shared" si="360"/>
        <v>0.49421270917829413</v>
      </c>
      <c r="K832" s="279"/>
      <c r="L832" s="278">
        <v>0.29773861310642336</v>
      </c>
      <c r="M832" s="278">
        <v>8.1515690626632956E-2</v>
      </c>
      <c r="N832" s="278">
        <v>6.5069564929294887E-2</v>
      </c>
      <c r="O832" s="278">
        <f t="shared" si="359"/>
        <v>0.44432386866235118</v>
      </c>
    </row>
    <row r="833" spans="1:15" s="212" customFormat="1">
      <c r="A833" s="213" t="str">
        <f>name!E$12</f>
        <v>Elementary occupations</v>
      </c>
      <c r="B833" s="278">
        <v>1.0219995168383573</v>
      </c>
      <c r="C833" s="278">
        <v>0.32079160810359247</v>
      </c>
      <c r="D833" s="278">
        <v>9.8529883797340276E-2</v>
      </c>
      <c r="E833" s="278">
        <f t="shared" si="357"/>
        <v>1.44132100873929</v>
      </c>
      <c r="F833" s="279"/>
      <c r="G833" s="278">
        <v>0.86377222396411557</v>
      </c>
      <c r="H833" s="278">
        <v>0.21399306024560197</v>
      </c>
      <c r="I833" s="278">
        <v>7.7458863452680285E-2</v>
      </c>
      <c r="J833" s="278">
        <f t="shared" si="360"/>
        <v>1.1552241476623979</v>
      </c>
      <c r="K833" s="279"/>
      <c r="L833" s="278">
        <v>0.72761081614785927</v>
      </c>
      <c r="M833" s="278">
        <v>0.20522023757364757</v>
      </c>
      <c r="N833" s="278">
        <v>6.1957455624053734E-2</v>
      </c>
      <c r="O833" s="278">
        <f t="shared" si="359"/>
        <v>0.99478850934556062</v>
      </c>
    </row>
    <row r="834" spans="1:15" s="212" customFormat="1">
      <c r="A834" s="213"/>
      <c r="B834" s="278"/>
      <c r="C834" s="278"/>
      <c r="D834" s="278"/>
      <c r="E834" s="278"/>
      <c r="F834" s="279"/>
      <c r="G834" s="278"/>
      <c r="H834" s="278"/>
      <c r="I834" s="278"/>
      <c r="J834" s="278"/>
      <c r="K834" s="279"/>
      <c r="L834" s="278"/>
      <c r="M834" s="278"/>
      <c r="N834" s="278"/>
      <c r="O834" s="278"/>
    </row>
    <row r="835" spans="1:15" s="212" customFormat="1">
      <c r="A835" s="220" t="s">
        <v>119</v>
      </c>
      <c r="B835" s="282">
        <f>SUM(B825:B833)</f>
        <v>88.865999999040696</v>
      </c>
      <c r="C835" s="282">
        <f t="shared" ref="C835:E835" si="361">SUM(C825:C833)</f>
        <v>10.903000000051676</v>
      </c>
      <c r="D835" s="282">
        <f t="shared" si="361"/>
        <v>6.0910000000634437</v>
      </c>
      <c r="E835" s="282">
        <f t="shared" si="361"/>
        <v>105.85999999915583</v>
      </c>
      <c r="F835" s="282"/>
      <c r="G835" s="282">
        <f t="shared" ref="G835:J835" si="362">SUM(G825:G833)</f>
        <v>104.73199999930895</v>
      </c>
      <c r="H835" s="282">
        <f t="shared" si="362"/>
        <v>10.494000000033221</v>
      </c>
      <c r="I835" s="282">
        <f t="shared" si="362"/>
        <v>3.1380000000216008</v>
      </c>
      <c r="J835" s="282">
        <f t="shared" si="362"/>
        <v>118.36399999936376</v>
      </c>
      <c r="K835" s="282"/>
      <c r="L835" s="282">
        <f t="shared" ref="L835:O835" si="363">SUM(L825:L833)</f>
        <v>100.22300000154502</v>
      </c>
      <c r="M835" s="282">
        <f t="shared" si="363"/>
        <v>9.9890000001019779</v>
      </c>
      <c r="N835" s="282">
        <f t="shared" si="363"/>
        <v>2.1310000000416522</v>
      </c>
      <c r="O835" s="282">
        <f t="shared" si="363"/>
        <v>112.34300000168868</v>
      </c>
    </row>
    <row r="836" spans="1:15" s="212" customFormat="1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3"/>
      <c r="M836" s="213"/>
      <c r="N836" s="216"/>
    </row>
    <row r="837" spans="1:15" s="212" customFormat="1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13"/>
      <c r="M837" s="213"/>
      <c r="N837" s="216"/>
      <c r="O837" s="227" t="s">
        <v>114</v>
      </c>
    </row>
    <row r="838" spans="1:15" s="212" customFormat="1" ht="12.95">
      <c r="A838" s="218"/>
      <c r="B838" s="218"/>
      <c r="C838" s="218"/>
      <c r="D838" s="218"/>
      <c r="E838" s="218"/>
      <c r="F838" s="218"/>
      <c r="G838" s="218"/>
      <c r="H838" s="218"/>
      <c r="I838" s="218"/>
      <c r="J838" s="218"/>
      <c r="K838" s="218"/>
      <c r="L838" s="218"/>
      <c r="M838" s="218"/>
      <c r="N838" s="218"/>
      <c r="O838" s="218"/>
    </row>
    <row r="839" spans="1:15" s="212" customFormat="1" ht="12.95">
      <c r="A839" s="217" t="str">
        <f>name!A52</f>
        <v>Auxiliary financial services</v>
      </c>
      <c r="B839" s="369">
        <f>$B$6</f>
        <v>2015</v>
      </c>
      <c r="C839" s="369"/>
      <c r="D839" s="369"/>
      <c r="E839" s="369"/>
      <c r="F839" s="239"/>
      <c r="G839" s="369">
        <f>$G$6</f>
        <v>2020</v>
      </c>
      <c r="H839" s="369"/>
      <c r="I839" s="369"/>
      <c r="J839" s="369"/>
      <c r="K839" s="239"/>
      <c r="L839" s="369">
        <f>$L$6</f>
        <v>2035</v>
      </c>
      <c r="M839" s="369"/>
      <c r="N839" s="369"/>
      <c r="O839" s="369"/>
    </row>
    <row r="840" spans="1:15" s="212" customFormat="1" ht="12.95">
      <c r="A840" s="230"/>
      <c r="B840" s="244" t="str">
        <f>$B$7</f>
        <v>FT</v>
      </c>
      <c r="C840" s="244" t="str">
        <f>$C$7</f>
        <v>PT</v>
      </c>
      <c r="D840" s="244" t="str">
        <f>$D$7</f>
        <v>SE</v>
      </c>
      <c r="E840" s="244" t="str">
        <f>$E$7</f>
        <v>Total</v>
      </c>
      <c r="F840" s="244"/>
      <c r="G840" s="244" t="str">
        <f>$G$7</f>
        <v>FT</v>
      </c>
      <c r="H840" s="244" t="str">
        <f>$H$7</f>
        <v>PT</v>
      </c>
      <c r="I840" s="244" t="str">
        <f>$I$7</f>
        <v>SE</v>
      </c>
      <c r="J840" s="244" t="str">
        <f>$J$7</f>
        <v>Total</v>
      </c>
      <c r="K840" s="244"/>
      <c r="L840" s="244" t="str">
        <f>$L$7</f>
        <v>FT</v>
      </c>
      <c r="M840" s="244" t="str">
        <f>$M$7</f>
        <v>PT</v>
      </c>
      <c r="N840" s="244" t="str">
        <f>$N$7</f>
        <v>SE</v>
      </c>
      <c r="O840" s="244" t="str">
        <f>$O$7</f>
        <v>Total</v>
      </c>
    </row>
    <row r="841" spans="1:15" s="212" customFormat="1" ht="12.95">
      <c r="A841" s="234"/>
      <c r="B841" s="215"/>
      <c r="C841" s="215"/>
      <c r="D841" s="215"/>
      <c r="E841" s="215"/>
      <c r="F841" s="215"/>
      <c r="G841" s="215"/>
      <c r="H841" s="215"/>
      <c r="I841" s="215"/>
      <c r="J841" s="215"/>
      <c r="K841" s="215"/>
      <c r="L841" s="215"/>
      <c r="M841" s="215"/>
      <c r="N841" s="215"/>
      <c r="O841" s="215"/>
    </row>
    <row r="842" spans="1:15" s="212" customFormat="1">
      <c r="A842" s="213" t="str">
        <f>name!E$4</f>
        <v>Managers, directors and senior officials</v>
      </c>
      <c r="B842" s="278">
        <v>58.770411782820979</v>
      </c>
      <c r="C842" s="278">
        <v>4.0606012220396233</v>
      </c>
      <c r="D842" s="278">
        <v>5.321825345435502</v>
      </c>
      <c r="E842" s="278">
        <f>SUM(B842:D842)</f>
        <v>68.152838350296108</v>
      </c>
      <c r="F842" s="279"/>
      <c r="G842" s="278">
        <v>63.234957592320448</v>
      </c>
      <c r="H842" s="278">
        <v>5.9230031331307655</v>
      </c>
      <c r="I842" s="278">
        <v>8.1870473124278718</v>
      </c>
      <c r="J842" s="278">
        <f>SUM(G842:I842)</f>
        <v>77.345008037879097</v>
      </c>
      <c r="K842" s="279"/>
      <c r="L842" s="278">
        <v>54.342985139622471</v>
      </c>
      <c r="M842" s="278">
        <v>6.8966276816969678</v>
      </c>
      <c r="N842" s="278">
        <v>9.3184670638702016</v>
      </c>
      <c r="O842" s="278">
        <f>SUM(L842:N842)</f>
        <v>70.558079885189642</v>
      </c>
    </row>
    <row r="843" spans="1:15" s="212" customFormat="1">
      <c r="A843" s="213" t="str">
        <f>name!E$5</f>
        <v>Professional occupations</v>
      </c>
      <c r="B843" s="278">
        <v>76.955974968418062</v>
      </c>
      <c r="C843" s="278">
        <v>3.829117546623702</v>
      </c>
      <c r="D843" s="278">
        <v>7.6395449289578545</v>
      </c>
      <c r="E843" s="278">
        <f t="shared" ref="E843:E850" si="364">SUM(B843:D843)</f>
        <v>88.424637443999629</v>
      </c>
      <c r="F843" s="279"/>
      <c r="G843" s="278">
        <v>97.838087855906835</v>
      </c>
      <c r="H843" s="278">
        <v>5.218482607734618</v>
      </c>
      <c r="I843" s="278">
        <v>10.498709906714724</v>
      </c>
      <c r="J843" s="278">
        <f t="shared" ref="J843:J845" si="365">SUM(G843:I843)</f>
        <v>113.55528037035617</v>
      </c>
      <c r="K843" s="279"/>
      <c r="L843" s="278">
        <v>116.10659789836102</v>
      </c>
      <c r="M843" s="278">
        <v>5.6864147045023907</v>
      </c>
      <c r="N843" s="278">
        <v>10.447068386263004</v>
      </c>
      <c r="O843" s="278">
        <f t="shared" ref="O843:O850" si="366">SUM(L843:N843)</f>
        <v>132.24008098912643</v>
      </c>
    </row>
    <row r="844" spans="1:15" s="212" customFormat="1">
      <c r="A844" s="213" t="str">
        <f>name!E$6</f>
        <v>Associate professional occupations</v>
      </c>
      <c r="B844" s="278">
        <v>102.25481221003874</v>
      </c>
      <c r="C844" s="278">
        <v>7.9413492046079259</v>
      </c>
      <c r="D844" s="278">
        <v>13.844313027765919</v>
      </c>
      <c r="E844" s="278">
        <f t="shared" si="364"/>
        <v>124.04047444241259</v>
      </c>
      <c r="F844" s="279"/>
      <c r="G844" s="278">
        <v>109.73598046050824</v>
      </c>
      <c r="H844" s="278">
        <v>8.4658808917365462</v>
      </c>
      <c r="I844" s="278">
        <v>17.307576153958276</v>
      </c>
      <c r="J844" s="278">
        <f t="shared" si="365"/>
        <v>135.50943750620306</v>
      </c>
      <c r="K844" s="279"/>
      <c r="L844" s="278">
        <v>104.08560906007369</v>
      </c>
      <c r="M844" s="278">
        <v>8.7753203485942635</v>
      </c>
      <c r="N844" s="278">
        <v>20.152877577732362</v>
      </c>
      <c r="O844" s="278">
        <f t="shared" si="366"/>
        <v>133.01380698640031</v>
      </c>
    </row>
    <row r="845" spans="1:15" s="212" customFormat="1">
      <c r="A845" s="213" t="str">
        <f>name!E$7</f>
        <v>Administrative and secretarial occupations</v>
      </c>
      <c r="B845" s="278">
        <v>66.542692128997345</v>
      </c>
      <c r="C845" s="278">
        <v>20.889585421351377</v>
      </c>
      <c r="D845" s="278">
        <v>3.6206369126324827</v>
      </c>
      <c r="E845" s="278">
        <f t="shared" si="364"/>
        <v>91.052914462981192</v>
      </c>
      <c r="F845" s="279"/>
      <c r="G845" s="278">
        <v>61.366834008850766</v>
      </c>
      <c r="H845" s="278">
        <v>19.449236564639918</v>
      </c>
      <c r="I845" s="278">
        <v>3.7199556024606943</v>
      </c>
      <c r="J845" s="278">
        <f t="shared" si="365"/>
        <v>84.536026175951392</v>
      </c>
      <c r="K845" s="279"/>
      <c r="L845" s="278">
        <v>48.997464065810931</v>
      </c>
      <c r="M845" s="278">
        <v>15.437732871322654</v>
      </c>
      <c r="N845" s="278">
        <v>2.8887697076970831</v>
      </c>
      <c r="O845" s="278">
        <f t="shared" si="366"/>
        <v>67.323966644830662</v>
      </c>
    </row>
    <row r="846" spans="1:15" s="212" customFormat="1">
      <c r="A846" s="213" t="str">
        <f>name!E$8</f>
        <v>Skilled trades occupations</v>
      </c>
      <c r="B846" s="278">
        <v>3.8165026681764389</v>
      </c>
      <c r="C846" s="278">
        <v>1.2207259499001697</v>
      </c>
      <c r="D846" s="278">
        <v>2.2351652227256857</v>
      </c>
      <c r="E846" s="278">
        <f t="shared" si="364"/>
        <v>7.2723938408022946</v>
      </c>
      <c r="F846" s="279"/>
      <c r="G846" s="278">
        <v>2.9827903676364298</v>
      </c>
      <c r="H846" s="278">
        <v>0.83399336944057034</v>
      </c>
      <c r="I846" s="278">
        <v>1.9347658042048383</v>
      </c>
      <c r="J846" s="278">
        <f>SUM(G846:I846)</f>
        <v>5.7515495412818387</v>
      </c>
      <c r="K846" s="279"/>
      <c r="L846" s="278">
        <v>2.5415065787891118</v>
      </c>
      <c r="M846" s="278">
        <v>0.73012554584465705</v>
      </c>
      <c r="N846" s="278">
        <v>1.9487669665975551</v>
      </c>
      <c r="O846" s="278">
        <f t="shared" si="366"/>
        <v>5.2203990912313243</v>
      </c>
    </row>
    <row r="847" spans="1:15" s="212" customFormat="1">
      <c r="A847" s="213" t="str">
        <f>name!E$9</f>
        <v>Caring, leisure and other service occupations</v>
      </c>
      <c r="B847" s="278">
        <v>1.3587663679361148</v>
      </c>
      <c r="C847" s="278">
        <v>0.29199799333388149</v>
      </c>
      <c r="D847" s="278">
        <v>1.2940729538170705</v>
      </c>
      <c r="E847" s="278">
        <f t="shared" si="364"/>
        <v>2.9448373150870668</v>
      </c>
      <c r="F847" s="279"/>
      <c r="G847" s="278">
        <v>1.2318112517901019</v>
      </c>
      <c r="H847" s="278">
        <v>0.25530374377349702</v>
      </c>
      <c r="I847" s="278">
        <v>1.4447779108689982</v>
      </c>
      <c r="J847" s="278">
        <f t="shared" ref="J847:J850" si="367">SUM(G847:I847)</f>
        <v>2.9318929064325969</v>
      </c>
      <c r="K847" s="279"/>
      <c r="L847" s="278">
        <v>1.3251144447674741</v>
      </c>
      <c r="M847" s="278">
        <v>0.19027145984424051</v>
      </c>
      <c r="N847" s="278">
        <v>1.9908511106616471</v>
      </c>
      <c r="O847" s="278">
        <f t="shared" si="366"/>
        <v>3.5062370152733617</v>
      </c>
    </row>
    <row r="848" spans="1:15" s="212" customFormat="1">
      <c r="A848" s="213" t="str">
        <f>name!E$10</f>
        <v>Sales and customer service occupations</v>
      </c>
      <c r="B848" s="278">
        <v>15.520130816298078</v>
      </c>
      <c r="C848" s="278">
        <v>4.385161570486809</v>
      </c>
      <c r="D848" s="278">
        <v>2.1278401821067017</v>
      </c>
      <c r="E848" s="278">
        <f t="shared" si="364"/>
        <v>22.033132568891588</v>
      </c>
      <c r="F848" s="279"/>
      <c r="G848" s="278">
        <v>14.097752273224726</v>
      </c>
      <c r="H848" s="278">
        <v>4.7414520153399939</v>
      </c>
      <c r="I848" s="278">
        <v>1.9760890656744765</v>
      </c>
      <c r="J848" s="278">
        <f t="shared" si="367"/>
        <v>20.815293354239195</v>
      </c>
      <c r="K848" s="279"/>
      <c r="L848" s="278">
        <v>13.158790465357688</v>
      </c>
      <c r="M848" s="278">
        <v>5.0143739456592229</v>
      </c>
      <c r="N848" s="278">
        <v>1.5641334205240334</v>
      </c>
      <c r="O848" s="278">
        <f t="shared" si="366"/>
        <v>19.737297831540946</v>
      </c>
    </row>
    <row r="849" spans="1:15" s="212" customFormat="1">
      <c r="A849" s="213" t="str">
        <f>name!E$11</f>
        <v>Process, plant and machine operatives</v>
      </c>
      <c r="B849" s="278">
        <v>2.2939996758446437</v>
      </c>
      <c r="C849" s="278">
        <v>0.31708571528015306</v>
      </c>
      <c r="D849" s="278">
        <v>1.3043375952132237</v>
      </c>
      <c r="E849" s="278">
        <f t="shared" si="364"/>
        <v>3.9154229863380206</v>
      </c>
      <c r="F849" s="279"/>
      <c r="G849" s="278">
        <v>1.6849793522798659</v>
      </c>
      <c r="H849" s="278">
        <v>0.2299372067564622</v>
      </c>
      <c r="I849" s="278">
        <v>2.0176552229786626</v>
      </c>
      <c r="J849" s="278">
        <f t="shared" si="367"/>
        <v>3.9325717820149908</v>
      </c>
      <c r="K849" s="279"/>
      <c r="L849" s="278">
        <v>1.6699097320438847</v>
      </c>
      <c r="M849" s="278">
        <v>0.40884995853063877</v>
      </c>
      <c r="N849" s="278">
        <v>2.535608540580975</v>
      </c>
      <c r="O849" s="278">
        <f t="shared" si="366"/>
        <v>4.614368231155499</v>
      </c>
    </row>
    <row r="850" spans="1:15" s="212" customFormat="1">
      <c r="A850" s="213" t="str">
        <f>name!E$12</f>
        <v>Elementary occupations</v>
      </c>
      <c r="B850" s="278">
        <v>4.3697093766923105</v>
      </c>
      <c r="C850" s="278">
        <v>1.3603753765125184</v>
      </c>
      <c r="D850" s="278">
        <v>1.2932638318002738</v>
      </c>
      <c r="E850" s="278">
        <f t="shared" si="364"/>
        <v>7.0233485850051025</v>
      </c>
      <c r="F850" s="279"/>
      <c r="G850" s="278">
        <v>3.1788068358642652</v>
      </c>
      <c r="H850" s="278">
        <v>1.0417104675443867</v>
      </c>
      <c r="I850" s="278">
        <v>1.0394230212555002</v>
      </c>
      <c r="J850" s="278">
        <f t="shared" si="367"/>
        <v>5.2599403246641518</v>
      </c>
      <c r="K850" s="279"/>
      <c r="L850" s="278">
        <v>3.0120226209306931</v>
      </c>
      <c r="M850" s="278">
        <v>1.2162834843745438</v>
      </c>
      <c r="N850" s="278">
        <v>1.3504572280465046</v>
      </c>
      <c r="O850" s="278">
        <f t="shared" si="366"/>
        <v>5.5787633333517412</v>
      </c>
    </row>
    <row r="851" spans="1:15" s="212" customFormat="1">
      <c r="A851" s="213"/>
      <c r="B851" s="278"/>
      <c r="C851" s="278"/>
      <c r="D851" s="278"/>
      <c r="E851" s="278"/>
      <c r="F851" s="279"/>
      <c r="G851" s="278"/>
      <c r="H851" s="278"/>
      <c r="I851" s="278"/>
      <c r="J851" s="278"/>
      <c r="K851" s="279"/>
      <c r="L851" s="278"/>
      <c r="M851" s="278"/>
      <c r="N851" s="278"/>
      <c r="O851" s="278"/>
    </row>
    <row r="852" spans="1:15" s="212" customFormat="1">
      <c r="A852" s="220" t="s">
        <v>119</v>
      </c>
      <c r="B852" s="282">
        <f>SUM(B842:B850)</f>
        <v>331.88299999522275</v>
      </c>
      <c r="C852" s="282">
        <f t="shared" ref="C852:E852" si="368">SUM(C842:C850)</f>
        <v>44.296000000136161</v>
      </c>
      <c r="D852" s="282">
        <f t="shared" si="368"/>
        <v>38.681000000454716</v>
      </c>
      <c r="E852" s="282">
        <f t="shared" si="368"/>
        <v>414.85999999581361</v>
      </c>
      <c r="F852" s="282"/>
      <c r="G852" s="282">
        <f t="shared" ref="G852:J852" si="369">SUM(G842:G850)</f>
        <v>355.3519999983817</v>
      </c>
      <c r="H852" s="282">
        <f t="shared" si="369"/>
        <v>46.159000000096754</v>
      </c>
      <c r="I852" s="282">
        <f t="shared" si="369"/>
        <v>48.126000000544039</v>
      </c>
      <c r="J852" s="282">
        <f t="shared" si="369"/>
        <v>449.63699999902258</v>
      </c>
      <c r="K852" s="282"/>
      <c r="L852" s="282">
        <f t="shared" ref="L852:O852" si="370">SUM(L842:L850)</f>
        <v>345.24000000575688</v>
      </c>
      <c r="M852" s="282">
        <f t="shared" si="370"/>
        <v>44.356000000369576</v>
      </c>
      <c r="N852" s="282">
        <f t="shared" si="370"/>
        <v>52.19700000197335</v>
      </c>
      <c r="O852" s="282">
        <f t="shared" si="370"/>
        <v>441.79300000809991</v>
      </c>
    </row>
    <row r="853" spans="1:15" s="212" customFormat="1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3"/>
      <c r="M853" s="213"/>
      <c r="N853" s="216"/>
    </row>
    <row r="854" spans="1:15" s="212" customFormat="1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13"/>
      <c r="M854" s="213"/>
      <c r="N854" s="216"/>
      <c r="O854" s="227" t="s">
        <v>114</v>
      </c>
    </row>
    <row r="855" spans="1:15" s="212" customFormat="1" ht="12.95">
      <c r="A855" s="218"/>
      <c r="B855" s="218"/>
      <c r="C855" s="218"/>
      <c r="D855" s="218"/>
      <c r="E855" s="218"/>
      <c r="F855" s="218"/>
      <c r="G855" s="218"/>
      <c r="H855" s="218"/>
      <c r="I855" s="218"/>
      <c r="J855" s="218"/>
      <c r="K855" s="218"/>
      <c r="L855" s="218"/>
      <c r="M855" s="218"/>
      <c r="N855" s="218"/>
      <c r="O855" s="218"/>
    </row>
    <row r="856" spans="1:15" s="212" customFormat="1" ht="12.95">
      <c r="A856" s="217" t="str">
        <f>name!A53</f>
        <v>Real estate</v>
      </c>
      <c r="B856" s="369">
        <f>$B$6</f>
        <v>2015</v>
      </c>
      <c r="C856" s="369"/>
      <c r="D856" s="369"/>
      <c r="E856" s="369"/>
      <c r="F856" s="239"/>
      <c r="G856" s="369">
        <f>$G$6</f>
        <v>2020</v>
      </c>
      <c r="H856" s="369"/>
      <c r="I856" s="369"/>
      <c r="J856" s="369"/>
      <c r="K856" s="239"/>
      <c r="L856" s="369">
        <f>$L$6</f>
        <v>2035</v>
      </c>
      <c r="M856" s="369"/>
      <c r="N856" s="369"/>
      <c r="O856" s="369"/>
    </row>
    <row r="857" spans="1:15" s="212" customFormat="1" ht="12.95">
      <c r="A857" s="230"/>
      <c r="B857" s="244" t="str">
        <f>$B$7</f>
        <v>FT</v>
      </c>
      <c r="C857" s="244" t="str">
        <f>$C$7</f>
        <v>PT</v>
      </c>
      <c r="D857" s="244" t="str">
        <f>$D$7</f>
        <v>SE</v>
      </c>
      <c r="E857" s="244" t="str">
        <f>$E$7</f>
        <v>Total</v>
      </c>
      <c r="F857" s="244"/>
      <c r="G857" s="244" t="str">
        <f>$G$7</f>
        <v>FT</v>
      </c>
      <c r="H857" s="244" t="str">
        <f>$H$7</f>
        <v>PT</v>
      </c>
      <c r="I857" s="244" t="str">
        <f>$I$7</f>
        <v>SE</v>
      </c>
      <c r="J857" s="244" t="str">
        <f>$J$7</f>
        <v>Total</v>
      </c>
      <c r="K857" s="244"/>
      <c r="L857" s="244" t="str">
        <f>$L$7</f>
        <v>FT</v>
      </c>
      <c r="M857" s="244" t="str">
        <f>$M$7</f>
        <v>PT</v>
      </c>
      <c r="N857" s="244" t="str">
        <f>$N$7</f>
        <v>SE</v>
      </c>
      <c r="O857" s="244" t="str">
        <f>$O$7</f>
        <v>Total</v>
      </c>
    </row>
    <row r="858" spans="1:15" s="212" customFormat="1" ht="12.95">
      <c r="A858" s="234"/>
      <c r="B858" s="215"/>
      <c r="C858" s="215"/>
      <c r="D858" s="215"/>
      <c r="E858" s="215"/>
      <c r="F858" s="215"/>
      <c r="G858" s="215"/>
      <c r="H858" s="215"/>
      <c r="I858" s="215"/>
      <c r="J858" s="215"/>
      <c r="K858" s="215"/>
      <c r="L858" s="215"/>
      <c r="M858" s="215"/>
      <c r="N858" s="215"/>
      <c r="O858" s="215"/>
    </row>
    <row r="859" spans="1:15" s="212" customFormat="1">
      <c r="A859" s="213" t="str">
        <f>name!E$4</f>
        <v>Managers, directors and senior officials</v>
      </c>
      <c r="B859" s="278">
        <v>62.612424372249677</v>
      </c>
      <c r="C859" s="278">
        <v>13.035936882520495</v>
      </c>
      <c r="D859" s="278">
        <v>23.828949627824475</v>
      </c>
      <c r="E859" s="278">
        <f>SUM(B859:D859)</f>
        <v>99.477310882594651</v>
      </c>
      <c r="F859" s="279"/>
      <c r="G859" s="278">
        <v>79.49789073349595</v>
      </c>
      <c r="H859" s="278">
        <v>19.31765799599993</v>
      </c>
      <c r="I859" s="278">
        <v>25.324856639218165</v>
      </c>
      <c r="J859" s="278">
        <f>SUM(G859:I859)</f>
        <v>124.14040536871404</v>
      </c>
      <c r="K859" s="279"/>
      <c r="L859" s="278">
        <v>79.732392935339405</v>
      </c>
      <c r="M859" s="278">
        <v>18.43208773324918</v>
      </c>
      <c r="N859" s="278">
        <v>27.690926381355148</v>
      </c>
      <c r="O859" s="278">
        <f>SUM(L859:N859)</f>
        <v>125.85540704994372</v>
      </c>
    </row>
    <row r="860" spans="1:15" s="212" customFormat="1">
      <c r="A860" s="213" t="str">
        <f>name!E$5</f>
        <v>Professional occupations</v>
      </c>
      <c r="B860" s="278">
        <v>65.977871586344861</v>
      </c>
      <c r="C860" s="278">
        <v>11.331859241336749</v>
      </c>
      <c r="D860" s="278">
        <v>7.5620403292292124</v>
      </c>
      <c r="E860" s="278">
        <f t="shared" ref="E860:E867" si="371">SUM(B860:D860)</f>
        <v>84.871771156910825</v>
      </c>
      <c r="F860" s="279"/>
      <c r="G860" s="278">
        <v>94.845029317216571</v>
      </c>
      <c r="H860" s="278">
        <v>16.617849880057889</v>
      </c>
      <c r="I860" s="278">
        <v>6.8915382214481475</v>
      </c>
      <c r="J860" s="278">
        <f t="shared" ref="J860:J862" si="372">SUM(G860:I860)</f>
        <v>118.3544174187226</v>
      </c>
      <c r="K860" s="279"/>
      <c r="L860" s="278">
        <v>107.6679126137534</v>
      </c>
      <c r="M860" s="278">
        <v>18.527142423762175</v>
      </c>
      <c r="N860" s="278">
        <v>5.3907020810904376</v>
      </c>
      <c r="O860" s="278">
        <f t="shared" ref="O860:O867" si="373">SUM(L860:N860)</f>
        <v>131.58575711860601</v>
      </c>
    </row>
    <row r="861" spans="1:15" s="212" customFormat="1">
      <c r="A861" s="213" t="str">
        <f>name!E$6</f>
        <v>Associate professional occupations</v>
      </c>
      <c r="B861" s="278">
        <v>58.614499530394198</v>
      </c>
      <c r="C861" s="278">
        <v>13.835718987571207</v>
      </c>
      <c r="D861" s="278">
        <v>6.5377828556644122</v>
      </c>
      <c r="E861" s="278">
        <f t="shared" si="371"/>
        <v>78.988001373629828</v>
      </c>
      <c r="F861" s="279"/>
      <c r="G861" s="278">
        <v>75.681512742611972</v>
      </c>
      <c r="H861" s="278">
        <v>17.770005198604096</v>
      </c>
      <c r="I861" s="278">
        <v>5.4489540989001179</v>
      </c>
      <c r="J861" s="278">
        <f t="shared" si="372"/>
        <v>98.900472040116185</v>
      </c>
      <c r="K861" s="279"/>
      <c r="L861" s="278">
        <v>89.543891677147002</v>
      </c>
      <c r="M861" s="278">
        <v>18.879068261261835</v>
      </c>
      <c r="N861" s="278">
        <v>6.0249527641883276</v>
      </c>
      <c r="O861" s="278">
        <f t="shared" si="373"/>
        <v>114.44791270259716</v>
      </c>
    </row>
    <row r="862" spans="1:15" s="212" customFormat="1">
      <c r="A862" s="213" t="str">
        <f>name!E$7</f>
        <v>Administrative and secretarial occupations</v>
      </c>
      <c r="B862" s="278">
        <v>48.521891213351154</v>
      </c>
      <c r="C862" s="278">
        <v>42.471154625773316</v>
      </c>
      <c r="D862" s="278">
        <v>4.2973431128685</v>
      </c>
      <c r="E862" s="278">
        <f t="shared" si="371"/>
        <v>95.290388951992981</v>
      </c>
      <c r="F862" s="279"/>
      <c r="G862" s="278">
        <v>52.588967715905099</v>
      </c>
      <c r="H862" s="278">
        <v>38.733884668427187</v>
      </c>
      <c r="I862" s="278">
        <v>3.9096140095291201</v>
      </c>
      <c r="J862" s="278">
        <f t="shared" si="372"/>
        <v>95.232466393861415</v>
      </c>
      <c r="K862" s="279"/>
      <c r="L862" s="278">
        <v>51.403461716255293</v>
      </c>
      <c r="M862" s="278">
        <v>32.37123413603566</v>
      </c>
      <c r="N862" s="278">
        <v>3.957584515820868</v>
      </c>
      <c r="O862" s="278">
        <f t="shared" si="373"/>
        <v>87.73228036811183</v>
      </c>
    </row>
    <row r="863" spans="1:15" s="212" customFormat="1">
      <c r="A863" s="213" t="str">
        <f>name!E$8</f>
        <v>Skilled trades occupations</v>
      </c>
      <c r="B863" s="278">
        <v>19.113273400018929</v>
      </c>
      <c r="C863" s="278">
        <v>3.2115863913087015</v>
      </c>
      <c r="D863" s="278">
        <v>15.058346133232034</v>
      </c>
      <c r="E863" s="278">
        <f t="shared" si="371"/>
        <v>37.383205924559668</v>
      </c>
      <c r="F863" s="279"/>
      <c r="G863" s="278">
        <v>18.407205011599146</v>
      </c>
      <c r="H863" s="278">
        <v>3.1171400963182641</v>
      </c>
      <c r="I863" s="278">
        <v>10.778482381875287</v>
      </c>
      <c r="J863" s="278">
        <f>SUM(G863:I863)</f>
        <v>32.302827489792698</v>
      </c>
      <c r="K863" s="279"/>
      <c r="L863" s="278">
        <v>19.783663024817113</v>
      </c>
      <c r="M863" s="278">
        <v>4.9054781426964311</v>
      </c>
      <c r="N863" s="278">
        <v>13.503501741429561</v>
      </c>
      <c r="O863" s="278">
        <f t="shared" si="373"/>
        <v>38.192642908943107</v>
      </c>
    </row>
    <row r="864" spans="1:15" s="212" customFormat="1">
      <c r="A864" s="213" t="str">
        <f>name!E$9</f>
        <v>Caring, leisure and other service occupations</v>
      </c>
      <c r="B864" s="278">
        <v>8.8097555540920922</v>
      </c>
      <c r="C864" s="278">
        <v>4.5191623712090436</v>
      </c>
      <c r="D864" s="278">
        <v>2.5762597027036325</v>
      </c>
      <c r="E864" s="278">
        <f t="shared" si="371"/>
        <v>15.905177628004768</v>
      </c>
      <c r="F864" s="279"/>
      <c r="G864" s="278">
        <v>9.6954481423610019</v>
      </c>
      <c r="H864" s="278">
        <v>4.4123456358660533</v>
      </c>
      <c r="I864" s="278">
        <v>2.2159074023036966</v>
      </c>
      <c r="J864" s="278">
        <f t="shared" ref="J864:J867" si="374">SUM(G864:I864)</f>
        <v>16.323701180530751</v>
      </c>
      <c r="K864" s="279"/>
      <c r="L864" s="278">
        <v>10.387387990272801</v>
      </c>
      <c r="M864" s="278">
        <v>3.8262112953205745</v>
      </c>
      <c r="N864" s="278">
        <v>3.9344951330559614</v>
      </c>
      <c r="O864" s="278">
        <f t="shared" si="373"/>
        <v>18.148094418649336</v>
      </c>
    </row>
    <row r="865" spans="1:15" s="212" customFormat="1">
      <c r="A865" s="213" t="str">
        <f>name!E$10</f>
        <v>Sales and customer service occupations</v>
      </c>
      <c r="B865" s="278">
        <v>36.164797650143754</v>
      </c>
      <c r="C865" s="278">
        <v>17.046600084195934</v>
      </c>
      <c r="D865" s="278">
        <v>6.3451382123212596</v>
      </c>
      <c r="E865" s="278">
        <f t="shared" si="371"/>
        <v>59.556535946660944</v>
      </c>
      <c r="F865" s="279"/>
      <c r="G865" s="278">
        <v>35.235415774368015</v>
      </c>
      <c r="H865" s="278">
        <v>16.239709645026178</v>
      </c>
      <c r="I865" s="278">
        <v>4.9275693926732611</v>
      </c>
      <c r="J865" s="278">
        <f t="shared" si="374"/>
        <v>56.402694812067452</v>
      </c>
      <c r="K865" s="279"/>
      <c r="L865" s="278">
        <v>37.972658800496617</v>
      </c>
      <c r="M865" s="278">
        <v>16.842757875579959</v>
      </c>
      <c r="N865" s="278">
        <v>4.1659994752120015</v>
      </c>
      <c r="O865" s="278">
        <f t="shared" si="373"/>
        <v>58.981416151288585</v>
      </c>
    </row>
    <row r="866" spans="1:15" s="212" customFormat="1">
      <c r="A866" s="213" t="str">
        <f>name!E$11</f>
        <v>Process, plant and machine operatives</v>
      </c>
      <c r="B866" s="278">
        <v>5.4977257392335108</v>
      </c>
      <c r="C866" s="278">
        <v>0.79811209606172873</v>
      </c>
      <c r="D866" s="278">
        <v>0.5945471101164076</v>
      </c>
      <c r="E866" s="278">
        <f t="shared" si="371"/>
        <v>6.8903849454116477</v>
      </c>
      <c r="F866" s="279"/>
      <c r="G866" s="278">
        <v>5.0472084143910516</v>
      </c>
      <c r="H866" s="278">
        <v>0.86442094008328774</v>
      </c>
      <c r="I866" s="278">
        <v>0.61254511383522503</v>
      </c>
      <c r="J866" s="278">
        <f t="shared" si="374"/>
        <v>6.5241744683095639</v>
      </c>
      <c r="K866" s="279"/>
      <c r="L866" s="278">
        <v>4.1461633880251032</v>
      </c>
      <c r="M866" s="278">
        <v>0.84960973412254448</v>
      </c>
      <c r="N866" s="278">
        <v>0.86861437990510892</v>
      </c>
      <c r="O866" s="278">
        <f t="shared" si="373"/>
        <v>5.8643875020527565</v>
      </c>
    </row>
    <row r="867" spans="1:15" s="212" customFormat="1">
      <c r="A867" s="213" t="str">
        <f>name!E$12</f>
        <v>Elementary occupations</v>
      </c>
      <c r="B867" s="278">
        <v>8.5857609514324107</v>
      </c>
      <c r="C867" s="278">
        <v>7.7638693206634821</v>
      </c>
      <c r="D867" s="278">
        <v>4.9965929165572165</v>
      </c>
      <c r="E867" s="278">
        <f t="shared" si="371"/>
        <v>21.346223188653109</v>
      </c>
      <c r="F867" s="279"/>
      <c r="G867" s="278">
        <v>7.967322146317831</v>
      </c>
      <c r="H867" s="278">
        <v>6.2899859400302498</v>
      </c>
      <c r="I867" s="278">
        <v>3.6465327397564367</v>
      </c>
      <c r="J867" s="278">
        <f t="shared" si="374"/>
        <v>17.903840826104517</v>
      </c>
      <c r="K867" s="279"/>
      <c r="L867" s="278">
        <v>8.063467858280374</v>
      </c>
      <c r="M867" s="278">
        <v>3.5084103992449585</v>
      </c>
      <c r="N867" s="278">
        <v>5.4842235280059324</v>
      </c>
      <c r="O867" s="278">
        <f t="shared" si="373"/>
        <v>17.056101785531265</v>
      </c>
    </row>
    <row r="868" spans="1:15" s="212" customFormat="1">
      <c r="A868" s="213"/>
      <c r="B868" s="278"/>
      <c r="C868" s="278"/>
      <c r="D868" s="278"/>
      <c r="E868" s="278"/>
      <c r="F868" s="279"/>
      <c r="G868" s="278"/>
      <c r="H868" s="278"/>
      <c r="I868" s="278"/>
      <c r="J868" s="278"/>
      <c r="K868" s="279"/>
      <c r="L868" s="278"/>
      <c r="M868" s="278"/>
      <c r="N868" s="278"/>
      <c r="O868" s="278"/>
    </row>
    <row r="869" spans="1:15" s="212" customFormat="1">
      <c r="A869" s="220" t="s">
        <v>119</v>
      </c>
      <c r="B869" s="282">
        <f>SUM(B859:B867)</f>
        <v>313.89799999726057</v>
      </c>
      <c r="C869" s="282">
        <f t="shared" ref="C869:E869" si="375">SUM(C859:C867)</f>
        <v>114.01400000064066</v>
      </c>
      <c r="D869" s="282">
        <f t="shared" si="375"/>
        <v>71.797000000517158</v>
      </c>
      <c r="E869" s="282">
        <f t="shared" si="375"/>
        <v>499.70899999841839</v>
      </c>
      <c r="F869" s="282"/>
      <c r="G869" s="282">
        <f t="shared" ref="G869:J869" si="376">SUM(G859:G867)</f>
        <v>378.96599999826657</v>
      </c>
      <c r="H869" s="282">
        <f t="shared" si="376"/>
        <v>123.36300000041315</v>
      </c>
      <c r="I869" s="282">
        <f t="shared" si="376"/>
        <v>63.755999999539462</v>
      </c>
      <c r="J869" s="282">
        <f t="shared" si="376"/>
        <v>566.08499999821925</v>
      </c>
      <c r="K869" s="282"/>
      <c r="L869" s="282">
        <f t="shared" ref="L869:O869" si="377">SUM(L859:L867)</f>
        <v>408.70100000438708</v>
      </c>
      <c r="M869" s="282">
        <f t="shared" si="377"/>
        <v>118.14200000127332</v>
      </c>
      <c r="N869" s="282">
        <f t="shared" si="377"/>
        <v>71.021000000063339</v>
      </c>
      <c r="O869" s="282">
        <f t="shared" si="377"/>
        <v>597.86400000572382</v>
      </c>
    </row>
    <row r="870" spans="1:15" s="212" customFormat="1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3"/>
      <c r="M870" s="213"/>
      <c r="N870" s="216"/>
    </row>
    <row r="871" spans="1:15" s="212" customFormat="1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13"/>
      <c r="M871" s="213"/>
      <c r="N871" s="216"/>
      <c r="O871" s="227" t="s">
        <v>114</v>
      </c>
    </row>
    <row r="872" spans="1:15" s="212" customFormat="1" ht="12.95">
      <c r="A872" s="218"/>
      <c r="B872" s="218"/>
      <c r="C872" s="218"/>
      <c r="D872" s="218"/>
      <c r="E872" s="218"/>
      <c r="F872" s="218"/>
      <c r="G872" s="218"/>
      <c r="H872" s="218"/>
      <c r="I872" s="218"/>
      <c r="J872" s="218"/>
      <c r="K872" s="218"/>
      <c r="L872" s="218"/>
      <c r="M872" s="218"/>
      <c r="N872" s="218"/>
      <c r="O872" s="218"/>
    </row>
    <row r="873" spans="1:15" s="212" customFormat="1" ht="12.95">
      <c r="A873" s="217" t="str">
        <f>name!A54</f>
        <v>Legal and accounting</v>
      </c>
      <c r="B873" s="369">
        <f>$B$6</f>
        <v>2015</v>
      </c>
      <c r="C873" s="369"/>
      <c r="D873" s="369"/>
      <c r="E873" s="369"/>
      <c r="F873" s="239"/>
      <c r="G873" s="369">
        <f>$G$6</f>
        <v>2020</v>
      </c>
      <c r="H873" s="369"/>
      <c r="I873" s="369"/>
      <c r="J873" s="369"/>
      <c r="K873" s="239"/>
      <c r="L873" s="369">
        <f>$L$6</f>
        <v>2035</v>
      </c>
      <c r="M873" s="369"/>
      <c r="N873" s="369"/>
      <c r="O873" s="369"/>
    </row>
    <row r="874" spans="1:15" s="212" customFormat="1" ht="12.95">
      <c r="A874" s="230"/>
      <c r="B874" s="244" t="str">
        <f>$B$7</f>
        <v>FT</v>
      </c>
      <c r="C874" s="244" t="str">
        <f>$C$7</f>
        <v>PT</v>
      </c>
      <c r="D874" s="244" t="str">
        <f>$D$7</f>
        <v>SE</v>
      </c>
      <c r="E874" s="244" t="str">
        <f>$E$7</f>
        <v>Total</v>
      </c>
      <c r="F874" s="244"/>
      <c r="G874" s="244" t="str">
        <f>$G$7</f>
        <v>FT</v>
      </c>
      <c r="H874" s="244" t="str">
        <f>$H$7</f>
        <v>PT</v>
      </c>
      <c r="I874" s="244" t="str">
        <f>$I$7</f>
        <v>SE</v>
      </c>
      <c r="J874" s="244" t="str">
        <f>$J$7</f>
        <v>Total</v>
      </c>
      <c r="K874" s="244"/>
      <c r="L874" s="244" t="str">
        <f>$L$7</f>
        <v>FT</v>
      </c>
      <c r="M874" s="244" t="str">
        <f>$M$7</f>
        <v>PT</v>
      </c>
      <c r="N874" s="244" t="str">
        <f>$N$7</f>
        <v>SE</v>
      </c>
      <c r="O874" s="244" t="str">
        <f>$O$7</f>
        <v>Total</v>
      </c>
    </row>
    <row r="875" spans="1:15" s="212" customFormat="1" ht="12.95">
      <c r="A875" s="234"/>
      <c r="B875" s="215"/>
      <c r="C875" s="215"/>
      <c r="D875" s="215"/>
      <c r="E875" s="215"/>
      <c r="F875" s="215"/>
      <c r="G875" s="215"/>
      <c r="H875" s="215"/>
      <c r="I875" s="215"/>
      <c r="J875" s="215"/>
      <c r="K875" s="215"/>
      <c r="L875" s="215"/>
      <c r="M875" s="215"/>
      <c r="N875" s="215"/>
      <c r="O875" s="215"/>
    </row>
    <row r="876" spans="1:15" s="212" customFormat="1">
      <c r="A876" s="213" t="str">
        <f>name!E$4</f>
        <v>Managers, directors and senior officials</v>
      </c>
      <c r="B876" s="278">
        <v>59.229450243510819</v>
      </c>
      <c r="C876" s="278">
        <v>11.005119304600504</v>
      </c>
      <c r="D876" s="278">
        <v>14.869216530688908</v>
      </c>
      <c r="E876" s="278">
        <f>SUM(B876:D876)</f>
        <v>85.103786078800226</v>
      </c>
      <c r="F876" s="279"/>
      <c r="G876" s="278">
        <v>60.08153161358549</v>
      </c>
      <c r="H876" s="278">
        <v>19.206965272095164</v>
      </c>
      <c r="I876" s="278">
        <v>16.892594151719617</v>
      </c>
      <c r="J876" s="278">
        <f>SUM(G876:I876)</f>
        <v>96.181091037400279</v>
      </c>
      <c r="K876" s="279"/>
      <c r="L876" s="278">
        <v>57.92285745381006</v>
      </c>
      <c r="M876" s="278">
        <v>25.765785456799545</v>
      </c>
      <c r="N876" s="278">
        <v>20.186763591910363</v>
      </c>
      <c r="O876" s="278">
        <f>SUM(L876:N876)</f>
        <v>103.87540650251997</v>
      </c>
    </row>
    <row r="877" spans="1:15" s="212" customFormat="1">
      <c r="A877" s="213" t="str">
        <f>name!E$5</f>
        <v>Professional occupations</v>
      </c>
      <c r="B877" s="278">
        <v>172.78358433879069</v>
      </c>
      <c r="C877" s="278">
        <v>21.564809624477977</v>
      </c>
      <c r="D877" s="278">
        <v>53.484220752569847</v>
      </c>
      <c r="E877" s="278">
        <f t="shared" ref="E877:E884" si="378">SUM(B877:D877)</f>
        <v>247.83261471583853</v>
      </c>
      <c r="F877" s="279"/>
      <c r="G877" s="278">
        <v>206.46999282223055</v>
      </c>
      <c r="H877" s="278">
        <v>36.202030592829836</v>
      </c>
      <c r="I877" s="278">
        <v>50.842712399271178</v>
      </c>
      <c r="J877" s="278">
        <f t="shared" ref="J877:J879" si="379">SUM(G877:I877)</f>
        <v>293.51473581433157</v>
      </c>
      <c r="K877" s="279"/>
      <c r="L877" s="278">
        <v>260.87235154326191</v>
      </c>
      <c r="M877" s="278">
        <v>45.939585051350662</v>
      </c>
      <c r="N877" s="278">
        <v>50.991117669465531</v>
      </c>
      <c r="O877" s="278">
        <f t="shared" ref="O877:O884" si="380">SUM(L877:N877)</f>
        <v>357.80305426407813</v>
      </c>
    </row>
    <row r="878" spans="1:15" s="212" customFormat="1">
      <c r="A878" s="213" t="str">
        <f>name!E$6</f>
        <v>Associate professional occupations</v>
      </c>
      <c r="B878" s="278">
        <v>90.752037528275196</v>
      </c>
      <c r="C878" s="278">
        <v>16.888604320956297</v>
      </c>
      <c r="D878" s="278">
        <v>23.100001070803</v>
      </c>
      <c r="E878" s="278">
        <f t="shared" si="378"/>
        <v>130.74064292003447</v>
      </c>
      <c r="F878" s="279"/>
      <c r="G878" s="278">
        <v>95.83903350320962</v>
      </c>
      <c r="H878" s="278">
        <v>23.851895204220643</v>
      </c>
      <c r="I878" s="278">
        <v>22.14473066335114</v>
      </c>
      <c r="J878" s="278">
        <f t="shared" si="379"/>
        <v>141.8356593707814</v>
      </c>
      <c r="K878" s="279"/>
      <c r="L878" s="278">
        <v>106.58754770397432</v>
      </c>
      <c r="M878" s="278">
        <v>27.567283715448166</v>
      </c>
      <c r="N878" s="278">
        <v>25.348723652599155</v>
      </c>
      <c r="O878" s="278">
        <f t="shared" si="380"/>
        <v>159.50355507202164</v>
      </c>
    </row>
    <row r="879" spans="1:15" s="212" customFormat="1">
      <c r="A879" s="213" t="str">
        <f>name!E$7</f>
        <v>Administrative and secretarial occupations</v>
      </c>
      <c r="B879" s="278">
        <v>80.364259400237387</v>
      </c>
      <c r="C879" s="278">
        <v>47.913355706655068</v>
      </c>
      <c r="D879" s="278">
        <v>12.565336497333508</v>
      </c>
      <c r="E879" s="278">
        <f t="shared" si="378"/>
        <v>140.84295160422596</v>
      </c>
      <c r="F879" s="279"/>
      <c r="G879" s="278">
        <v>72.040412840830882</v>
      </c>
      <c r="H879" s="278">
        <v>58.390183057625904</v>
      </c>
      <c r="I879" s="278">
        <v>11.701534734771348</v>
      </c>
      <c r="J879" s="278">
        <f t="shared" si="379"/>
        <v>142.13213063322812</v>
      </c>
      <c r="K879" s="279"/>
      <c r="L879" s="278">
        <v>58.491058775913473</v>
      </c>
      <c r="M879" s="278">
        <v>56.834931352517451</v>
      </c>
      <c r="N879" s="278">
        <v>10.674419690553714</v>
      </c>
      <c r="O879" s="278">
        <f t="shared" si="380"/>
        <v>126.00040981898465</v>
      </c>
    </row>
    <row r="880" spans="1:15" s="212" customFormat="1">
      <c r="A880" s="213" t="str">
        <f>name!E$8</f>
        <v>Skilled trades occupations</v>
      </c>
      <c r="B880" s="278">
        <v>10.953552692962234</v>
      </c>
      <c r="C880" s="278">
        <v>2.486826981018269</v>
      </c>
      <c r="D880" s="278">
        <v>3.0470210301390672</v>
      </c>
      <c r="E880" s="278">
        <f t="shared" si="378"/>
        <v>16.487400704119569</v>
      </c>
      <c r="F880" s="279"/>
      <c r="G880" s="278">
        <v>7.9968409043298294</v>
      </c>
      <c r="H880" s="278">
        <v>1.8545105769484047</v>
      </c>
      <c r="I880" s="278">
        <v>2.4979189869155811</v>
      </c>
      <c r="J880" s="278">
        <f>SUM(G880:I880)</f>
        <v>12.349270468193815</v>
      </c>
      <c r="K880" s="279"/>
      <c r="L880" s="278">
        <v>8.0531601293295019</v>
      </c>
      <c r="M880" s="278">
        <v>2.6660285220121729</v>
      </c>
      <c r="N880" s="278">
        <v>3.3594860705425194</v>
      </c>
      <c r="O880" s="278">
        <f t="shared" si="380"/>
        <v>14.078674721884195</v>
      </c>
    </row>
    <row r="881" spans="1:15" s="212" customFormat="1">
      <c r="A881" s="213" t="str">
        <f>name!E$9</f>
        <v>Caring, leisure and other service occupations</v>
      </c>
      <c r="B881" s="278">
        <v>1.4577884641976069</v>
      </c>
      <c r="C881" s="278">
        <v>0.49500374068027514</v>
      </c>
      <c r="D881" s="278">
        <v>1.2190745024191938</v>
      </c>
      <c r="E881" s="278">
        <f t="shared" si="378"/>
        <v>3.1718667072970756</v>
      </c>
      <c r="F881" s="279"/>
      <c r="G881" s="278">
        <v>1.2370559436785427</v>
      </c>
      <c r="H881" s="278">
        <v>0.54633612713541091</v>
      </c>
      <c r="I881" s="278">
        <v>1.2351974936972925</v>
      </c>
      <c r="J881" s="278">
        <f t="shared" ref="J881:J884" si="381">SUM(G881:I881)</f>
        <v>3.0185895645112462</v>
      </c>
      <c r="K881" s="279"/>
      <c r="L881" s="278">
        <v>1.1882783239201746</v>
      </c>
      <c r="M881" s="278">
        <v>0.52992111945200249</v>
      </c>
      <c r="N881" s="278">
        <v>2.1001856909874079</v>
      </c>
      <c r="O881" s="278">
        <f t="shared" si="380"/>
        <v>3.8183851343595849</v>
      </c>
    </row>
    <row r="882" spans="1:15" s="212" customFormat="1">
      <c r="A882" s="213" t="str">
        <f>name!E$10</f>
        <v>Sales and customer service occupations</v>
      </c>
      <c r="B882" s="278">
        <v>16.285640773430384</v>
      </c>
      <c r="C882" s="278">
        <v>7.8245449176860848</v>
      </c>
      <c r="D882" s="278">
        <v>3.598502170945443</v>
      </c>
      <c r="E882" s="278">
        <f t="shared" si="378"/>
        <v>27.708687862061915</v>
      </c>
      <c r="F882" s="279"/>
      <c r="G882" s="278">
        <v>13.984043295652425</v>
      </c>
      <c r="H882" s="278">
        <v>9.5997395507411891</v>
      </c>
      <c r="I882" s="278">
        <v>2.4669711167972483</v>
      </c>
      <c r="J882" s="278">
        <f t="shared" si="381"/>
        <v>26.050753963190864</v>
      </c>
      <c r="K882" s="279"/>
      <c r="L882" s="278">
        <v>13.911060309392452</v>
      </c>
      <c r="M882" s="278">
        <v>11.434658446594101</v>
      </c>
      <c r="N882" s="278">
        <v>1.8554652739644804</v>
      </c>
      <c r="O882" s="278">
        <f t="shared" si="380"/>
        <v>27.201184029951033</v>
      </c>
    </row>
    <row r="883" spans="1:15" s="212" customFormat="1">
      <c r="A883" s="213" t="str">
        <f>name!E$11</f>
        <v>Process, plant and machine operatives</v>
      </c>
      <c r="B883" s="278">
        <v>3.8300225105710477</v>
      </c>
      <c r="C883" s="278">
        <v>1.8359358365776972</v>
      </c>
      <c r="D883" s="278">
        <v>0.95587180920919268</v>
      </c>
      <c r="E883" s="278">
        <f t="shared" si="378"/>
        <v>6.6218301563579374</v>
      </c>
      <c r="F883" s="279"/>
      <c r="G883" s="278">
        <v>2.5111888374262596</v>
      </c>
      <c r="H883" s="278">
        <v>1.9368566403589147</v>
      </c>
      <c r="I883" s="278">
        <v>0.99909107905937367</v>
      </c>
      <c r="J883" s="278">
        <f t="shared" si="381"/>
        <v>5.4471365568445478</v>
      </c>
      <c r="K883" s="279"/>
      <c r="L883" s="278">
        <v>2.1601746626372931</v>
      </c>
      <c r="M883" s="278">
        <v>2.6743996341443399</v>
      </c>
      <c r="N883" s="278">
        <v>1.4338410786534503</v>
      </c>
      <c r="O883" s="278">
        <f t="shared" si="380"/>
        <v>6.2684153754350831</v>
      </c>
    </row>
    <row r="884" spans="1:15" s="212" customFormat="1">
      <c r="A884" s="213" t="str">
        <f>name!E$12</f>
        <v>Elementary occupations</v>
      </c>
      <c r="B884" s="278">
        <v>6.3326640387484421</v>
      </c>
      <c r="C884" s="278">
        <v>3.9667995666719151</v>
      </c>
      <c r="D884" s="278">
        <v>1.4777556366961186</v>
      </c>
      <c r="E884" s="278">
        <f t="shared" si="378"/>
        <v>11.777219242116475</v>
      </c>
      <c r="F884" s="279"/>
      <c r="G884" s="278">
        <v>4.9699002347326457</v>
      </c>
      <c r="H884" s="278">
        <v>3.8654829779736821</v>
      </c>
      <c r="I884" s="278">
        <v>0.97424937527931743</v>
      </c>
      <c r="J884" s="278">
        <f t="shared" si="381"/>
        <v>9.8096325879856447</v>
      </c>
      <c r="K884" s="279"/>
      <c r="L884" s="278">
        <v>4.3225111070550648</v>
      </c>
      <c r="M884" s="278">
        <v>4.8094067034346368</v>
      </c>
      <c r="N884" s="278">
        <v>2.5439972856781807</v>
      </c>
      <c r="O884" s="278">
        <f t="shared" si="380"/>
        <v>11.675915096167882</v>
      </c>
    </row>
    <row r="885" spans="1:15" s="212" customFormat="1">
      <c r="A885" s="213"/>
      <c r="B885" s="278"/>
      <c r="C885" s="278"/>
      <c r="D885" s="278"/>
      <c r="E885" s="278"/>
      <c r="F885" s="279"/>
      <c r="G885" s="278"/>
      <c r="H885" s="278"/>
      <c r="I885" s="278"/>
      <c r="J885" s="278"/>
      <c r="K885" s="279"/>
      <c r="L885" s="278"/>
      <c r="M885" s="278"/>
      <c r="N885" s="278"/>
      <c r="O885" s="278"/>
    </row>
    <row r="886" spans="1:15" s="212" customFormat="1">
      <c r="A886" s="220" t="s">
        <v>119</v>
      </c>
      <c r="B886" s="282">
        <f>SUM(B876:B884)</f>
        <v>441.98899999072387</v>
      </c>
      <c r="C886" s="282">
        <f t="shared" ref="C886:E886" si="382">SUM(C876:C884)</f>
        <v>113.98099999932408</v>
      </c>
      <c r="D886" s="282">
        <f t="shared" si="382"/>
        <v>114.31700000080427</v>
      </c>
      <c r="E886" s="282">
        <f t="shared" si="382"/>
        <v>670.28699999085222</v>
      </c>
      <c r="F886" s="282"/>
      <c r="G886" s="282">
        <f t="shared" ref="G886:J886" si="383">SUM(G876:G884)</f>
        <v>465.1299999956762</v>
      </c>
      <c r="H886" s="282">
        <f t="shared" si="383"/>
        <v>155.45399999992915</v>
      </c>
      <c r="I886" s="282">
        <f t="shared" si="383"/>
        <v>109.7550000008621</v>
      </c>
      <c r="J886" s="282">
        <f t="shared" si="383"/>
        <v>730.33899999646746</v>
      </c>
      <c r="K886" s="282"/>
      <c r="L886" s="282">
        <f t="shared" ref="L886:O886" si="384">SUM(L876:L884)</f>
        <v>513.50900000929437</v>
      </c>
      <c r="M886" s="282">
        <f t="shared" si="384"/>
        <v>178.22200000175312</v>
      </c>
      <c r="N886" s="282">
        <f t="shared" si="384"/>
        <v>118.49400000435477</v>
      </c>
      <c r="O886" s="282">
        <f t="shared" si="384"/>
        <v>810.22500001540209</v>
      </c>
    </row>
    <row r="887" spans="1:15" s="212" customFormat="1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3"/>
      <c r="M887" s="213"/>
      <c r="N887" s="216"/>
    </row>
    <row r="888" spans="1:15" s="212" customFormat="1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13"/>
      <c r="M888" s="213"/>
      <c r="N888" s="216"/>
      <c r="O888" s="227" t="s">
        <v>114</v>
      </c>
    </row>
    <row r="889" spans="1:15" s="212" customFormat="1" ht="12.95">
      <c r="A889" s="218"/>
      <c r="B889" s="218"/>
      <c r="C889" s="218"/>
      <c r="D889" s="218"/>
      <c r="E889" s="218"/>
      <c r="F889" s="218"/>
      <c r="G889" s="218"/>
      <c r="H889" s="218"/>
      <c r="I889" s="218"/>
      <c r="J889" s="218"/>
      <c r="K889" s="218"/>
      <c r="L889" s="218"/>
      <c r="M889" s="218"/>
      <c r="N889" s="218"/>
      <c r="O889" s="218"/>
    </row>
    <row r="890" spans="1:15" s="212" customFormat="1" ht="12.95">
      <c r="A890" s="217" t="str">
        <f>name!A55</f>
        <v>Head offices, etc</v>
      </c>
      <c r="B890" s="369">
        <f>$B$6</f>
        <v>2015</v>
      </c>
      <c r="C890" s="369"/>
      <c r="D890" s="369"/>
      <c r="E890" s="369"/>
      <c r="F890" s="239"/>
      <c r="G890" s="369">
        <f>$G$6</f>
        <v>2020</v>
      </c>
      <c r="H890" s="369"/>
      <c r="I890" s="369"/>
      <c r="J890" s="369"/>
      <c r="K890" s="239"/>
      <c r="L890" s="369">
        <f>$L$6</f>
        <v>2035</v>
      </c>
      <c r="M890" s="369"/>
      <c r="N890" s="369"/>
      <c r="O890" s="369"/>
    </row>
    <row r="891" spans="1:15" s="212" customFormat="1" ht="12.95">
      <c r="A891" s="230"/>
      <c r="B891" s="244" t="str">
        <f>$B$7</f>
        <v>FT</v>
      </c>
      <c r="C891" s="244" t="str">
        <f>$C$7</f>
        <v>PT</v>
      </c>
      <c r="D891" s="244" t="str">
        <f>$D$7</f>
        <v>SE</v>
      </c>
      <c r="E891" s="244" t="str">
        <f>$E$7</f>
        <v>Total</v>
      </c>
      <c r="F891" s="244"/>
      <c r="G891" s="244" t="str">
        <f>$G$7</f>
        <v>FT</v>
      </c>
      <c r="H891" s="244" t="str">
        <f>$H$7</f>
        <v>PT</v>
      </c>
      <c r="I891" s="244" t="str">
        <f>$I$7</f>
        <v>SE</v>
      </c>
      <c r="J891" s="244" t="str">
        <f>$J$7</f>
        <v>Total</v>
      </c>
      <c r="K891" s="244"/>
      <c r="L891" s="244" t="str">
        <f>$L$7</f>
        <v>FT</v>
      </c>
      <c r="M891" s="244" t="str">
        <f>$M$7</f>
        <v>PT</v>
      </c>
      <c r="N891" s="244" t="str">
        <f>$N$7</f>
        <v>SE</v>
      </c>
      <c r="O891" s="244" t="str">
        <f>$O$7</f>
        <v>Total</v>
      </c>
    </row>
    <row r="892" spans="1:15" s="212" customFormat="1" ht="12.95">
      <c r="A892" s="234"/>
      <c r="B892" s="215"/>
      <c r="C892" s="215"/>
      <c r="D892" s="215"/>
      <c r="E892" s="215"/>
      <c r="F892" s="215"/>
      <c r="G892" s="215"/>
      <c r="H892" s="215"/>
      <c r="I892" s="215"/>
      <c r="J892" s="215"/>
      <c r="K892" s="215"/>
      <c r="L892" s="215"/>
      <c r="M892" s="215"/>
      <c r="N892" s="215"/>
      <c r="O892" s="215"/>
    </row>
    <row r="893" spans="1:15" s="212" customFormat="1">
      <c r="A893" s="213" t="str">
        <f>name!E$4</f>
        <v>Managers, directors and senior officials</v>
      </c>
      <c r="B893" s="278">
        <v>74.208978389256103</v>
      </c>
      <c r="C893" s="278">
        <v>17.674239460002557</v>
      </c>
      <c r="D893" s="278">
        <v>11.826774627494006</v>
      </c>
      <c r="E893" s="278">
        <f>SUM(B893:D893)</f>
        <v>103.70999247675266</v>
      </c>
      <c r="F893" s="279"/>
      <c r="G893" s="278">
        <v>74.535390652643983</v>
      </c>
      <c r="H893" s="278">
        <v>24.676455326619944</v>
      </c>
      <c r="I893" s="278">
        <v>12.415975078423948</v>
      </c>
      <c r="J893" s="278">
        <f>SUM(G893:I893)</f>
        <v>111.62782105768787</v>
      </c>
      <c r="K893" s="279"/>
      <c r="L893" s="278">
        <v>66.950018482139924</v>
      </c>
      <c r="M893" s="278">
        <v>32.136969658592143</v>
      </c>
      <c r="N893" s="278">
        <v>14.145339379943382</v>
      </c>
      <c r="O893" s="278">
        <f>SUM(L893:N893)</f>
        <v>113.23232752067545</v>
      </c>
    </row>
    <row r="894" spans="1:15" s="212" customFormat="1">
      <c r="A894" s="213" t="str">
        <f>name!E$5</f>
        <v>Professional occupations</v>
      </c>
      <c r="B894" s="278">
        <v>211.45210053813975</v>
      </c>
      <c r="C894" s="278">
        <v>34.921297297085317</v>
      </c>
      <c r="D894" s="278">
        <v>40.753419240987732</v>
      </c>
      <c r="E894" s="278">
        <f t="shared" ref="E894:E901" si="385">SUM(B894:D894)</f>
        <v>287.12681707621277</v>
      </c>
      <c r="F894" s="279"/>
      <c r="G894" s="278">
        <v>246.49445083088264</v>
      </c>
      <c r="H894" s="278">
        <v>46.845295006504266</v>
      </c>
      <c r="I894" s="278">
        <v>35.982349723385155</v>
      </c>
      <c r="J894" s="278">
        <f t="shared" ref="J894:J896" si="386">SUM(G894:I894)</f>
        <v>329.32209556077203</v>
      </c>
      <c r="K894" s="279"/>
      <c r="L894" s="278">
        <v>293.89854651614633</v>
      </c>
      <c r="M894" s="278">
        <v>59.409636574053366</v>
      </c>
      <c r="N894" s="278">
        <v>35.14412454070002</v>
      </c>
      <c r="O894" s="278">
        <f t="shared" ref="O894:O901" si="387">SUM(L894:N894)</f>
        <v>388.45230763089972</v>
      </c>
    </row>
    <row r="895" spans="1:15" s="212" customFormat="1">
      <c r="A895" s="213" t="str">
        <f>name!E$6</f>
        <v>Associate professional occupations</v>
      </c>
      <c r="B895" s="278">
        <v>105.90696269305997</v>
      </c>
      <c r="C895" s="278">
        <v>26.747928354809645</v>
      </c>
      <c r="D895" s="278">
        <v>18.517386662833221</v>
      </c>
      <c r="E895" s="278">
        <f t="shared" si="385"/>
        <v>151.17227771070284</v>
      </c>
      <c r="F895" s="279"/>
      <c r="G895" s="278">
        <v>110.03935421277964</v>
      </c>
      <c r="H895" s="278">
        <v>30.80896484177244</v>
      </c>
      <c r="I895" s="278">
        <v>15.649593363545407</v>
      </c>
      <c r="J895" s="278">
        <f t="shared" si="386"/>
        <v>156.49791241809748</v>
      </c>
      <c r="K895" s="279"/>
      <c r="L895" s="278">
        <v>114.5457693992189</v>
      </c>
      <c r="M895" s="278">
        <v>34.255840269561631</v>
      </c>
      <c r="N895" s="278">
        <v>17.017152094252513</v>
      </c>
      <c r="O895" s="278">
        <f t="shared" si="387"/>
        <v>165.81876176303305</v>
      </c>
    </row>
    <row r="896" spans="1:15" s="212" customFormat="1">
      <c r="A896" s="213" t="str">
        <f>name!E$7</f>
        <v>Administrative and secretarial occupations</v>
      </c>
      <c r="B896" s="278">
        <v>71.913362145470629</v>
      </c>
      <c r="C896" s="278">
        <v>69.582303381035359</v>
      </c>
      <c r="D896" s="278">
        <v>10.131154703026395</v>
      </c>
      <c r="E896" s="278">
        <f t="shared" si="385"/>
        <v>151.6268202295324</v>
      </c>
      <c r="F896" s="279"/>
      <c r="G896" s="278">
        <v>66.200002400387106</v>
      </c>
      <c r="H896" s="278">
        <v>70.363440522156012</v>
      </c>
      <c r="I896" s="278">
        <v>8.1499942011781208</v>
      </c>
      <c r="J896" s="278">
        <f t="shared" si="386"/>
        <v>144.71343712372123</v>
      </c>
      <c r="K896" s="279"/>
      <c r="L896" s="278">
        <v>55.953011610056862</v>
      </c>
      <c r="M896" s="278">
        <v>68.108834700265163</v>
      </c>
      <c r="N896" s="278">
        <v>6.7153516842155225</v>
      </c>
      <c r="O896" s="278">
        <f t="shared" si="387"/>
        <v>130.77719799453754</v>
      </c>
    </row>
    <row r="897" spans="1:15" s="212" customFormat="1">
      <c r="A897" s="213" t="str">
        <f>name!E$8</f>
        <v>Skilled trades occupations</v>
      </c>
      <c r="B897" s="278">
        <v>14.986953660305515</v>
      </c>
      <c r="C897" s="278">
        <v>4.10608409780904</v>
      </c>
      <c r="D897" s="278">
        <v>2.1749815532578638</v>
      </c>
      <c r="E897" s="278">
        <f t="shared" si="385"/>
        <v>21.26801931137242</v>
      </c>
      <c r="F897" s="279"/>
      <c r="G897" s="278">
        <v>11.253171974966008</v>
      </c>
      <c r="H897" s="278">
        <v>2.6551043465006541</v>
      </c>
      <c r="I897" s="278">
        <v>1.7493814353811785</v>
      </c>
      <c r="J897" s="278">
        <f>SUM(G897:I897)</f>
        <v>15.65765775684784</v>
      </c>
      <c r="K897" s="279"/>
      <c r="L897" s="278">
        <v>9.5053376929648916</v>
      </c>
      <c r="M897" s="278">
        <v>3.5896420234366584</v>
      </c>
      <c r="N897" s="278">
        <v>2.2701641294750554</v>
      </c>
      <c r="O897" s="278">
        <f t="shared" si="387"/>
        <v>15.365143845876606</v>
      </c>
    </row>
    <row r="898" spans="1:15" s="212" customFormat="1">
      <c r="A898" s="213" t="str">
        <f>name!E$9</f>
        <v>Caring, leisure and other service occupations</v>
      </c>
      <c r="B898" s="278">
        <v>1.5344872754762138</v>
      </c>
      <c r="C898" s="278">
        <v>0.76406610245731166</v>
      </c>
      <c r="D898" s="278">
        <v>0.9245916726640242</v>
      </c>
      <c r="E898" s="278">
        <f t="shared" si="385"/>
        <v>3.2231450505975499</v>
      </c>
      <c r="F898" s="279"/>
      <c r="G898" s="278">
        <v>1.3303303089452974</v>
      </c>
      <c r="H898" s="278">
        <v>0.70897159163962442</v>
      </c>
      <c r="I898" s="278">
        <v>0.87031970747349485</v>
      </c>
      <c r="J898" s="278">
        <f t="shared" ref="J898:J901" si="388">SUM(G898:I898)</f>
        <v>2.9096216080584165</v>
      </c>
      <c r="K898" s="279"/>
      <c r="L898" s="278">
        <v>1.2479801410877649</v>
      </c>
      <c r="M898" s="278">
        <v>0.69847374807840112</v>
      </c>
      <c r="N898" s="278">
        <v>1.4041202629475282</v>
      </c>
      <c r="O898" s="278">
        <f t="shared" si="387"/>
        <v>3.350574152113694</v>
      </c>
    </row>
    <row r="899" spans="1:15" s="212" customFormat="1">
      <c r="A899" s="213" t="str">
        <f>name!E$10</f>
        <v>Sales and customer service occupations</v>
      </c>
      <c r="B899" s="278">
        <v>15.398217471079091</v>
      </c>
      <c r="C899" s="278">
        <v>11.322801102854289</v>
      </c>
      <c r="D899" s="278">
        <v>2.8746028277293041</v>
      </c>
      <c r="E899" s="278">
        <f t="shared" si="385"/>
        <v>29.595621401662683</v>
      </c>
      <c r="F899" s="279"/>
      <c r="G899" s="278">
        <v>13.373422714937533</v>
      </c>
      <c r="H899" s="278">
        <v>11.504645011050387</v>
      </c>
      <c r="I899" s="278">
        <v>1.7418485695467876</v>
      </c>
      <c r="J899" s="278">
        <f t="shared" si="388"/>
        <v>26.619916295534708</v>
      </c>
      <c r="K899" s="279"/>
      <c r="L899" s="278">
        <v>13.363679038589384</v>
      </c>
      <c r="M899" s="278">
        <v>13.690918927944695</v>
      </c>
      <c r="N899" s="278">
        <v>1.2322863676476086</v>
      </c>
      <c r="O899" s="278">
        <f t="shared" si="387"/>
        <v>28.286884334181686</v>
      </c>
    </row>
    <row r="900" spans="1:15" s="212" customFormat="1">
      <c r="A900" s="213" t="str">
        <f>name!E$11</f>
        <v>Process, plant and machine operatives</v>
      </c>
      <c r="B900" s="278">
        <v>5.0926591787692734</v>
      </c>
      <c r="C900" s="278">
        <v>2.8623651677789947</v>
      </c>
      <c r="D900" s="278">
        <v>0.71594676902809984</v>
      </c>
      <c r="E900" s="278">
        <f t="shared" si="385"/>
        <v>8.6709711155763678</v>
      </c>
      <c r="F900" s="279"/>
      <c r="G900" s="278">
        <v>3.6123265486638001</v>
      </c>
      <c r="H900" s="278">
        <v>2.7475106082709173</v>
      </c>
      <c r="I900" s="278">
        <v>0.68116653767891211</v>
      </c>
      <c r="J900" s="278">
        <f t="shared" si="388"/>
        <v>7.0410036946136296</v>
      </c>
      <c r="K900" s="279"/>
      <c r="L900" s="278">
        <v>2.7309945548926988</v>
      </c>
      <c r="M900" s="278">
        <v>3.514185348391047</v>
      </c>
      <c r="N900" s="278">
        <v>0.93495267773448887</v>
      </c>
      <c r="O900" s="278">
        <f t="shared" si="387"/>
        <v>7.1801325810182348</v>
      </c>
    </row>
    <row r="901" spans="1:15" s="212" customFormat="1">
      <c r="A901" s="213" t="str">
        <f>name!E$12</f>
        <v>Elementary occupations</v>
      </c>
      <c r="B901" s="278">
        <v>6.4292786375700324</v>
      </c>
      <c r="C901" s="278">
        <v>5.9579150349395862</v>
      </c>
      <c r="D901" s="278">
        <v>1.2831419435376334</v>
      </c>
      <c r="E901" s="278">
        <f t="shared" si="385"/>
        <v>13.67033561604725</v>
      </c>
      <c r="F901" s="279"/>
      <c r="G901" s="278">
        <v>5.2375503509949421</v>
      </c>
      <c r="H901" s="278">
        <v>4.7946127453396805</v>
      </c>
      <c r="I901" s="278">
        <v>0.67137138390724505</v>
      </c>
      <c r="J901" s="278">
        <f t="shared" si="388"/>
        <v>10.703534480241867</v>
      </c>
      <c r="K901" s="279"/>
      <c r="L901" s="278">
        <v>4.4536625719686436</v>
      </c>
      <c r="M901" s="278">
        <v>5.6064987515256579</v>
      </c>
      <c r="N901" s="278">
        <v>1.5735088659558532</v>
      </c>
      <c r="O901" s="278">
        <f t="shared" si="387"/>
        <v>11.633670189450156</v>
      </c>
    </row>
    <row r="902" spans="1:15" s="212" customFormat="1">
      <c r="A902" s="213"/>
      <c r="B902" s="278"/>
      <c r="C902" s="278"/>
      <c r="D902" s="278"/>
      <c r="E902" s="278"/>
      <c r="F902" s="279"/>
      <c r="G902" s="278"/>
      <c r="H902" s="278"/>
      <c r="I902" s="278"/>
      <c r="J902" s="278"/>
      <c r="K902" s="279"/>
      <c r="L902" s="278"/>
      <c r="M902" s="278"/>
      <c r="N902" s="278"/>
      <c r="O902" s="278"/>
    </row>
    <row r="903" spans="1:15" s="212" customFormat="1">
      <c r="A903" s="220" t="s">
        <v>119</v>
      </c>
      <c r="B903" s="282">
        <f>SUM(B893:B901)</f>
        <v>506.92299998912654</v>
      </c>
      <c r="C903" s="282">
        <f t="shared" ref="C903:E903" si="389">SUM(C893:C901)</f>
        <v>173.93899999877212</v>
      </c>
      <c r="D903" s="282">
        <f t="shared" si="389"/>
        <v>89.202000000558272</v>
      </c>
      <c r="E903" s="282">
        <f t="shared" si="389"/>
        <v>770.06399998845689</v>
      </c>
      <c r="F903" s="282"/>
      <c r="G903" s="282">
        <f t="shared" ref="G903:J903" si="390">SUM(G893:G901)</f>
        <v>532.07599999520096</v>
      </c>
      <c r="H903" s="282">
        <f t="shared" si="390"/>
        <v>195.10499999985393</v>
      </c>
      <c r="I903" s="282">
        <f t="shared" si="390"/>
        <v>77.912000000520237</v>
      </c>
      <c r="J903" s="282">
        <f t="shared" si="390"/>
        <v>805.09299999557493</v>
      </c>
      <c r="K903" s="282"/>
      <c r="L903" s="282">
        <f t="shared" ref="L903:O903" si="391">SUM(L893:L901)</f>
        <v>562.6490000070653</v>
      </c>
      <c r="M903" s="282">
        <f t="shared" si="391"/>
        <v>221.01100000184877</v>
      </c>
      <c r="N903" s="282">
        <f t="shared" si="391"/>
        <v>80.437000002871955</v>
      </c>
      <c r="O903" s="282">
        <f t="shared" si="391"/>
        <v>864.09700001178624</v>
      </c>
    </row>
    <row r="904" spans="1:15" s="212" customFormat="1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3"/>
      <c r="M904" s="213"/>
      <c r="N904" s="216"/>
    </row>
    <row r="905" spans="1:15" s="212" customFormat="1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13"/>
      <c r="M905" s="213"/>
      <c r="N905" s="216"/>
      <c r="O905" s="227" t="s">
        <v>114</v>
      </c>
    </row>
    <row r="906" spans="1:15" s="212" customFormat="1" ht="12.95">
      <c r="A906" s="218"/>
      <c r="B906" s="218"/>
      <c r="C906" s="218"/>
      <c r="D906" s="218"/>
      <c r="E906" s="218"/>
      <c r="F906" s="218"/>
      <c r="G906" s="218"/>
      <c r="H906" s="218"/>
      <c r="I906" s="218"/>
      <c r="J906" s="218"/>
      <c r="K906" s="218"/>
      <c r="L906" s="218"/>
      <c r="M906" s="218"/>
      <c r="N906" s="218"/>
      <c r="O906" s="218"/>
    </row>
    <row r="907" spans="1:15" s="212" customFormat="1" ht="12.95">
      <c r="A907" s="217" t="str">
        <f>name!A56</f>
        <v>Architectural and related</v>
      </c>
      <c r="B907" s="369">
        <f>$B$6</f>
        <v>2015</v>
      </c>
      <c r="C907" s="369"/>
      <c r="D907" s="369"/>
      <c r="E907" s="369"/>
      <c r="F907" s="239"/>
      <c r="G907" s="369">
        <f>$G$6</f>
        <v>2020</v>
      </c>
      <c r="H907" s="369"/>
      <c r="I907" s="369"/>
      <c r="J907" s="369"/>
      <c r="K907" s="239"/>
      <c r="L907" s="369">
        <f>$L$6</f>
        <v>2035</v>
      </c>
      <c r="M907" s="369"/>
      <c r="N907" s="369"/>
      <c r="O907" s="369"/>
    </row>
    <row r="908" spans="1:15" s="212" customFormat="1" ht="12.95">
      <c r="A908" s="230"/>
      <c r="B908" s="244" t="str">
        <f>$B$7</f>
        <v>FT</v>
      </c>
      <c r="C908" s="244" t="str">
        <f>$C$7</f>
        <v>PT</v>
      </c>
      <c r="D908" s="244" t="str">
        <f>$D$7</f>
        <v>SE</v>
      </c>
      <c r="E908" s="244" t="str">
        <f>$E$7</f>
        <v>Total</v>
      </c>
      <c r="F908" s="244"/>
      <c r="G908" s="244" t="str">
        <f>$G$7</f>
        <v>FT</v>
      </c>
      <c r="H908" s="244" t="str">
        <f>$H$7</f>
        <v>PT</v>
      </c>
      <c r="I908" s="244" t="str">
        <f>$I$7</f>
        <v>SE</v>
      </c>
      <c r="J908" s="244" t="str">
        <f>$J$7</f>
        <v>Total</v>
      </c>
      <c r="K908" s="244"/>
      <c r="L908" s="244" t="str">
        <f>$L$7</f>
        <v>FT</v>
      </c>
      <c r="M908" s="244" t="str">
        <f>$M$7</f>
        <v>PT</v>
      </c>
      <c r="N908" s="244" t="str">
        <f>$N$7</f>
        <v>SE</v>
      </c>
      <c r="O908" s="244" t="str">
        <f>$O$7</f>
        <v>Total</v>
      </c>
    </row>
    <row r="909" spans="1:15" s="212" customFormat="1" ht="12.95">
      <c r="A909" s="234"/>
      <c r="B909" s="215"/>
      <c r="C909" s="215"/>
      <c r="D909" s="215"/>
      <c r="E909" s="215"/>
      <c r="F909" s="215"/>
      <c r="G909" s="215"/>
      <c r="H909" s="215"/>
      <c r="I909" s="215"/>
      <c r="J909" s="215"/>
      <c r="K909" s="215"/>
      <c r="L909" s="215"/>
      <c r="M909" s="215"/>
      <c r="N909" s="215"/>
      <c r="O909" s="215"/>
    </row>
    <row r="910" spans="1:15" s="212" customFormat="1">
      <c r="A910" s="213" t="str">
        <f>name!E$4</f>
        <v>Managers, directors and senior officials</v>
      </c>
      <c r="B910" s="278">
        <v>55.152679901627401</v>
      </c>
      <c r="C910" s="278">
        <v>4.9640087940423561</v>
      </c>
      <c r="D910" s="278">
        <v>9.1940981399618344</v>
      </c>
      <c r="E910" s="278">
        <f>SUM(B910:D910)</f>
        <v>69.310786835631589</v>
      </c>
      <c r="F910" s="279"/>
      <c r="G910" s="278">
        <v>61.469082972713238</v>
      </c>
      <c r="H910" s="278">
        <v>8.5753724177973929</v>
      </c>
      <c r="I910" s="278">
        <v>11.876386966972554</v>
      </c>
      <c r="J910" s="278">
        <f>SUM(G910:I910)</f>
        <v>81.920842357483195</v>
      </c>
      <c r="K910" s="279"/>
      <c r="L910" s="278">
        <v>52.166739787312757</v>
      </c>
      <c r="M910" s="278">
        <v>10.333593119086196</v>
      </c>
      <c r="N910" s="278">
        <v>13.954548330668077</v>
      </c>
      <c r="O910" s="278">
        <f>SUM(L910:N910)</f>
        <v>76.454881237067028</v>
      </c>
    </row>
    <row r="911" spans="1:15" s="212" customFormat="1">
      <c r="A911" s="213" t="str">
        <f>name!E$5</f>
        <v>Professional occupations</v>
      </c>
      <c r="B911" s="278">
        <v>154.79862830645627</v>
      </c>
      <c r="C911" s="278">
        <v>9.3237737733110997</v>
      </c>
      <c r="D911" s="278">
        <v>33.901812682694818</v>
      </c>
      <c r="E911" s="278">
        <f t="shared" ref="E911:E918" si="392">SUM(B911:D911)</f>
        <v>198.02421476246218</v>
      </c>
      <c r="F911" s="279"/>
      <c r="G911" s="278">
        <v>199.30769523947217</v>
      </c>
      <c r="H911" s="278">
        <v>15.750394404331727</v>
      </c>
      <c r="I911" s="278">
        <v>38.425114052453068</v>
      </c>
      <c r="J911" s="278">
        <f t="shared" ref="J911:J913" si="393">SUM(G911:I911)</f>
        <v>253.48320369625696</v>
      </c>
      <c r="K911" s="279"/>
      <c r="L911" s="278">
        <v>227.21004399173731</v>
      </c>
      <c r="M911" s="278">
        <v>19.569999235881845</v>
      </c>
      <c r="N911" s="278">
        <v>33.421481844202397</v>
      </c>
      <c r="O911" s="278">
        <f t="shared" ref="O911:O918" si="394">SUM(L911:N911)</f>
        <v>280.20152507182155</v>
      </c>
    </row>
    <row r="912" spans="1:15" s="212" customFormat="1">
      <c r="A912" s="213" t="str">
        <f>name!E$6</f>
        <v>Associate professional occupations</v>
      </c>
      <c r="B912" s="278">
        <v>74.837414101040707</v>
      </c>
      <c r="C912" s="278">
        <v>7.5667501378766451</v>
      </c>
      <c r="D912" s="278">
        <v>12.595262040831978</v>
      </c>
      <c r="E912" s="278">
        <f t="shared" si="392"/>
        <v>94.999426279749329</v>
      </c>
      <c r="F912" s="279"/>
      <c r="G912" s="278">
        <v>86.629634773856836</v>
      </c>
      <c r="H912" s="278">
        <v>10.872636708873674</v>
      </c>
      <c r="I912" s="278">
        <v>14.060315928523615</v>
      </c>
      <c r="J912" s="278">
        <f t="shared" si="393"/>
        <v>111.56258741125413</v>
      </c>
      <c r="K912" s="279"/>
      <c r="L912" s="278">
        <v>84.194713089546823</v>
      </c>
      <c r="M912" s="278">
        <v>11.005328193059784</v>
      </c>
      <c r="N912" s="278">
        <v>14.909800837746298</v>
      </c>
      <c r="O912" s="278">
        <f t="shared" si="394"/>
        <v>110.10984212035291</v>
      </c>
    </row>
    <row r="913" spans="1:15" s="212" customFormat="1">
      <c r="A913" s="213" t="str">
        <f>name!E$7</f>
        <v>Administrative and secretarial occupations</v>
      </c>
      <c r="B913" s="278">
        <v>49.403010743527162</v>
      </c>
      <c r="C913" s="278">
        <v>22.055426410525456</v>
      </c>
      <c r="D913" s="278">
        <v>5.4562642456373522</v>
      </c>
      <c r="E913" s="278">
        <f t="shared" si="392"/>
        <v>76.914701399689974</v>
      </c>
      <c r="F913" s="279"/>
      <c r="G913" s="278">
        <v>48.019547233868657</v>
      </c>
      <c r="H913" s="278">
        <v>23.369546763513853</v>
      </c>
      <c r="I913" s="278">
        <v>5.1048759556961389</v>
      </c>
      <c r="J913" s="278">
        <f t="shared" si="393"/>
        <v>76.493969953078647</v>
      </c>
      <c r="K913" s="279"/>
      <c r="L913" s="278">
        <v>44.580347711331015</v>
      </c>
      <c r="M913" s="278">
        <v>21.385845843680162</v>
      </c>
      <c r="N913" s="278">
        <v>5.009358170227415</v>
      </c>
      <c r="O913" s="278">
        <f t="shared" si="394"/>
        <v>70.975551725238589</v>
      </c>
    </row>
    <row r="914" spans="1:15" s="212" customFormat="1">
      <c r="A914" s="213" t="str">
        <f>name!E$8</f>
        <v>Skilled trades occupations</v>
      </c>
      <c r="B914" s="278">
        <v>14.007293123834941</v>
      </c>
      <c r="C914" s="278">
        <v>1.4445359982456381</v>
      </c>
      <c r="D914" s="278">
        <v>2.2948115770563091</v>
      </c>
      <c r="E914" s="278">
        <f t="shared" si="392"/>
        <v>17.746640699136886</v>
      </c>
      <c r="F914" s="279"/>
      <c r="G914" s="278">
        <v>11.111369367343414</v>
      </c>
      <c r="H914" s="278">
        <v>1.1794348943297164</v>
      </c>
      <c r="I914" s="278">
        <v>2.0235561911314748</v>
      </c>
      <c r="J914" s="278">
        <f>SUM(G914:I914)</f>
        <v>14.314360452804605</v>
      </c>
      <c r="K914" s="279"/>
      <c r="L914" s="278">
        <v>8.1762244980031102</v>
      </c>
      <c r="M914" s="278">
        <v>1.5214069545639761</v>
      </c>
      <c r="N914" s="278">
        <v>2.5146601770489014</v>
      </c>
      <c r="O914" s="278">
        <f t="shared" si="394"/>
        <v>12.212291629615988</v>
      </c>
    </row>
    <row r="915" spans="1:15" s="212" customFormat="1">
      <c r="A915" s="213" t="str">
        <f>name!E$9</f>
        <v>Caring, leisure and other service occupations</v>
      </c>
      <c r="B915" s="278">
        <v>1.0912706663797158</v>
      </c>
      <c r="C915" s="278">
        <v>0.23737389238705209</v>
      </c>
      <c r="D915" s="278">
        <v>0.7803005292681473</v>
      </c>
      <c r="E915" s="278">
        <f t="shared" si="392"/>
        <v>2.1089450880349152</v>
      </c>
      <c r="F915" s="279"/>
      <c r="G915" s="278">
        <v>1.0374084811042279</v>
      </c>
      <c r="H915" s="278">
        <v>0.26603006764280934</v>
      </c>
      <c r="I915" s="278">
        <v>0.88089809419357901</v>
      </c>
      <c r="J915" s="278">
        <f t="shared" ref="J915:J918" si="395">SUM(G915:I915)</f>
        <v>2.1843366429406164</v>
      </c>
      <c r="K915" s="279"/>
      <c r="L915" s="278">
        <v>0.93766918677394151</v>
      </c>
      <c r="M915" s="278">
        <v>0.27580618750293256</v>
      </c>
      <c r="N915" s="278">
        <v>1.4603426629109273</v>
      </c>
      <c r="O915" s="278">
        <f t="shared" si="394"/>
        <v>2.6738180371878011</v>
      </c>
    </row>
    <row r="916" spans="1:15" s="212" customFormat="1">
      <c r="A916" s="213" t="str">
        <f>name!E$10</f>
        <v>Sales and customer service occupations</v>
      </c>
      <c r="B916" s="278">
        <v>10.670652985893605</v>
      </c>
      <c r="C916" s="278">
        <v>3.9960787341737425</v>
      </c>
      <c r="D916" s="278">
        <v>1.8161296810883754</v>
      </c>
      <c r="E916" s="278">
        <f t="shared" si="392"/>
        <v>16.482861401155724</v>
      </c>
      <c r="F916" s="279"/>
      <c r="G916" s="278">
        <v>9.773655636271922</v>
      </c>
      <c r="H916" s="278">
        <v>4.2574514977676694</v>
      </c>
      <c r="I916" s="278">
        <v>1.4379683339882281</v>
      </c>
      <c r="J916" s="278">
        <f t="shared" si="395"/>
        <v>15.469075468027819</v>
      </c>
      <c r="K916" s="279"/>
      <c r="L916" s="278">
        <v>9.8362625014523584</v>
      </c>
      <c r="M916" s="278">
        <v>5.1084050081608607</v>
      </c>
      <c r="N916" s="278">
        <v>1.1839182606836991</v>
      </c>
      <c r="O916" s="278">
        <f t="shared" si="394"/>
        <v>16.128585770296919</v>
      </c>
    </row>
    <row r="917" spans="1:15" s="212" customFormat="1">
      <c r="A917" s="213" t="str">
        <f>name!E$11</f>
        <v>Process, plant and machine operatives</v>
      </c>
      <c r="B917" s="278">
        <v>5.554361159093796</v>
      </c>
      <c r="C917" s="278">
        <v>0.99515357370174229</v>
      </c>
      <c r="D917" s="278">
        <v>0.61569252719648493</v>
      </c>
      <c r="E917" s="278">
        <f t="shared" si="392"/>
        <v>7.1652072599920231</v>
      </c>
      <c r="F917" s="279"/>
      <c r="G917" s="278">
        <v>4.0416667637275303</v>
      </c>
      <c r="H917" s="278">
        <v>1.2425403848838159</v>
      </c>
      <c r="I917" s="278">
        <v>0.70916671324560732</v>
      </c>
      <c r="J917" s="278">
        <f t="shared" si="395"/>
        <v>5.993373861856953</v>
      </c>
      <c r="K917" s="279"/>
      <c r="L917" s="278">
        <v>2.8604332222593873</v>
      </c>
      <c r="M917" s="278">
        <v>1.5075636736217639</v>
      </c>
      <c r="N917" s="278">
        <v>0.87562387057045687</v>
      </c>
      <c r="O917" s="278">
        <f t="shared" si="394"/>
        <v>5.2436207664516079</v>
      </c>
    </row>
    <row r="918" spans="1:15" s="212" customFormat="1">
      <c r="A918" s="213" t="str">
        <f>name!E$12</f>
        <v>Elementary occupations</v>
      </c>
      <c r="B918" s="278">
        <v>5.4456890049405056</v>
      </c>
      <c r="C918" s="278">
        <v>1.8898986854478999</v>
      </c>
      <c r="D918" s="278">
        <v>0.58762857700493465</v>
      </c>
      <c r="E918" s="278">
        <f t="shared" si="392"/>
        <v>7.9232162673933404</v>
      </c>
      <c r="F918" s="279"/>
      <c r="G918" s="278">
        <v>4.4389395267410698</v>
      </c>
      <c r="H918" s="278">
        <v>1.7855928607895162</v>
      </c>
      <c r="I918" s="278">
        <v>0.43371776490791569</v>
      </c>
      <c r="J918" s="278">
        <f t="shared" si="395"/>
        <v>6.6582501524385016</v>
      </c>
      <c r="K918" s="279"/>
      <c r="L918" s="278">
        <v>3.7205660139175039</v>
      </c>
      <c r="M918" s="278">
        <v>2.061051784882038</v>
      </c>
      <c r="N918" s="278">
        <v>0.77326584922391972</v>
      </c>
      <c r="O918" s="278">
        <f t="shared" si="394"/>
        <v>6.5548836480234618</v>
      </c>
    </row>
    <row r="919" spans="1:15" s="212" customFormat="1">
      <c r="A919" s="213"/>
      <c r="B919" s="278"/>
      <c r="C919" s="278"/>
      <c r="D919" s="278"/>
      <c r="E919" s="278"/>
      <c r="F919" s="279"/>
      <c r="G919" s="278"/>
      <c r="H919" s="278"/>
      <c r="I919" s="278"/>
      <c r="J919" s="278"/>
      <c r="K919" s="279"/>
      <c r="L919" s="278"/>
      <c r="M919" s="278"/>
      <c r="N919" s="278"/>
      <c r="O919" s="278"/>
    </row>
    <row r="920" spans="1:15" s="212" customFormat="1">
      <c r="A920" s="220" t="s">
        <v>119</v>
      </c>
      <c r="B920" s="282">
        <f>SUM(B910:B918)</f>
        <v>370.96099999279409</v>
      </c>
      <c r="C920" s="282">
        <f t="shared" ref="C920:E920" si="396">SUM(C910:C918)</f>
        <v>52.472999999711632</v>
      </c>
      <c r="D920" s="282">
        <f t="shared" si="396"/>
        <v>67.242000000740219</v>
      </c>
      <c r="E920" s="282">
        <f t="shared" si="396"/>
        <v>490.67599999324602</v>
      </c>
      <c r="F920" s="282"/>
      <c r="G920" s="282">
        <f t="shared" ref="G920:J920" si="397">SUM(G910:G918)</f>
        <v>425.82899999509902</v>
      </c>
      <c r="H920" s="282">
        <f t="shared" si="397"/>
        <v>67.298999999930174</v>
      </c>
      <c r="I920" s="282">
        <f t="shared" si="397"/>
        <v>74.952000001112182</v>
      </c>
      <c r="J920" s="282">
        <f t="shared" si="397"/>
        <v>568.0799999961414</v>
      </c>
      <c r="K920" s="282"/>
      <c r="L920" s="282">
        <f t="shared" ref="L920:O920" si="398">SUM(L910:L918)</f>
        <v>433.68300000233421</v>
      </c>
      <c r="M920" s="282">
        <f t="shared" si="398"/>
        <v>72.769000000439547</v>
      </c>
      <c r="N920" s="282">
        <f t="shared" si="398"/>
        <v>74.103000003282077</v>
      </c>
      <c r="O920" s="282">
        <f t="shared" si="398"/>
        <v>580.55500000605582</v>
      </c>
    </row>
    <row r="921" spans="1:15" s="212" customFormat="1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3"/>
      <c r="M921" s="213"/>
      <c r="N921" s="216"/>
    </row>
    <row r="922" spans="1:15" s="212" customFormat="1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13"/>
      <c r="M922" s="213"/>
      <c r="N922" s="216"/>
      <c r="O922" s="227" t="s">
        <v>114</v>
      </c>
    </row>
    <row r="923" spans="1:15" s="212" customFormat="1" ht="12.95">
      <c r="A923" s="218"/>
      <c r="B923" s="218"/>
      <c r="C923" s="218"/>
      <c r="D923" s="218"/>
      <c r="E923" s="218"/>
      <c r="F923" s="218"/>
      <c r="G923" s="218"/>
      <c r="H923" s="218"/>
      <c r="I923" s="218"/>
      <c r="J923" s="218"/>
      <c r="K923" s="218"/>
      <c r="L923" s="218"/>
      <c r="M923" s="218"/>
      <c r="N923" s="218"/>
      <c r="O923" s="218"/>
    </row>
    <row r="924" spans="1:15" s="212" customFormat="1" ht="12.95">
      <c r="A924" s="217" t="str">
        <f>name!A57</f>
        <v>Scientific research and development</v>
      </c>
      <c r="B924" s="369">
        <f>$B$6</f>
        <v>2015</v>
      </c>
      <c r="C924" s="369"/>
      <c r="D924" s="369"/>
      <c r="E924" s="369"/>
      <c r="F924" s="239"/>
      <c r="G924" s="369">
        <f>$G$6</f>
        <v>2020</v>
      </c>
      <c r="H924" s="369"/>
      <c r="I924" s="369"/>
      <c r="J924" s="369"/>
      <c r="K924" s="239"/>
      <c r="L924" s="369">
        <f>$L$6</f>
        <v>2035</v>
      </c>
      <c r="M924" s="369"/>
      <c r="N924" s="369"/>
      <c r="O924" s="369"/>
    </row>
    <row r="925" spans="1:15" s="212" customFormat="1" ht="12.95">
      <c r="A925" s="230"/>
      <c r="B925" s="244" t="str">
        <f>$B$7</f>
        <v>FT</v>
      </c>
      <c r="C925" s="244" t="str">
        <f>$C$7</f>
        <v>PT</v>
      </c>
      <c r="D925" s="244" t="str">
        <f>$D$7</f>
        <v>SE</v>
      </c>
      <c r="E925" s="244" t="str">
        <f>$E$7</f>
        <v>Total</v>
      </c>
      <c r="F925" s="244"/>
      <c r="G925" s="244" t="str">
        <f>$G$7</f>
        <v>FT</v>
      </c>
      <c r="H925" s="244" t="str">
        <f>$H$7</f>
        <v>PT</v>
      </c>
      <c r="I925" s="244" t="str">
        <f>$I$7</f>
        <v>SE</v>
      </c>
      <c r="J925" s="244" t="str">
        <f>$J$7</f>
        <v>Total</v>
      </c>
      <c r="K925" s="244"/>
      <c r="L925" s="244" t="str">
        <f>$L$7</f>
        <v>FT</v>
      </c>
      <c r="M925" s="244" t="str">
        <f>$M$7</f>
        <v>PT</v>
      </c>
      <c r="N925" s="244" t="str">
        <f>$N$7</f>
        <v>SE</v>
      </c>
      <c r="O925" s="244" t="str">
        <f>$O$7</f>
        <v>Total</v>
      </c>
    </row>
    <row r="926" spans="1:15" s="212" customFormat="1" ht="12.95">
      <c r="A926" s="234"/>
      <c r="B926" s="215"/>
      <c r="C926" s="215"/>
      <c r="D926" s="215"/>
      <c r="E926" s="215"/>
      <c r="F926" s="215"/>
      <c r="G926" s="215"/>
      <c r="H926" s="215"/>
      <c r="I926" s="215"/>
      <c r="J926" s="215"/>
      <c r="K926" s="215"/>
      <c r="L926" s="215"/>
      <c r="M926" s="215"/>
      <c r="N926" s="215"/>
      <c r="O926" s="215"/>
    </row>
    <row r="927" spans="1:15" s="212" customFormat="1">
      <c r="A927" s="213" t="str">
        <f>name!E$4</f>
        <v>Managers, directors and senior officials</v>
      </c>
      <c r="B927" s="278">
        <v>9.7837690326742059</v>
      </c>
      <c r="C927" s="278">
        <v>0.70371129414433298</v>
      </c>
      <c r="D927" s="278">
        <v>6.0321220627989911</v>
      </c>
      <c r="E927" s="278">
        <f>SUM(B927:D927)</f>
        <v>16.519602389617528</v>
      </c>
      <c r="F927" s="279"/>
      <c r="G927" s="278">
        <v>10.86997542149156</v>
      </c>
      <c r="H927" s="278">
        <v>0.85823231746177098</v>
      </c>
      <c r="I927" s="278">
        <v>6.0248868502478707</v>
      </c>
      <c r="J927" s="278">
        <f>SUM(G927:I927)</f>
        <v>17.753094589201204</v>
      </c>
      <c r="K927" s="279"/>
      <c r="L927" s="278">
        <v>10.061776678161227</v>
      </c>
      <c r="M927" s="278">
        <v>1.2117261957433045</v>
      </c>
      <c r="N927" s="278">
        <v>9.1709482754621749</v>
      </c>
      <c r="O927" s="278">
        <f>SUM(L927:N927)</f>
        <v>20.444451149366706</v>
      </c>
    </row>
    <row r="928" spans="1:15" s="212" customFormat="1">
      <c r="A928" s="213" t="str">
        <f>name!E$5</f>
        <v>Professional occupations</v>
      </c>
      <c r="B928" s="278">
        <v>47.786665032818618</v>
      </c>
      <c r="C928" s="278">
        <v>3.8036067071156472</v>
      </c>
      <c r="D928" s="278">
        <v>24.882726003543873</v>
      </c>
      <c r="E928" s="278">
        <f t="shared" ref="E928:E935" si="399">SUM(B928:D928)</f>
        <v>76.472997743478146</v>
      </c>
      <c r="F928" s="279"/>
      <c r="G928" s="278">
        <v>57.81229803847873</v>
      </c>
      <c r="H928" s="278">
        <v>4.2073072815169059</v>
      </c>
      <c r="I928" s="278">
        <v>22.584791135579689</v>
      </c>
      <c r="J928" s="278">
        <f t="shared" ref="J928:J930" si="400">SUM(G928:I928)</f>
        <v>84.604396455575326</v>
      </c>
      <c r="K928" s="279"/>
      <c r="L928" s="278">
        <v>78.171131607859664</v>
      </c>
      <c r="M928" s="278">
        <v>6.1737911322193018</v>
      </c>
      <c r="N928" s="278">
        <v>27.774921064253313</v>
      </c>
      <c r="O928" s="278">
        <f t="shared" ref="O928:O935" si="401">SUM(L928:N928)</f>
        <v>112.11984380433228</v>
      </c>
    </row>
    <row r="929" spans="1:15" s="212" customFormat="1">
      <c r="A929" s="213" t="str">
        <f>name!E$6</f>
        <v>Associate professional occupations</v>
      </c>
      <c r="B929" s="278">
        <v>13.208888352821148</v>
      </c>
      <c r="C929" s="278">
        <v>1.7167523719151943</v>
      </c>
      <c r="D929" s="278">
        <v>5.0530725208009022</v>
      </c>
      <c r="E929" s="278">
        <f t="shared" si="399"/>
        <v>19.978713245537246</v>
      </c>
      <c r="F929" s="279"/>
      <c r="G929" s="278">
        <v>15.424527694678739</v>
      </c>
      <c r="H929" s="278">
        <v>1.808176016736752</v>
      </c>
      <c r="I929" s="278">
        <v>4.3750437318718527</v>
      </c>
      <c r="J929" s="278">
        <f t="shared" si="400"/>
        <v>21.607747443287341</v>
      </c>
      <c r="K929" s="279"/>
      <c r="L929" s="278">
        <v>16.949000633835343</v>
      </c>
      <c r="M929" s="278">
        <v>2.0354362358115976</v>
      </c>
      <c r="N929" s="278">
        <v>6.0184773415617316</v>
      </c>
      <c r="O929" s="278">
        <f t="shared" si="401"/>
        <v>25.002914211208672</v>
      </c>
    </row>
    <row r="930" spans="1:15" s="212" customFormat="1">
      <c r="A930" s="213" t="str">
        <f>name!E$7</f>
        <v>Administrative and secretarial occupations</v>
      </c>
      <c r="B930" s="278">
        <v>5.1454911387983628</v>
      </c>
      <c r="C930" s="278">
        <v>2.2205496687323927</v>
      </c>
      <c r="D930" s="278">
        <v>3.4206656380849219</v>
      </c>
      <c r="E930" s="278">
        <f t="shared" si="399"/>
        <v>10.786706445615676</v>
      </c>
      <c r="F930" s="279"/>
      <c r="G930" s="278">
        <v>4.7343448737017555</v>
      </c>
      <c r="H930" s="278">
        <v>2.1277153701281999</v>
      </c>
      <c r="I930" s="278">
        <v>2.7792799788582769</v>
      </c>
      <c r="J930" s="278">
        <f t="shared" si="400"/>
        <v>9.6413402226882319</v>
      </c>
      <c r="K930" s="279"/>
      <c r="L930" s="278">
        <v>4.5367742024097444</v>
      </c>
      <c r="M930" s="278">
        <v>2.0528741029184019</v>
      </c>
      <c r="N930" s="278">
        <v>3.1743201554703289</v>
      </c>
      <c r="O930" s="278">
        <f t="shared" si="401"/>
        <v>9.7639684607984751</v>
      </c>
    </row>
    <row r="931" spans="1:15" s="212" customFormat="1">
      <c r="A931" s="213" t="str">
        <f>name!E$8</f>
        <v>Skilled trades occupations</v>
      </c>
      <c r="B931" s="278">
        <v>3.1886838777492428</v>
      </c>
      <c r="C931" s="278">
        <v>0.57790724570827545</v>
      </c>
      <c r="D931" s="278">
        <v>2.2374938841395071</v>
      </c>
      <c r="E931" s="278">
        <f t="shared" si="399"/>
        <v>6.0040850075970251</v>
      </c>
      <c r="F931" s="279"/>
      <c r="G931" s="278">
        <v>2.3462275212481551</v>
      </c>
      <c r="H931" s="278">
        <v>0.28899099687671292</v>
      </c>
      <c r="I931" s="278">
        <v>1.6433626684091254</v>
      </c>
      <c r="J931" s="278">
        <f>SUM(G931:I931)</f>
        <v>4.2785811865339936</v>
      </c>
      <c r="K931" s="279"/>
      <c r="L931" s="278">
        <v>1.8377325173801968</v>
      </c>
      <c r="M931" s="278">
        <v>0.39413730578189204</v>
      </c>
      <c r="N931" s="278">
        <v>2.7237787837543883</v>
      </c>
      <c r="O931" s="278">
        <f t="shared" si="401"/>
        <v>4.9556486069164771</v>
      </c>
    </row>
    <row r="932" spans="1:15" s="212" customFormat="1">
      <c r="A932" s="213" t="str">
        <f>name!E$9</f>
        <v>Caring, leisure and other service occupations</v>
      </c>
      <c r="B932" s="278">
        <v>1.9380817425656507</v>
      </c>
      <c r="C932" s="278">
        <v>0.35665268725699117</v>
      </c>
      <c r="D932" s="278">
        <v>1.7830675316803464</v>
      </c>
      <c r="E932" s="278">
        <f t="shared" si="399"/>
        <v>4.0778019615029883</v>
      </c>
      <c r="F932" s="279"/>
      <c r="G932" s="278">
        <v>1.8682240263467442</v>
      </c>
      <c r="H932" s="278">
        <v>0.29485524273735936</v>
      </c>
      <c r="I932" s="278">
        <v>1.6125105504246913</v>
      </c>
      <c r="J932" s="278">
        <f t="shared" ref="J932:J935" si="402">SUM(G932:I932)</f>
        <v>3.7755898195087951</v>
      </c>
      <c r="K932" s="279"/>
      <c r="L932" s="278">
        <v>2.0555324267976407</v>
      </c>
      <c r="M932" s="278">
        <v>0.40768654417524802</v>
      </c>
      <c r="N932" s="278">
        <v>3.0128978942267688</v>
      </c>
      <c r="O932" s="278">
        <f t="shared" si="401"/>
        <v>5.476116865199657</v>
      </c>
    </row>
    <row r="933" spans="1:15" s="212" customFormat="1">
      <c r="A933" s="213" t="str">
        <f>name!E$10</f>
        <v>Sales and customer service occupations</v>
      </c>
      <c r="B933" s="278">
        <v>1.220392480759815</v>
      </c>
      <c r="C933" s="278">
        <v>1.0481731343054377</v>
      </c>
      <c r="D933" s="278">
        <v>1.7575445093383431</v>
      </c>
      <c r="E933" s="278">
        <f t="shared" si="399"/>
        <v>4.0261101244035959</v>
      </c>
      <c r="F933" s="279"/>
      <c r="G933" s="278">
        <v>1.1209387468273091</v>
      </c>
      <c r="H933" s="278">
        <v>0.89779331869324064</v>
      </c>
      <c r="I933" s="278">
        <v>1.2114038243551977</v>
      </c>
      <c r="J933" s="278">
        <f t="shared" si="402"/>
        <v>3.2301358898757475</v>
      </c>
      <c r="K933" s="279"/>
      <c r="L933" s="278">
        <v>1.3611102563039621</v>
      </c>
      <c r="M933" s="278">
        <v>1.1227403737627242</v>
      </c>
      <c r="N933" s="278">
        <v>1.5596067657975077</v>
      </c>
      <c r="O933" s="278">
        <f t="shared" si="401"/>
        <v>4.0434573958641939</v>
      </c>
    </row>
    <row r="934" spans="1:15" s="212" customFormat="1">
      <c r="A934" s="213" t="str">
        <f>name!E$11</f>
        <v>Process, plant and machine operatives</v>
      </c>
      <c r="B934" s="278">
        <v>1.1278328807473208</v>
      </c>
      <c r="C934" s="278">
        <v>0.65878659978562559</v>
      </c>
      <c r="D934" s="278">
        <v>1.0027180731769394</v>
      </c>
      <c r="E934" s="278">
        <f t="shared" si="399"/>
        <v>2.7893375537098857</v>
      </c>
      <c r="F934" s="279"/>
      <c r="G934" s="278">
        <v>0.77766430078065085</v>
      </c>
      <c r="H934" s="278">
        <v>0.51747542864898355</v>
      </c>
      <c r="I934" s="278">
        <v>0.88194033026884022</v>
      </c>
      <c r="J934" s="278">
        <f t="shared" si="402"/>
        <v>2.1770800596984747</v>
      </c>
      <c r="K934" s="279"/>
      <c r="L934" s="278">
        <v>0.62451865687742503</v>
      </c>
      <c r="M934" s="278">
        <v>0.6730210678852202</v>
      </c>
      <c r="N934" s="278">
        <v>1.3625596924057872</v>
      </c>
      <c r="O934" s="278">
        <f t="shared" si="401"/>
        <v>2.6600994171684325</v>
      </c>
    </row>
    <row r="935" spans="1:15" s="212" customFormat="1">
      <c r="A935" s="213" t="str">
        <f>name!E$12</f>
        <v>Elementary occupations</v>
      </c>
      <c r="B935" s="278">
        <v>0.88719546029320462</v>
      </c>
      <c r="C935" s="278">
        <v>0.26986029081641039</v>
      </c>
      <c r="D935" s="278">
        <v>2.8435897765959979</v>
      </c>
      <c r="E935" s="278">
        <f t="shared" si="399"/>
        <v>4.000645527705613</v>
      </c>
      <c r="F935" s="279"/>
      <c r="G935" s="278">
        <v>0.64979937650855479</v>
      </c>
      <c r="H935" s="278">
        <v>0.1664540271874313</v>
      </c>
      <c r="I935" s="278">
        <v>2.0607809301644329</v>
      </c>
      <c r="J935" s="278">
        <f t="shared" si="402"/>
        <v>2.877034333860419</v>
      </c>
      <c r="K935" s="279"/>
      <c r="L935" s="278">
        <v>0.59742301901684403</v>
      </c>
      <c r="M935" s="278">
        <v>0.30658704139230553</v>
      </c>
      <c r="N935" s="278">
        <v>3.1734900285164858</v>
      </c>
      <c r="O935" s="278">
        <f t="shared" si="401"/>
        <v>4.0775000889256354</v>
      </c>
    </row>
    <row r="936" spans="1:15" s="212" customFormat="1">
      <c r="A936" s="213"/>
      <c r="B936" s="278"/>
      <c r="C936" s="278"/>
      <c r="D936" s="278"/>
      <c r="E936" s="278"/>
      <c r="F936" s="279"/>
      <c r="G936" s="278"/>
      <c r="H936" s="278"/>
      <c r="I936" s="278"/>
      <c r="J936" s="278"/>
      <c r="K936" s="279"/>
      <c r="L936" s="278"/>
      <c r="M936" s="278"/>
      <c r="N936" s="278"/>
      <c r="O936" s="278"/>
    </row>
    <row r="937" spans="1:15" s="212" customFormat="1">
      <c r="A937" s="220" t="s">
        <v>119</v>
      </c>
      <c r="B937" s="282">
        <f>SUM(B927:B935)</f>
        <v>84.286999999227561</v>
      </c>
      <c r="C937" s="282">
        <f t="shared" ref="C937:E937" si="403">SUM(C927:C935)</f>
        <v>11.355999999780307</v>
      </c>
      <c r="D937" s="282">
        <f t="shared" si="403"/>
        <v>49.013000000159813</v>
      </c>
      <c r="E937" s="282">
        <f t="shared" si="403"/>
        <v>144.6559999991677</v>
      </c>
      <c r="F937" s="282"/>
      <c r="G937" s="282">
        <f t="shared" ref="G937:J937" si="404">SUM(G927:G935)</f>
        <v>95.6040000000622</v>
      </c>
      <c r="H937" s="282">
        <f t="shared" si="404"/>
        <v>11.166999999987356</v>
      </c>
      <c r="I937" s="282">
        <f t="shared" si="404"/>
        <v>43.17400000017998</v>
      </c>
      <c r="J937" s="282">
        <f t="shared" si="404"/>
        <v>149.94500000022956</v>
      </c>
      <c r="K937" s="282"/>
      <c r="L937" s="282">
        <f t="shared" ref="L937:O937" si="405">SUM(L927:L935)</f>
        <v>116.19499999864205</v>
      </c>
      <c r="M937" s="282">
        <f t="shared" si="405"/>
        <v>14.377999999689997</v>
      </c>
      <c r="N937" s="282">
        <f t="shared" si="405"/>
        <v>57.971000001448481</v>
      </c>
      <c r="O937" s="282">
        <f t="shared" si="405"/>
        <v>188.54399999978048</v>
      </c>
    </row>
    <row r="938" spans="1:15" s="212" customFormat="1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3"/>
      <c r="M938" s="213"/>
      <c r="N938" s="216"/>
    </row>
    <row r="939" spans="1:15" s="212" customFormat="1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13"/>
      <c r="M939" s="213"/>
      <c r="N939" s="216"/>
      <c r="O939" s="227" t="s">
        <v>114</v>
      </c>
    </row>
    <row r="940" spans="1:15" s="212" customFormat="1" ht="12.95">
      <c r="A940" s="218"/>
      <c r="B940" s="218"/>
      <c r="C940" s="218"/>
      <c r="D940" s="218"/>
      <c r="E940" s="218"/>
      <c r="F940" s="218"/>
      <c r="G940" s="218"/>
      <c r="H940" s="218"/>
      <c r="I940" s="218"/>
      <c r="J940" s="218"/>
      <c r="K940" s="218"/>
      <c r="L940" s="218"/>
      <c r="M940" s="218"/>
      <c r="N940" s="218"/>
      <c r="O940" s="218"/>
    </row>
    <row r="941" spans="1:15" s="212" customFormat="1" ht="12.95">
      <c r="A941" s="217" t="str">
        <f>name!A58</f>
        <v>Advertising, etc</v>
      </c>
      <c r="B941" s="369">
        <f>$B$6</f>
        <v>2015</v>
      </c>
      <c r="C941" s="369"/>
      <c r="D941" s="369"/>
      <c r="E941" s="369"/>
      <c r="F941" s="239"/>
      <c r="G941" s="369">
        <f>$G$6</f>
        <v>2020</v>
      </c>
      <c r="H941" s="369"/>
      <c r="I941" s="369"/>
      <c r="J941" s="369"/>
      <c r="K941" s="239"/>
      <c r="L941" s="369">
        <f>$L$6</f>
        <v>2035</v>
      </c>
      <c r="M941" s="369"/>
      <c r="N941" s="369"/>
      <c r="O941" s="369"/>
    </row>
    <row r="942" spans="1:15" s="212" customFormat="1" ht="12.95">
      <c r="A942" s="230"/>
      <c r="B942" s="244" t="str">
        <f>$B$7</f>
        <v>FT</v>
      </c>
      <c r="C942" s="244" t="str">
        <f>$C$7</f>
        <v>PT</v>
      </c>
      <c r="D942" s="244" t="str">
        <f>$D$7</f>
        <v>SE</v>
      </c>
      <c r="E942" s="244" t="str">
        <f>$E$7</f>
        <v>Total</v>
      </c>
      <c r="F942" s="244"/>
      <c r="G942" s="244" t="str">
        <f>$G$7</f>
        <v>FT</v>
      </c>
      <c r="H942" s="244" t="str">
        <f>$H$7</f>
        <v>PT</v>
      </c>
      <c r="I942" s="244" t="str">
        <f>$I$7</f>
        <v>SE</v>
      </c>
      <c r="J942" s="244" t="str">
        <f>$J$7</f>
        <v>Total</v>
      </c>
      <c r="K942" s="244"/>
      <c r="L942" s="244" t="str">
        <f>$L$7</f>
        <v>FT</v>
      </c>
      <c r="M942" s="244" t="str">
        <f>$M$7</f>
        <v>PT</v>
      </c>
      <c r="N942" s="244" t="str">
        <f>$N$7</f>
        <v>SE</v>
      </c>
      <c r="O942" s="244" t="str">
        <f>$O$7</f>
        <v>Total</v>
      </c>
    </row>
    <row r="943" spans="1:15" s="212" customFormat="1" ht="12.95">
      <c r="A943" s="234"/>
      <c r="B943" s="215"/>
      <c r="C943" s="215"/>
      <c r="D943" s="215"/>
      <c r="E943" s="215"/>
      <c r="F943" s="215"/>
      <c r="G943" s="215"/>
      <c r="H943" s="215"/>
      <c r="I943" s="215"/>
      <c r="J943" s="215"/>
      <c r="K943" s="215"/>
      <c r="L943" s="215"/>
      <c r="M943" s="215"/>
      <c r="N943" s="215"/>
      <c r="O943" s="215"/>
    </row>
    <row r="944" spans="1:15" s="212" customFormat="1">
      <c r="A944" s="213" t="str">
        <f>name!E$4</f>
        <v>Managers, directors and senior officials</v>
      </c>
      <c r="B944" s="278">
        <v>20.302570889117263</v>
      </c>
      <c r="C944" s="278">
        <v>4.4367950302135402</v>
      </c>
      <c r="D944" s="278">
        <v>7.9531275105242383</v>
      </c>
      <c r="E944" s="278">
        <f>SUM(B944:D944)</f>
        <v>32.692493429855041</v>
      </c>
      <c r="F944" s="279"/>
      <c r="G944" s="278">
        <v>18.392280664355816</v>
      </c>
      <c r="H944" s="278">
        <v>4.4988051405222977</v>
      </c>
      <c r="I944" s="278">
        <v>7.1545281717003668</v>
      </c>
      <c r="J944" s="278">
        <f>SUM(G944:I944)</f>
        <v>30.04561397657848</v>
      </c>
      <c r="K944" s="279"/>
      <c r="L944" s="278">
        <v>19.413622524653256</v>
      </c>
      <c r="M944" s="278">
        <v>6.7498387422365997</v>
      </c>
      <c r="N944" s="278">
        <v>10.140636590336346</v>
      </c>
      <c r="O944" s="278">
        <f>SUM(L944:N944)</f>
        <v>36.304097857226196</v>
      </c>
    </row>
    <row r="945" spans="1:15" s="212" customFormat="1">
      <c r="A945" s="213" t="str">
        <f>name!E$5</f>
        <v>Professional occupations</v>
      </c>
      <c r="B945" s="278">
        <v>60.193225969085979</v>
      </c>
      <c r="C945" s="278">
        <v>8.848600692478481</v>
      </c>
      <c r="D945" s="278">
        <v>28.009681740459449</v>
      </c>
      <c r="E945" s="278">
        <f t="shared" ref="E945:E952" si="406">SUM(B945:D945)</f>
        <v>97.051508402023899</v>
      </c>
      <c r="F945" s="279"/>
      <c r="G945" s="278">
        <v>65.085948651524504</v>
      </c>
      <c r="H945" s="278">
        <v>8.4891169864421769</v>
      </c>
      <c r="I945" s="278">
        <v>21.053011486475562</v>
      </c>
      <c r="J945" s="278">
        <f t="shared" ref="J945:J947" si="407">SUM(G945:I945)</f>
        <v>94.628077124442228</v>
      </c>
      <c r="K945" s="279"/>
      <c r="L945" s="278">
        <v>88.738275056973706</v>
      </c>
      <c r="M945" s="278">
        <v>11.723161053301865</v>
      </c>
      <c r="N945" s="278">
        <v>26.801954964237336</v>
      </c>
      <c r="O945" s="278">
        <f t="shared" ref="O945:O952" si="408">SUM(L945:N945)</f>
        <v>127.26339107451291</v>
      </c>
    </row>
    <row r="946" spans="1:15" s="212" customFormat="1">
      <c r="A946" s="213" t="str">
        <f>name!E$6</f>
        <v>Associate professional occupations</v>
      </c>
      <c r="B946" s="278">
        <v>31.850743399550257</v>
      </c>
      <c r="C946" s="278">
        <v>6.7997370392499423</v>
      </c>
      <c r="D946" s="278">
        <v>12.972135936008257</v>
      </c>
      <c r="E946" s="278">
        <f t="shared" si="406"/>
        <v>51.622616374808459</v>
      </c>
      <c r="F946" s="279"/>
      <c r="G946" s="278">
        <v>30.112330955324317</v>
      </c>
      <c r="H946" s="278">
        <v>5.3463317924358966</v>
      </c>
      <c r="I946" s="278">
        <v>9.845771638696359</v>
      </c>
      <c r="J946" s="278">
        <f t="shared" si="407"/>
        <v>45.304434386456577</v>
      </c>
      <c r="K946" s="279"/>
      <c r="L946" s="278">
        <v>37.054687994905535</v>
      </c>
      <c r="M946" s="278">
        <v>6.9509545347598092</v>
      </c>
      <c r="N946" s="278">
        <v>13.953200117787187</v>
      </c>
      <c r="O946" s="278">
        <f t="shared" si="408"/>
        <v>57.958842647452528</v>
      </c>
    </row>
    <row r="947" spans="1:15" s="212" customFormat="1">
      <c r="A947" s="213" t="str">
        <f>name!E$7</f>
        <v>Administrative and secretarial occupations</v>
      </c>
      <c r="B947" s="278">
        <v>25.314694714155646</v>
      </c>
      <c r="C947" s="278">
        <v>18.600803651362817</v>
      </c>
      <c r="D947" s="278">
        <v>7.119335049137689</v>
      </c>
      <c r="E947" s="278">
        <f t="shared" si="406"/>
        <v>51.034833414656148</v>
      </c>
      <c r="F947" s="279"/>
      <c r="G947" s="278">
        <v>19.13304965381586</v>
      </c>
      <c r="H947" s="278">
        <v>12.070457698200823</v>
      </c>
      <c r="I947" s="278">
        <v>5.0492661056410313</v>
      </c>
      <c r="J947" s="278">
        <f t="shared" si="407"/>
        <v>36.25277345765771</v>
      </c>
      <c r="K947" s="279"/>
      <c r="L947" s="278">
        <v>16.850923025724978</v>
      </c>
      <c r="M947" s="278">
        <v>12.658686140381839</v>
      </c>
      <c r="N947" s="278">
        <v>5.7126421003459527</v>
      </c>
      <c r="O947" s="278">
        <f t="shared" si="408"/>
        <v>35.222251266452773</v>
      </c>
    </row>
    <row r="948" spans="1:15" s="212" customFormat="1">
      <c r="A948" s="213" t="str">
        <f>name!E$8</f>
        <v>Skilled trades occupations</v>
      </c>
      <c r="B948" s="278">
        <v>3.2691485067779191</v>
      </c>
      <c r="C948" s="278">
        <v>0.90911133951474132</v>
      </c>
      <c r="D948" s="278">
        <v>1.4517161155524705</v>
      </c>
      <c r="E948" s="278">
        <f t="shared" si="406"/>
        <v>5.6299759618451315</v>
      </c>
      <c r="F948" s="279"/>
      <c r="G948" s="278">
        <v>2.0870283809643344</v>
      </c>
      <c r="H948" s="278">
        <v>0.34623564322150568</v>
      </c>
      <c r="I948" s="278">
        <v>0.88358314557511541</v>
      </c>
      <c r="J948" s="278">
        <f>SUM(G948:I948)</f>
        <v>3.3168471697609556</v>
      </c>
      <c r="K948" s="279"/>
      <c r="L948" s="278">
        <v>2.461570596174842</v>
      </c>
      <c r="M948" s="278">
        <v>0.59664478774350171</v>
      </c>
      <c r="N948" s="278">
        <v>1.4982692578427215</v>
      </c>
      <c r="O948" s="278">
        <f t="shared" si="408"/>
        <v>4.5564846417610649</v>
      </c>
    </row>
    <row r="949" spans="1:15" s="212" customFormat="1">
      <c r="A949" s="213" t="str">
        <f>name!E$9</f>
        <v>Caring, leisure and other service occupations</v>
      </c>
      <c r="B949" s="278">
        <v>0.49388823598888787</v>
      </c>
      <c r="C949" s="278">
        <v>0.18873305177193123</v>
      </c>
      <c r="D949" s="278">
        <v>0.61408051789743401</v>
      </c>
      <c r="E949" s="278">
        <f t="shared" si="406"/>
        <v>1.2967018056582531</v>
      </c>
      <c r="F949" s="279"/>
      <c r="G949" s="278">
        <v>0.36245989927711719</v>
      </c>
      <c r="H949" s="278">
        <v>0.11644382886693327</v>
      </c>
      <c r="I949" s="278">
        <v>0.46536712389762253</v>
      </c>
      <c r="J949" s="278">
        <f t="shared" ref="J949:J952" si="409">SUM(G949:I949)</f>
        <v>0.94427085204167294</v>
      </c>
      <c r="K949" s="279"/>
      <c r="L949" s="278">
        <v>0.39379921568095205</v>
      </c>
      <c r="M949" s="278">
        <v>0.12407025631350974</v>
      </c>
      <c r="N949" s="278">
        <v>0.93452517176256933</v>
      </c>
      <c r="O949" s="278">
        <f t="shared" si="408"/>
        <v>1.4523946437570312</v>
      </c>
    </row>
    <row r="950" spans="1:15" s="212" customFormat="1">
      <c r="A950" s="213" t="str">
        <f>name!E$10</f>
        <v>Sales and customer service occupations</v>
      </c>
      <c r="B950" s="278">
        <v>5.1720164546564451</v>
      </c>
      <c r="C950" s="278">
        <v>2.9285131876111321</v>
      </c>
      <c r="D950" s="278">
        <v>1.9805406698932631</v>
      </c>
      <c r="E950" s="278">
        <f t="shared" si="406"/>
        <v>10.08107031216084</v>
      </c>
      <c r="F950" s="279"/>
      <c r="G950" s="278">
        <v>3.8326511274217445</v>
      </c>
      <c r="H950" s="278">
        <v>1.8298475496861983</v>
      </c>
      <c r="I950" s="278">
        <v>1.0078846406429336</v>
      </c>
      <c r="J950" s="278">
        <f t="shared" si="409"/>
        <v>6.6703833177508756</v>
      </c>
      <c r="K950" s="279"/>
      <c r="L950" s="278">
        <v>4.2044927744109977</v>
      </c>
      <c r="M950" s="278">
        <v>2.3430943475879107</v>
      </c>
      <c r="N950" s="278">
        <v>0.90072095425287035</v>
      </c>
      <c r="O950" s="278">
        <f t="shared" si="408"/>
        <v>7.448308076251779</v>
      </c>
    </row>
    <row r="951" spans="1:15" s="212" customFormat="1">
      <c r="A951" s="213" t="str">
        <f>name!E$11</f>
        <v>Process, plant and machine operatives</v>
      </c>
      <c r="B951" s="278">
        <v>1.0697686859261</v>
      </c>
      <c r="C951" s="278">
        <v>0.71675653271642525</v>
      </c>
      <c r="D951" s="278">
        <v>0.50043207035151138</v>
      </c>
      <c r="E951" s="278">
        <f t="shared" si="406"/>
        <v>2.2869572889940364</v>
      </c>
      <c r="F951" s="279"/>
      <c r="G951" s="278">
        <v>0.5560017535411983</v>
      </c>
      <c r="H951" s="278">
        <v>0.36538057336004498</v>
      </c>
      <c r="I951" s="278">
        <v>0.40495119857223927</v>
      </c>
      <c r="J951" s="278">
        <f t="shared" si="409"/>
        <v>1.3263335254734825</v>
      </c>
      <c r="K951" s="279"/>
      <c r="L951" s="278">
        <v>0.54501521878312431</v>
      </c>
      <c r="M951" s="278">
        <v>0.63194183230921697</v>
      </c>
      <c r="N951" s="278">
        <v>0.86759152122397654</v>
      </c>
      <c r="O951" s="278">
        <f t="shared" si="408"/>
        <v>2.0445485723163177</v>
      </c>
    </row>
    <row r="952" spans="1:15" s="212" customFormat="1">
      <c r="A952" s="213" t="str">
        <f>name!E$12</f>
        <v>Elementary occupations</v>
      </c>
      <c r="B952" s="278">
        <v>1.8759431414601733</v>
      </c>
      <c r="C952" s="278">
        <v>1.5159494747925222</v>
      </c>
      <c r="D952" s="278">
        <v>0.99395039047499112</v>
      </c>
      <c r="E952" s="278">
        <f t="shared" si="406"/>
        <v>4.3858430067276863</v>
      </c>
      <c r="F952" s="279"/>
      <c r="G952" s="278">
        <v>1.1982489132054353</v>
      </c>
      <c r="H952" s="278">
        <v>0.82238078723600738</v>
      </c>
      <c r="I952" s="278">
        <v>0.52563648920014217</v>
      </c>
      <c r="J952" s="278">
        <f t="shared" si="409"/>
        <v>2.5462661896415848</v>
      </c>
      <c r="K952" s="279"/>
      <c r="L952" s="278">
        <v>1.151613596442592</v>
      </c>
      <c r="M952" s="278">
        <v>1.1616083057428801</v>
      </c>
      <c r="N952" s="278">
        <v>1.8344593241450173</v>
      </c>
      <c r="O952" s="278">
        <f t="shared" si="408"/>
        <v>4.147681226330489</v>
      </c>
    </row>
    <row r="953" spans="1:15" s="212" customFormat="1">
      <c r="A953" s="213"/>
      <c r="B953" s="278"/>
      <c r="C953" s="278"/>
      <c r="D953" s="278"/>
      <c r="E953" s="278"/>
      <c r="F953" s="279"/>
      <c r="G953" s="278"/>
      <c r="H953" s="278"/>
      <c r="I953" s="278"/>
      <c r="J953" s="278"/>
      <c r="K953" s="279"/>
      <c r="L953" s="278"/>
      <c r="M953" s="278"/>
      <c r="N953" s="278"/>
      <c r="O953" s="278"/>
    </row>
    <row r="954" spans="1:15" s="212" customFormat="1">
      <c r="A954" s="220" t="s">
        <v>119</v>
      </c>
      <c r="B954" s="282">
        <f>SUM(B944:B952)</f>
        <v>149.54199999671869</v>
      </c>
      <c r="C954" s="282">
        <f t="shared" ref="C954:E954" si="410">SUM(C944:C952)</f>
        <v>44.944999999711534</v>
      </c>
      <c r="D954" s="282">
        <f t="shared" si="410"/>
        <v>61.595000000299315</v>
      </c>
      <c r="E954" s="282">
        <f t="shared" si="410"/>
        <v>256.08199999672951</v>
      </c>
      <c r="F954" s="282"/>
      <c r="G954" s="282">
        <f t="shared" ref="G954:J954" si="411">SUM(G944:G952)</f>
        <v>140.75999999943039</v>
      </c>
      <c r="H954" s="282">
        <f t="shared" si="411"/>
        <v>33.884999999971882</v>
      </c>
      <c r="I954" s="282">
        <f t="shared" si="411"/>
        <v>46.390000000401372</v>
      </c>
      <c r="J954" s="282">
        <f t="shared" si="411"/>
        <v>221.03499999980355</v>
      </c>
      <c r="K954" s="282"/>
      <c r="L954" s="282">
        <f t="shared" ref="L954:O954" si="412">SUM(L944:L952)</f>
        <v>170.81400000375001</v>
      </c>
      <c r="M954" s="282">
        <f t="shared" si="412"/>
        <v>42.940000000377125</v>
      </c>
      <c r="N954" s="282">
        <f t="shared" si="412"/>
        <v>62.644000001933975</v>
      </c>
      <c r="O954" s="282">
        <f t="shared" si="412"/>
        <v>276.39800000606107</v>
      </c>
    </row>
    <row r="955" spans="1:15" s="212" customFormat="1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3"/>
      <c r="M955" s="213"/>
      <c r="N955" s="216"/>
    </row>
    <row r="956" spans="1:15" s="212" customFormat="1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13"/>
      <c r="M956" s="213"/>
      <c r="N956" s="216"/>
      <c r="O956" s="227" t="s">
        <v>114</v>
      </c>
    </row>
    <row r="957" spans="1:15" s="212" customFormat="1" ht="12.95">
      <c r="A957" s="218"/>
      <c r="B957" s="218"/>
      <c r="C957" s="218"/>
      <c r="D957" s="218"/>
      <c r="E957" s="218"/>
      <c r="F957" s="218"/>
      <c r="G957" s="218"/>
      <c r="H957" s="218"/>
      <c r="I957" s="218"/>
      <c r="J957" s="218"/>
      <c r="K957" s="218"/>
      <c r="L957" s="218"/>
      <c r="M957" s="218"/>
      <c r="N957" s="218"/>
      <c r="O957" s="218"/>
    </row>
    <row r="958" spans="1:15" s="212" customFormat="1" ht="12.95">
      <c r="A958" s="217" t="str">
        <f>name!A59</f>
        <v>Other professional</v>
      </c>
      <c r="B958" s="369">
        <f>$B$6</f>
        <v>2015</v>
      </c>
      <c r="C958" s="369"/>
      <c r="D958" s="369"/>
      <c r="E958" s="369"/>
      <c r="F958" s="239"/>
      <c r="G958" s="369">
        <f>$G$6</f>
        <v>2020</v>
      </c>
      <c r="H958" s="369"/>
      <c r="I958" s="369"/>
      <c r="J958" s="369"/>
      <c r="K958" s="239"/>
      <c r="L958" s="369">
        <f>$L$6</f>
        <v>2035</v>
      </c>
      <c r="M958" s="369"/>
      <c r="N958" s="369"/>
      <c r="O958" s="369"/>
    </row>
    <row r="959" spans="1:15" s="212" customFormat="1" ht="12.95">
      <c r="A959" s="230"/>
      <c r="B959" s="244" t="str">
        <f>$B$7</f>
        <v>FT</v>
      </c>
      <c r="C959" s="244" t="str">
        <f>$C$7</f>
        <v>PT</v>
      </c>
      <c r="D959" s="244" t="str">
        <f>$D$7</f>
        <v>SE</v>
      </c>
      <c r="E959" s="244" t="str">
        <f>$E$7</f>
        <v>Total</v>
      </c>
      <c r="F959" s="244"/>
      <c r="G959" s="244" t="str">
        <f>$G$7</f>
        <v>FT</v>
      </c>
      <c r="H959" s="244" t="str">
        <f>$H$7</f>
        <v>PT</v>
      </c>
      <c r="I959" s="244" t="str">
        <f>$I$7</f>
        <v>SE</v>
      </c>
      <c r="J959" s="244" t="str">
        <f>$J$7</f>
        <v>Total</v>
      </c>
      <c r="K959" s="244"/>
      <c r="L959" s="244" t="str">
        <f>$L$7</f>
        <v>FT</v>
      </c>
      <c r="M959" s="244" t="str">
        <f>$M$7</f>
        <v>PT</v>
      </c>
      <c r="N959" s="244" t="str">
        <f>$N$7</f>
        <v>SE</v>
      </c>
      <c r="O959" s="244" t="str">
        <f>$O$7</f>
        <v>Total</v>
      </c>
    </row>
    <row r="960" spans="1:15" s="212" customFormat="1" ht="12.95">
      <c r="A960" s="234"/>
      <c r="B960" s="215"/>
      <c r="C960" s="215"/>
      <c r="D960" s="215"/>
      <c r="E960" s="215"/>
      <c r="F960" s="215"/>
      <c r="G960" s="215"/>
      <c r="H960" s="215"/>
      <c r="I960" s="215"/>
      <c r="J960" s="215"/>
      <c r="K960" s="215"/>
      <c r="L960" s="215"/>
      <c r="M960" s="215"/>
      <c r="N960" s="215"/>
      <c r="O960" s="215"/>
    </row>
    <row r="961" spans="1:15" s="212" customFormat="1">
      <c r="A961" s="213" t="str">
        <f>name!E$4</f>
        <v>Managers, directors and senior officials</v>
      </c>
      <c r="B961" s="278">
        <v>15.080121255027622</v>
      </c>
      <c r="C961" s="278">
        <v>1.8896773508961362</v>
      </c>
      <c r="D961" s="278">
        <v>7.9991965361426471</v>
      </c>
      <c r="E961" s="278">
        <f>SUM(B961:D961)</f>
        <v>24.968995142066408</v>
      </c>
      <c r="F961" s="279"/>
      <c r="G961" s="278">
        <v>17.270263825778379</v>
      </c>
      <c r="H961" s="278">
        <v>3.2868685024771067</v>
      </c>
      <c r="I961" s="278">
        <v>9.0896430160539055</v>
      </c>
      <c r="J961" s="278">
        <f>SUM(G961:I961)</f>
        <v>29.64677534430939</v>
      </c>
      <c r="K961" s="279"/>
      <c r="L961" s="278">
        <v>18.487193512645884</v>
      </c>
      <c r="M961" s="278">
        <v>4.9363004240472179</v>
      </c>
      <c r="N961" s="278">
        <v>13.355142541794191</v>
      </c>
      <c r="O961" s="278">
        <f>SUM(L961:N961)</f>
        <v>36.778636478487293</v>
      </c>
    </row>
    <row r="962" spans="1:15" s="212" customFormat="1">
      <c r="A962" s="213" t="str">
        <f>name!E$5</f>
        <v>Professional occupations</v>
      </c>
      <c r="B962" s="278">
        <v>35.104710118815809</v>
      </c>
      <c r="C962" s="278">
        <v>3.242441411643894</v>
      </c>
      <c r="D962" s="278">
        <v>21.727947913701943</v>
      </c>
      <c r="E962" s="278">
        <f t="shared" ref="E962:E969" si="413">SUM(B962:D962)</f>
        <v>60.075099444161651</v>
      </c>
      <c r="F962" s="279"/>
      <c r="G962" s="278">
        <v>47.646303156137066</v>
      </c>
      <c r="H962" s="278">
        <v>5.738493702305199</v>
      </c>
      <c r="I962" s="278">
        <v>21.809426086248052</v>
      </c>
      <c r="J962" s="278">
        <f t="shared" ref="J962:J964" si="414">SUM(G962:I962)</f>
        <v>75.194222944690324</v>
      </c>
      <c r="K962" s="279"/>
      <c r="L962" s="278">
        <v>68.748750197286711</v>
      </c>
      <c r="M962" s="278">
        <v>8.4064995373129658</v>
      </c>
      <c r="N962" s="278">
        <v>27.049122885469455</v>
      </c>
      <c r="O962" s="278">
        <f t="shared" ref="O962:O969" si="415">SUM(L962:N962)</f>
        <v>104.20437262006914</v>
      </c>
    </row>
    <row r="963" spans="1:15" s="212" customFormat="1">
      <c r="A963" s="213" t="str">
        <f>name!E$6</f>
        <v>Associate professional occupations</v>
      </c>
      <c r="B963" s="278">
        <v>21.861668636600747</v>
      </c>
      <c r="C963" s="278">
        <v>3.073377201075318</v>
      </c>
      <c r="D963" s="278">
        <v>12.693842890578743</v>
      </c>
      <c r="E963" s="278">
        <f t="shared" si="413"/>
        <v>37.628888728254807</v>
      </c>
      <c r="F963" s="279"/>
      <c r="G963" s="278">
        <v>26.033552002332829</v>
      </c>
      <c r="H963" s="278">
        <v>4.5208421181497194</v>
      </c>
      <c r="I963" s="278">
        <v>13.219002584881538</v>
      </c>
      <c r="J963" s="278">
        <f t="shared" si="414"/>
        <v>43.773396705364085</v>
      </c>
      <c r="K963" s="279"/>
      <c r="L963" s="278">
        <v>31.201711485057626</v>
      </c>
      <c r="M963" s="278">
        <v>6.2454331823593998</v>
      </c>
      <c r="N963" s="278">
        <v>17.510323838332859</v>
      </c>
      <c r="O963" s="278">
        <f t="shared" si="415"/>
        <v>54.957468505749887</v>
      </c>
    </row>
    <row r="964" spans="1:15" s="212" customFormat="1">
      <c r="A964" s="213" t="str">
        <f>name!E$7</f>
        <v>Administrative and secretarial occupations</v>
      </c>
      <c r="B964" s="278">
        <v>16.322780957533965</v>
      </c>
      <c r="C964" s="278">
        <v>7.4614865492912461</v>
      </c>
      <c r="D964" s="278">
        <v>4.461750390761928</v>
      </c>
      <c r="E964" s="278">
        <f t="shared" si="413"/>
        <v>28.246017897587137</v>
      </c>
      <c r="F964" s="279"/>
      <c r="G964" s="278">
        <v>17.742023840609111</v>
      </c>
      <c r="H964" s="278">
        <v>9.9397495831297515</v>
      </c>
      <c r="I964" s="278">
        <v>4.8736654239915733</v>
      </c>
      <c r="J964" s="278">
        <f t="shared" si="414"/>
        <v>32.555438847730436</v>
      </c>
      <c r="K964" s="279"/>
      <c r="L964" s="278">
        <v>17.953331559707898</v>
      </c>
      <c r="M964" s="278">
        <v>12.182810461695897</v>
      </c>
      <c r="N964" s="278">
        <v>6.2899879095174098</v>
      </c>
      <c r="O964" s="278">
        <f t="shared" si="415"/>
        <v>36.426129930921206</v>
      </c>
    </row>
    <row r="965" spans="1:15" s="212" customFormat="1">
      <c r="A965" s="213" t="str">
        <f>name!E$8</f>
        <v>Skilled trades occupations</v>
      </c>
      <c r="B965" s="278">
        <v>3.4162125824517537</v>
      </c>
      <c r="C965" s="278">
        <v>0.55319147383430256</v>
      </c>
      <c r="D965" s="278">
        <v>2.9683616042168972</v>
      </c>
      <c r="E965" s="278">
        <f t="shared" si="413"/>
        <v>6.9377656605029534</v>
      </c>
      <c r="F965" s="279"/>
      <c r="G965" s="278">
        <v>2.810105902601582</v>
      </c>
      <c r="H965" s="278">
        <v>0.42017233070284221</v>
      </c>
      <c r="I965" s="278">
        <v>2.3442979870205658</v>
      </c>
      <c r="J965" s="278">
        <f>SUM(G965:I965)</f>
        <v>5.5745762203249898</v>
      </c>
      <c r="K965" s="279"/>
      <c r="L965" s="278">
        <v>2.8339509880472078</v>
      </c>
      <c r="M965" s="278">
        <v>0.75928916135558799</v>
      </c>
      <c r="N965" s="278">
        <v>3.3300951790804145</v>
      </c>
      <c r="O965" s="278">
        <f t="shared" si="415"/>
        <v>6.9233353284832102</v>
      </c>
    </row>
    <row r="966" spans="1:15" s="212" customFormat="1">
      <c r="A966" s="213" t="str">
        <f>name!E$9</f>
        <v>Caring, leisure and other service occupations</v>
      </c>
      <c r="B966" s="278">
        <v>2.5053880259786885</v>
      </c>
      <c r="C966" s="278">
        <v>1.6812436911402511</v>
      </c>
      <c r="D966" s="278">
        <v>2.2983975074838998</v>
      </c>
      <c r="E966" s="278">
        <f t="shared" si="413"/>
        <v>6.4850292246028394</v>
      </c>
      <c r="F966" s="279"/>
      <c r="G966" s="278">
        <v>2.624322711417244</v>
      </c>
      <c r="H966" s="278">
        <v>2.1450255802510569</v>
      </c>
      <c r="I966" s="278">
        <v>2.5941469188065911</v>
      </c>
      <c r="J966" s="278">
        <f t="shared" ref="J966:J969" si="416">SUM(G966:I966)</f>
        <v>7.3634952104748921</v>
      </c>
      <c r="K966" s="279"/>
      <c r="L966" s="278">
        <v>3.076299619140777</v>
      </c>
      <c r="M966" s="278">
        <v>2.2208768911573937</v>
      </c>
      <c r="N966" s="278">
        <v>3.7227375950605595</v>
      </c>
      <c r="O966" s="278">
        <f t="shared" si="415"/>
        <v>9.0199141053587297</v>
      </c>
    </row>
    <row r="967" spans="1:15" s="212" customFormat="1">
      <c r="A967" s="213" t="str">
        <f>name!E$10</f>
        <v>Sales and customer service occupations</v>
      </c>
      <c r="B967" s="278">
        <v>5.3687755353310473</v>
      </c>
      <c r="C967" s="278">
        <v>1.898031006515891</v>
      </c>
      <c r="D967" s="278">
        <v>1.8915783806396811</v>
      </c>
      <c r="E967" s="278">
        <f t="shared" si="413"/>
        <v>9.1583849224866185</v>
      </c>
      <c r="F967" s="279"/>
      <c r="G967" s="278">
        <v>5.3762366734400047</v>
      </c>
      <c r="H967" s="278">
        <v>2.5041599939326895</v>
      </c>
      <c r="I967" s="278">
        <v>1.4506935830560315</v>
      </c>
      <c r="J967" s="278">
        <f t="shared" si="416"/>
        <v>9.3310902504287263</v>
      </c>
      <c r="K967" s="279"/>
      <c r="L967" s="278">
        <v>6.1576911983421274</v>
      </c>
      <c r="M967" s="278">
        <v>3.4365881112072851</v>
      </c>
      <c r="N967" s="278">
        <v>1.5370833372181874</v>
      </c>
      <c r="O967" s="278">
        <f t="shared" si="415"/>
        <v>11.131362646767599</v>
      </c>
    </row>
    <row r="968" spans="1:15" s="212" customFormat="1">
      <c r="A968" s="213" t="str">
        <f>name!E$11</f>
        <v>Process, plant and machine operatives</v>
      </c>
      <c r="B968" s="278">
        <v>2.3909009764108911</v>
      </c>
      <c r="C968" s="278">
        <v>0.69810155370065718</v>
      </c>
      <c r="D968" s="278">
        <v>0.62967427789609864</v>
      </c>
      <c r="E968" s="278">
        <f t="shared" si="413"/>
        <v>3.7186768080076469</v>
      </c>
      <c r="F968" s="279"/>
      <c r="G968" s="278">
        <v>1.7816040467306944</v>
      </c>
      <c r="H968" s="278">
        <v>0.71045006420865819</v>
      </c>
      <c r="I968" s="278">
        <v>0.67925888870339124</v>
      </c>
      <c r="J968" s="278">
        <f t="shared" si="416"/>
        <v>3.1713129996427436</v>
      </c>
      <c r="K968" s="279"/>
      <c r="L968" s="278">
        <v>1.6204522733551634</v>
      </c>
      <c r="M968" s="278">
        <v>1.1071390433053621</v>
      </c>
      <c r="N968" s="278">
        <v>1.1401439332175638</v>
      </c>
      <c r="O968" s="278">
        <f t="shared" si="415"/>
        <v>3.8677352498780895</v>
      </c>
    </row>
    <row r="969" spans="1:15" s="212" customFormat="1">
      <c r="A969" s="213" t="str">
        <f>name!E$12</f>
        <v>Elementary occupations</v>
      </c>
      <c r="B969" s="278">
        <v>11.851441910120929</v>
      </c>
      <c r="C969" s="278">
        <v>8.9764497620648864</v>
      </c>
      <c r="D969" s="278">
        <v>9.5012504993081439</v>
      </c>
      <c r="E969" s="278">
        <f t="shared" si="413"/>
        <v>30.329142171493956</v>
      </c>
      <c r="F969" s="279"/>
      <c r="G969" s="278">
        <v>9.9215878401580095</v>
      </c>
      <c r="H969" s="278">
        <v>9.0922381249306632</v>
      </c>
      <c r="I969" s="278">
        <v>7.913865511452399</v>
      </c>
      <c r="J969" s="278">
        <f t="shared" si="416"/>
        <v>26.927691476541071</v>
      </c>
      <c r="K969" s="279"/>
      <c r="L969" s="278">
        <v>8.8056191682388363</v>
      </c>
      <c r="M969" s="278">
        <v>8.6760631880779169</v>
      </c>
      <c r="N969" s="278">
        <v>11.214362782588593</v>
      </c>
      <c r="O969" s="278">
        <f t="shared" si="415"/>
        <v>28.696045138905347</v>
      </c>
    </row>
    <row r="970" spans="1:15" s="212" customFormat="1">
      <c r="A970" s="213"/>
      <c r="B970" s="278"/>
      <c r="C970" s="278"/>
      <c r="D970" s="278"/>
      <c r="E970" s="278"/>
      <c r="F970" s="279"/>
      <c r="G970" s="278"/>
      <c r="H970" s="278"/>
      <c r="I970" s="278"/>
      <c r="J970" s="278"/>
      <c r="K970" s="279"/>
      <c r="L970" s="278"/>
      <c r="M970" s="278"/>
      <c r="N970" s="278"/>
      <c r="O970" s="278"/>
    </row>
    <row r="971" spans="1:15" s="212" customFormat="1">
      <c r="A971" s="220" t="s">
        <v>119</v>
      </c>
      <c r="B971" s="282">
        <f>SUM(B961:B969)</f>
        <v>113.90199999827145</v>
      </c>
      <c r="C971" s="282">
        <f t="shared" ref="C971:E971" si="417">SUM(C961:C969)</f>
        <v>29.474000000162583</v>
      </c>
      <c r="D971" s="282">
        <f t="shared" si="417"/>
        <v>64.17200000072998</v>
      </c>
      <c r="E971" s="282">
        <f t="shared" si="417"/>
        <v>207.54799999916401</v>
      </c>
      <c r="F971" s="282"/>
      <c r="G971" s="282">
        <f t="shared" ref="G971:J971" si="418">SUM(G961:G969)</f>
        <v>131.20599999920492</v>
      </c>
      <c r="H971" s="282">
        <f t="shared" si="418"/>
        <v>38.358000000087685</v>
      </c>
      <c r="I971" s="282">
        <f t="shared" si="418"/>
        <v>63.974000000214055</v>
      </c>
      <c r="J971" s="282">
        <f t="shared" si="418"/>
        <v>233.53799999950667</v>
      </c>
      <c r="K971" s="282"/>
      <c r="L971" s="282">
        <f t="shared" ref="L971:O971" si="419">SUM(L961:L969)</f>
        <v>158.88500000182225</v>
      </c>
      <c r="M971" s="282">
        <f t="shared" si="419"/>
        <v>47.971000000519027</v>
      </c>
      <c r="N971" s="282">
        <f t="shared" si="419"/>
        <v>85.149000002279237</v>
      </c>
      <c r="O971" s="282">
        <f t="shared" si="419"/>
        <v>292.00500000462051</v>
      </c>
    </row>
    <row r="972" spans="1:15" s="212" customFormat="1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3"/>
      <c r="M972" s="213"/>
      <c r="N972" s="216"/>
    </row>
    <row r="973" spans="1:15" s="212" customFormat="1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13"/>
      <c r="M973" s="213"/>
      <c r="N973" s="216"/>
      <c r="O973" s="227" t="s">
        <v>114</v>
      </c>
    </row>
    <row r="974" spans="1:15" s="212" customFormat="1" ht="12.95">
      <c r="A974" s="218"/>
      <c r="B974" s="218"/>
      <c r="C974" s="218"/>
      <c r="D974" s="218"/>
      <c r="E974" s="218"/>
      <c r="F974" s="218"/>
      <c r="G974" s="218"/>
      <c r="H974" s="218"/>
      <c r="I974" s="218"/>
      <c r="J974" s="218"/>
      <c r="K974" s="218"/>
      <c r="L974" s="218"/>
      <c r="M974" s="218"/>
      <c r="N974" s="218"/>
      <c r="O974" s="218"/>
    </row>
    <row r="975" spans="1:15" s="212" customFormat="1" ht="12.95">
      <c r="A975" s="217" t="str">
        <f>name!A60</f>
        <v>Veterinary</v>
      </c>
      <c r="B975" s="369">
        <f>$B$6</f>
        <v>2015</v>
      </c>
      <c r="C975" s="369"/>
      <c r="D975" s="369"/>
      <c r="E975" s="369"/>
      <c r="F975" s="239"/>
      <c r="G975" s="369">
        <f>$G$6</f>
        <v>2020</v>
      </c>
      <c r="H975" s="369"/>
      <c r="I975" s="369"/>
      <c r="J975" s="369"/>
      <c r="K975" s="239"/>
      <c r="L975" s="369">
        <f>$L$6</f>
        <v>2035</v>
      </c>
      <c r="M975" s="369"/>
      <c r="N975" s="369"/>
      <c r="O975" s="369"/>
    </row>
    <row r="976" spans="1:15" s="212" customFormat="1" ht="12.95">
      <c r="A976" s="230"/>
      <c r="B976" s="244" t="str">
        <f>$B$7</f>
        <v>FT</v>
      </c>
      <c r="C976" s="244" t="str">
        <f>$C$7</f>
        <v>PT</v>
      </c>
      <c r="D976" s="244" t="str">
        <f>$D$7</f>
        <v>SE</v>
      </c>
      <c r="E976" s="244" t="str">
        <f>$E$7</f>
        <v>Total</v>
      </c>
      <c r="F976" s="244"/>
      <c r="G976" s="244" t="str">
        <f>$G$7</f>
        <v>FT</v>
      </c>
      <c r="H976" s="244" t="str">
        <f>$H$7</f>
        <v>PT</v>
      </c>
      <c r="I976" s="244" t="str">
        <f>$I$7</f>
        <v>SE</v>
      </c>
      <c r="J976" s="244" t="str">
        <f>$J$7</f>
        <v>Total</v>
      </c>
      <c r="K976" s="244"/>
      <c r="L976" s="244" t="str">
        <f>$L$7</f>
        <v>FT</v>
      </c>
      <c r="M976" s="244" t="str">
        <f>$M$7</f>
        <v>PT</v>
      </c>
      <c r="N976" s="244" t="str">
        <f>$N$7</f>
        <v>SE</v>
      </c>
      <c r="O976" s="244" t="str">
        <f>$O$7</f>
        <v>Total</v>
      </c>
    </row>
    <row r="977" spans="1:15" s="212" customFormat="1" ht="12.95">
      <c r="A977" s="234"/>
      <c r="B977" s="215"/>
      <c r="C977" s="215"/>
      <c r="D977" s="215"/>
      <c r="E977" s="215"/>
      <c r="F977" s="215"/>
      <c r="G977" s="215"/>
      <c r="H977" s="215"/>
      <c r="I977" s="215"/>
      <c r="J977" s="215"/>
      <c r="K977" s="215"/>
      <c r="L977" s="215"/>
      <c r="M977" s="215"/>
      <c r="N977" s="215"/>
      <c r="O977" s="215"/>
    </row>
    <row r="978" spans="1:15" s="212" customFormat="1">
      <c r="A978" s="213" t="str">
        <f>name!E$4</f>
        <v>Managers, directors and senior officials</v>
      </c>
      <c r="B978" s="278">
        <v>2.152460490531777</v>
      </c>
      <c r="C978" s="278">
        <v>0.43197897126651652</v>
      </c>
      <c r="D978" s="278">
        <v>1.0273858775751661</v>
      </c>
      <c r="E978" s="278">
        <f>SUM(B978:D978)</f>
        <v>3.6118253393734596</v>
      </c>
      <c r="F978" s="279"/>
      <c r="G978" s="278">
        <v>3.1870889396923072</v>
      </c>
      <c r="H978" s="278">
        <v>0.80250027397770429</v>
      </c>
      <c r="I978" s="278">
        <v>1.4863287839162596</v>
      </c>
      <c r="J978" s="278">
        <f>SUM(G978:I978)</f>
        <v>5.4759179975862713</v>
      </c>
      <c r="K978" s="279"/>
      <c r="L978" s="278">
        <v>3.1030968610141461</v>
      </c>
      <c r="M978" s="278">
        <v>1.0755124756242589</v>
      </c>
      <c r="N978" s="278">
        <v>2.4527153247646187</v>
      </c>
      <c r="O978" s="278">
        <f>SUM(L978:N978)</f>
        <v>6.6313246614030241</v>
      </c>
    </row>
    <row r="979" spans="1:15" s="212" customFormat="1">
      <c r="A979" s="213" t="str">
        <f>name!E$5</f>
        <v>Professional occupations</v>
      </c>
      <c r="B979" s="278">
        <v>12.040223329260876</v>
      </c>
      <c r="C979" s="278">
        <v>3.4197002633108857</v>
      </c>
      <c r="D979" s="278">
        <v>6.0311031608969312</v>
      </c>
      <c r="E979" s="278">
        <f t="shared" ref="E979:E986" si="420">SUM(B979:D979)</f>
        <v>21.491026753468695</v>
      </c>
      <c r="F979" s="279"/>
      <c r="G979" s="278">
        <v>18.973798659061888</v>
      </c>
      <c r="H979" s="278">
        <v>6.194522991556167</v>
      </c>
      <c r="I979" s="278">
        <v>9.0223212276381002</v>
      </c>
      <c r="J979" s="278">
        <f t="shared" ref="J979:J981" si="421">SUM(G979:I979)</f>
        <v>34.190642878256156</v>
      </c>
      <c r="K979" s="279"/>
      <c r="L979" s="278">
        <v>21.578927600610076</v>
      </c>
      <c r="M979" s="278">
        <v>8.256253998161478</v>
      </c>
      <c r="N979" s="278">
        <v>12.685477237630067</v>
      </c>
      <c r="O979" s="278">
        <f t="shared" ref="O979:O986" si="422">SUM(L979:N979)</f>
        <v>42.520658836401623</v>
      </c>
    </row>
    <row r="980" spans="1:15" s="212" customFormat="1">
      <c r="A980" s="213" t="str">
        <f>name!E$6</f>
        <v>Associate professional occupations</v>
      </c>
      <c r="B980" s="278">
        <v>5.0863099032535573</v>
      </c>
      <c r="C980" s="278">
        <v>1.9141975310699799</v>
      </c>
      <c r="D980" s="278">
        <v>2.7301244918758094</v>
      </c>
      <c r="E980" s="278">
        <f t="shared" si="420"/>
        <v>9.7306319261993472</v>
      </c>
      <c r="F980" s="279"/>
      <c r="G980" s="278">
        <v>7.4220680984555276</v>
      </c>
      <c r="H980" s="278">
        <v>3.3586348869343543</v>
      </c>
      <c r="I980" s="278">
        <v>3.1865402789939323</v>
      </c>
      <c r="J980" s="278">
        <f t="shared" si="421"/>
        <v>13.967243264383814</v>
      </c>
      <c r="K980" s="279"/>
      <c r="L980" s="278">
        <v>13.045903936332417</v>
      </c>
      <c r="M980" s="278">
        <v>6.2176607813592764</v>
      </c>
      <c r="N980" s="278">
        <v>5.1023243765497108</v>
      </c>
      <c r="O980" s="278">
        <f t="shared" si="422"/>
        <v>24.365889094241403</v>
      </c>
    </row>
    <row r="981" spans="1:15" s="212" customFormat="1">
      <c r="A981" s="213" t="str">
        <f>name!E$7</f>
        <v>Administrative and secretarial occupations</v>
      </c>
      <c r="B981" s="278">
        <v>2.6777108699388683</v>
      </c>
      <c r="C981" s="278">
        <v>2.1291880459846917</v>
      </c>
      <c r="D981" s="278">
        <v>0.65595424084918186</v>
      </c>
      <c r="E981" s="278">
        <f t="shared" si="420"/>
        <v>5.4628531567727414</v>
      </c>
      <c r="F981" s="279"/>
      <c r="G981" s="278">
        <v>3.51652350536662</v>
      </c>
      <c r="H981" s="278">
        <v>3.1675035767502351</v>
      </c>
      <c r="I981" s="278">
        <v>0.58938018414055215</v>
      </c>
      <c r="J981" s="278">
        <f t="shared" si="421"/>
        <v>7.273407266257407</v>
      </c>
      <c r="K981" s="279"/>
      <c r="L981" s="278">
        <v>3.5234539450524451</v>
      </c>
      <c r="M981" s="278">
        <v>2.3370813517553803</v>
      </c>
      <c r="N981" s="278">
        <v>0.41283064130038155</v>
      </c>
      <c r="O981" s="278">
        <f t="shared" si="422"/>
        <v>6.2733659381082063</v>
      </c>
    </row>
    <row r="982" spans="1:15" s="212" customFormat="1">
      <c r="A982" s="213" t="str">
        <f>name!E$8</f>
        <v>Skilled trades occupations</v>
      </c>
      <c r="B982" s="278">
        <v>0.53566815089243947</v>
      </c>
      <c r="C982" s="278">
        <v>0.28047049591051809</v>
      </c>
      <c r="D982" s="278">
        <v>0.31792676788513341</v>
      </c>
      <c r="E982" s="278">
        <f t="shared" si="420"/>
        <v>1.1340654146880911</v>
      </c>
      <c r="F982" s="279"/>
      <c r="G982" s="278">
        <v>0.5216162297277972</v>
      </c>
      <c r="H982" s="278">
        <v>0.26450596418647437</v>
      </c>
      <c r="I982" s="278">
        <v>0.396876585202106</v>
      </c>
      <c r="J982" s="278">
        <f>SUM(G982:I982)</f>
        <v>1.1829987791163776</v>
      </c>
      <c r="K982" s="279"/>
      <c r="L982" s="278">
        <v>0.26846810430578188</v>
      </c>
      <c r="M982" s="278">
        <v>0.15707267225572474</v>
      </c>
      <c r="N982" s="278">
        <v>0.58237706112250387</v>
      </c>
      <c r="O982" s="278">
        <f t="shared" si="422"/>
        <v>1.0079178376840106</v>
      </c>
    </row>
    <row r="983" spans="1:15" s="212" customFormat="1">
      <c r="A983" s="213" t="str">
        <f>name!E$9</f>
        <v>Caring, leisure and other service occupations</v>
      </c>
      <c r="B983" s="278">
        <v>10.93812561423564</v>
      </c>
      <c r="C983" s="278">
        <v>6.1581552268541788</v>
      </c>
      <c r="D983" s="278">
        <v>6.6848257979811194</v>
      </c>
      <c r="E983" s="278">
        <f t="shared" si="420"/>
        <v>23.781106639070938</v>
      </c>
      <c r="F983" s="279"/>
      <c r="G983" s="278">
        <v>15.028349511579522</v>
      </c>
      <c r="H983" s="278">
        <v>9.7835555781197954</v>
      </c>
      <c r="I983" s="278">
        <v>8.5680829903140427</v>
      </c>
      <c r="J983" s="278">
        <f t="shared" ref="J983:J986" si="423">SUM(G983:I983)</f>
        <v>33.379988080013362</v>
      </c>
      <c r="K983" s="279"/>
      <c r="L983" s="278">
        <v>19.686403486174736</v>
      </c>
      <c r="M983" s="278">
        <v>12.722290155167252</v>
      </c>
      <c r="N983" s="278">
        <v>11.985260313532889</v>
      </c>
      <c r="O983" s="278">
        <f t="shared" si="422"/>
        <v>44.393953954874881</v>
      </c>
    </row>
    <row r="984" spans="1:15" s="212" customFormat="1">
      <c r="A984" s="213" t="str">
        <f>name!E$10</f>
        <v>Sales and customer service occupations</v>
      </c>
      <c r="B984" s="278">
        <v>0.40188077807193806</v>
      </c>
      <c r="C984" s="278">
        <v>0.29193109549600027</v>
      </c>
      <c r="D984" s="278">
        <v>0.22119076641910479</v>
      </c>
      <c r="E984" s="278">
        <f t="shared" si="420"/>
        <v>0.91500263998704323</v>
      </c>
      <c r="F984" s="279"/>
      <c r="G984" s="278">
        <v>0.50902941619323927</v>
      </c>
      <c r="H984" s="278">
        <v>0.4238548771406544</v>
      </c>
      <c r="I984" s="278">
        <v>0.18834156649771694</v>
      </c>
      <c r="J984" s="278">
        <f t="shared" si="423"/>
        <v>1.1212258598316107</v>
      </c>
      <c r="K984" s="279"/>
      <c r="L984" s="278">
        <v>0.58976769237586812</v>
      </c>
      <c r="M984" s="278">
        <v>0.462603757050155</v>
      </c>
      <c r="N984" s="278">
        <v>0.26207114236918883</v>
      </c>
      <c r="O984" s="278">
        <f t="shared" si="422"/>
        <v>1.3144425917952118</v>
      </c>
    </row>
    <row r="985" spans="1:15" s="212" customFormat="1">
      <c r="A985" s="213" t="str">
        <f>name!E$11</f>
        <v>Process, plant and machine operatives</v>
      </c>
      <c r="B985" s="278">
        <v>0.14360396062951725</v>
      </c>
      <c r="C985" s="278">
        <v>0.27193538658673438</v>
      </c>
      <c r="D985" s="278">
        <v>7.1388911846087921E-2</v>
      </c>
      <c r="E985" s="278">
        <f t="shared" si="420"/>
        <v>0.48692825906233955</v>
      </c>
      <c r="F985" s="279"/>
      <c r="G985" s="278">
        <v>0.13763714535365573</v>
      </c>
      <c r="H985" s="278">
        <v>0.2929180259381815</v>
      </c>
      <c r="I985" s="278">
        <v>9.8798826495400838E-2</v>
      </c>
      <c r="J985" s="278">
        <f t="shared" si="423"/>
        <v>0.52935399778723813</v>
      </c>
      <c r="K985" s="279"/>
      <c r="L985" s="278">
        <v>7.6185825274278085E-2</v>
      </c>
      <c r="M985" s="278">
        <v>0.25463074377522427</v>
      </c>
      <c r="N985" s="278">
        <v>0.13924618985750881</v>
      </c>
      <c r="O985" s="278">
        <f t="shared" si="422"/>
        <v>0.47006275890701116</v>
      </c>
    </row>
    <row r="986" spans="1:15" s="212" customFormat="1">
      <c r="A986" s="213" t="str">
        <f>name!E$12</f>
        <v>Elementary occupations</v>
      </c>
      <c r="B986" s="278">
        <v>0.66501690289801685</v>
      </c>
      <c r="C986" s="278">
        <v>1.079442983282326</v>
      </c>
      <c r="D986" s="278">
        <v>0.2600999837414486</v>
      </c>
      <c r="E986" s="278">
        <f t="shared" si="420"/>
        <v>2.0045598699217915</v>
      </c>
      <c r="F986" s="279"/>
      <c r="G986" s="278">
        <v>0.69088849428106514</v>
      </c>
      <c r="H986" s="278">
        <v>1.1780038251039906</v>
      </c>
      <c r="I986" s="278">
        <v>0.14532955820922841</v>
      </c>
      <c r="J986" s="278">
        <f t="shared" si="423"/>
        <v>2.0142218775942839</v>
      </c>
      <c r="K986" s="279"/>
      <c r="L986" s="278">
        <v>0.41779254849634812</v>
      </c>
      <c r="M986" s="278">
        <v>1.3178940638368126</v>
      </c>
      <c r="N986" s="278">
        <v>0.28669771330187732</v>
      </c>
      <c r="O986" s="278">
        <f t="shared" si="422"/>
        <v>2.0223843256350378</v>
      </c>
    </row>
    <row r="987" spans="1:15" s="212" customFormat="1">
      <c r="A987" s="213"/>
      <c r="B987" s="278"/>
      <c r="C987" s="278"/>
      <c r="D987" s="278"/>
      <c r="E987" s="278"/>
      <c r="F987" s="279"/>
      <c r="G987" s="278"/>
      <c r="H987" s="278"/>
      <c r="I987" s="278"/>
      <c r="J987" s="278"/>
      <c r="K987" s="279"/>
      <c r="L987" s="278"/>
      <c r="M987" s="278"/>
      <c r="N987" s="278"/>
      <c r="O987" s="278"/>
    </row>
    <row r="988" spans="1:15" s="212" customFormat="1">
      <c r="A988" s="220" t="s">
        <v>119</v>
      </c>
      <c r="B988" s="282">
        <f>SUM(B978:B986)</f>
        <v>34.640999999712633</v>
      </c>
      <c r="C988" s="282">
        <f t="shared" ref="C988:E988" si="424">SUM(C978:C986)</f>
        <v>15.976999999761833</v>
      </c>
      <c r="D988" s="282">
        <f t="shared" si="424"/>
        <v>17.999999999069981</v>
      </c>
      <c r="E988" s="282">
        <f t="shared" si="424"/>
        <v>68.617999998544434</v>
      </c>
      <c r="F988" s="282"/>
      <c r="G988" s="282">
        <f t="shared" ref="G988:J988" si="425">SUM(G978:G986)</f>
        <v>49.986999999711614</v>
      </c>
      <c r="H988" s="282">
        <f t="shared" si="425"/>
        <v>25.465999999707556</v>
      </c>
      <c r="I988" s="282">
        <f t="shared" si="425"/>
        <v>23.682000001407339</v>
      </c>
      <c r="J988" s="282">
        <f t="shared" si="425"/>
        <v>99.135000000826523</v>
      </c>
      <c r="K988" s="282"/>
      <c r="L988" s="282">
        <f t="shared" ref="L988:O988" si="426">SUM(L978:L986)</f>
        <v>62.289999999636102</v>
      </c>
      <c r="M988" s="282">
        <f t="shared" si="426"/>
        <v>32.80099999898556</v>
      </c>
      <c r="N988" s="282">
        <f t="shared" si="426"/>
        <v>33.90900000042874</v>
      </c>
      <c r="O988" s="282">
        <f t="shared" si="426"/>
        <v>128.9999999990504</v>
      </c>
    </row>
    <row r="989" spans="1:15" s="212" customFormat="1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3"/>
      <c r="M989" s="213"/>
      <c r="N989" s="216"/>
    </row>
    <row r="990" spans="1:15" s="212" customFormat="1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13"/>
      <c r="M990" s="213"/>
      <c r="N990" s="216"/>
      <c r="O990" s="227" t="s">
        <v>114</v>
      </c>
    </row>
    <row r="991" spans="1:15" s="212" customFormat="1" ht="12.95">
      <c r="A991" s="218"/>
      <c r="B991" s="218"/>
      <c r="C991" s="218"/>
      <c r="D991" s="218"/>
      <c r="E991" s="218"/>
      <c r="F991" s="218"/>
      <c r="G991" s="218"/>
      <c r="H991" s="218"/>
      <c r="I991" s="218"/>
      <c r="J991" s="218"/>
      <c r="K991" s="218"/>
      <c r="L991" s="218"/>
      <c r="M991" s="218"/>
      <c r="N991" s="218"/>
      <c r="O991" s="218"/>
    </row>
    <row r="992" spans="1:15" s="212" customFormat="1" ht="12.95">
      <c r="A992" s="217" t="str">
        <f>name!A61</f>
        <v>Rental and leasing</v>
      </c>
      <c r="B992" s="369">
        <f>$B$6</f>
        <v>2015</v>
      </c>
      <c r="C992" s="369"/>
      <c r="D992" s="369"/>
      <c r="E992" s="369"/>
      <c r="F992" s="239"/>
      <c r="G992" s="369">
        <f>$G$6</f>
        <v>2020</v>
      </c>
      <c r="H992" s="369"/>
      <c r="I992" s="369"/>
      <c r="J992" s="369"/>
      <c r="K992" s="239"/>
      <c r="L992" s="369">
        <f>$L$6</f>
        <v>2035</v>
      </c>
      <c r="M992" s="369"/>
      <c r="N992" s="369"/>
      <c r="O992" s="369"/>
    </row>
    <row r="993" spans="1:15" s="212" customFormat="1" ht="12.95">
      <c r="A993" s="230"/>
      <c r="B993" s="244" t="str">
        <f>$B$7</f>
        <v>FT</v>
      </c>
      <c r="C993" s="244" t="str">
        <f>$C$7</f>
        <v>PT</v>
      </c>
      <c r="D993" s="244" t="str">
        <f>$D$7</f>
        <v>SE</v>
      </c>
      <c r="E993" s="244" t="str">
        <f>$E$7</f>
        <v>Total</v>
      </c>
      <c r="F993" s="244"/>
      <c r="G993" s="244" t="str">
        <f>$G$7</f>
        <v>FT</v>
      </c>
      <c r="H993" s="244" t="str">
        <f>$H$7</f>
        <v>PT</v>
      </c>
      <c r="I993" s="244" t="str">
        <f>$I$7</f>
        <v>SE</v>
      </c>
      <c r="J993" s="244" t="str">
        <f>$J$7</f>
        <v>Total</v>
      </c>
      <c r="K993" s="244"/>
      <c r="L993" s="244" t="str">
        <f>$L$7</f>
        <v>FT</v>
      </c>
      <c r="M993" s="244" t="str">
        <f>$M$7</f>
        <v>PT</v>
      </c>
      <c r="N993" s="244" t="str">
        <f>$N$7</f>
        <v>SE</v>
      </c>
      <c r="O993" s="244" t="str">
        <f>$O$7</f>
        <v>Total</v>
      </c>
    </row>
    <row r="994" spans="1:15" s="212" customFormat="1" ht="12.95">
      <c r="A994" s="234"/>
      <c r="B994" s="215"/>
      <c r="C994" s="215"/>
      <c r="D994" s="215"/>
      <c r="E994" s="215"/>
      <c r="F994" s="215"/>
      <c r="G994" s="215"/>
      <c r="H994" s="215"/>
      <c r="I994" s="215"/>
      <c r="J994" s="215"/>
      <c r="K994" s="215"/>
      <c r="L994" s="215"/>
      <c r="M994" s="215"/>
      <c r="N994" s="215"/>
      <c r="O994" s="215"/>
    </row>
    <row r="995" spans="1:15" s="212" customFormat="1">
      <c r="A995" s="213" t="str">
        <f>name!E$4</f>
        <v>Managers, directors and senior officials</v>
      </c>
      <c r="B995" s="278">
        <v>20.556369845661237</v>
      </c>
      <c r="C995" s="278">
        <v>1.0424597385835577</v>
      </c>
      <c r="D995" s="278">
        <v>5.4819287693925061</v>
      </c>
      <c r="E995" s="278">
        <f>SUM(B995:D995)</f>
        <v>27.0807583536373</v>
      </c>
      <c r="F995" s="279"/>
      <c r="G995" s="278">
        <v>20.516537523776023</v>
      </c>
      <c r="H995" s="278">
        <v>1.5864534329356026</v>
      </c>
      <c r="I995" s="278">
        <v>5.1946422069967504</v>
      </c>
      <c r="J995" s="278">
        <f>SUM(G995:I995)</f>
        <v>27.297633163708376</v>
      </c>
      <c r="K995" s="279"/>
      <c r="L995" s="278">
        <v>21.180862905390846</v>
      </c>
      <c r="M995" s="278">
        <v>1.6294717298364998</v>
      </c>
      <c r="N995" s="278">
        <v>6.4770319621779908</v>
      </c>
      <c r="O995" s="278">
        <f>SUM(L995:N995)</f>
        <v>29.287366597405338</v>
      </c>
    </row>
    <row r="996" spans="1:15" s="212" customFormat="1">
      <c r="A996" s="213" t="str">
        <f>name!E$5</f>
        <v>Professional occupations</v>
      </c>
      <c r="B996" s="278">
        <v>19.672238077285844</v>
      </c>
      <c r="C996" s="278">
        <v>1.1198590235808947</v>
      </c>
      <c r="D996" s="278">
        <v>2.1172358851116759</v>
      </c>
      <c r="E996" s="278">
        <f t="shared" ref="E996:E1003" si="427">SUM(B996:D996)</f>
        <v>22.909332985978413</v>
      </c>
      <c r="F996" s="279"/>
      <c r="G996" s="278">
        <v>21.768079704745112</v>
      </c>
      <c r="H996" s="278">
        <v>1.8064661480951363</v>
      </c>
      <c r="I996" s="278">
        <v>1.8701062200724228</v>
      </c>
      <c r="J996" s="278">
        <f t="shared" ref="J996:J998" si="428">SUM(G996:I996)</f>
        <v>25.444652072912671</v>
      </c>
      <c r="K996" s="279"/>
      <c r="L996" s="278">
        <v>31.628157366924178</v>
      </c>
      <c r="M996" s="278">
        <v>2.9177242391221512</v>
      </c>
      <c r="N996" s="278">
        <v>1.68115302589955</v>
      </c>
      <c r="O996" s="278">
        <f t="shared" ref="O996:O1003" si="429">SUM(L996:N996)</f>
        <v>36.227034631945877</v>
      </c>
    </row>
    <row r="997" spans="1:15" s="212" customFormat="1">
      <c r="A997" s="213" t="str">
        <f>name!E$6</f>
        <v>Associate professional occupations</v>
      </c>
      <c r="B997" s="278">
        <v>14.805914494800918</v>
      </c>
      <c r="C997" s="278">
        <v>1.5623674317197564</v>
      </c>
      <c r="D997" s="278">
        <v>1.9756545678519479</v>
      </c>
      <c r="E997" s="278">
        <f t="shared" si="427"/>
        <v>18.34393649437262</v>
      </c>
      <c r="F997" s="279"/>
      <c r="G997" s="278">
        <v>15.251403522248545</v>
      </c>
      <c r="H997" s="278">
        <v>1.9748815186483875</v>
      </c>
      <c r="I997" s="278">
        <v>1.588401764659287</v>
      </c>
      <c r="J997" s="278">
        <f t="shared" si="428"/>
        <v>18.814686805556221</v>
      </c>
      <c r="K997" s="279"/>
      <c r="L997" s="278">
        <v>16.120420628120719</v>
      </c>
      <c r="M997" s="278">
        <v>2.0331910380136979</v>
      </c>
      <c r="N997" s="278">
        <v>1.7502101774122432</v>
      </c>
      <c r="O997" s="278">
        <f t="shared" si="429"/>
        <v>19.903821843546659</v>
      </c>
    </row>
    <row r="998" spans="1:15" s="212" customFormat="1">
      <c r="A998" s="213" t="str">
        <f>name!E$7</f>
        <v>Administrative and secretarial occupations</v>
      </c>
      <c r="B998" s="278">
        <v>13.01514122900327</v>
      </c>
      <c r="C998" s="278">
        <v>3.5097732361178582</v>
      </c>
      <c r="D998" s="278">
        <v>1.1754170765200496</v>
      </c>
      <c r="E998" s="278">
        <f t="shared" si="427"/>
        <v>17.700331541641177</v>
      </c>
      <c r="F998" s="279"/>
      <c r="G998" s="278">
        <v>11.967352474564443</v>
      </c>
      <c r="H998" s="278">
        <v>3.5777296288956797</v>
      </c>
      <c r="I998" s="278">
        <v>0.91684094645340408</v>
      </c>
      <c r="J998" s="278">
        <f t="shared" si="428"/>
        <v>16.461923049913526</v>
      </c>
      <c r="K998" s="279"/>
      <c r="L998" s="278">
        <v>15.123730367507886</v>
      </c>
      <c r="M998" s="278">
        <v>3.2559076709128267</v>
      </c>
      <c r="N998" s="278">
        <v>1.0849805012113294</v>
      </c>
      <c r="O998" s="278">
        <f t="shared" si="429"/>
        <v>19.464618539632042</v>
      </c>
    </row>
    <row r="999" spans="1:15" s="212" customFormat="1">
      <c r="A999" s="213" t="str">
        <f>name!E$8</f>
        <v>Skilled trades occupations</v>
      </c>
      <c r="B999" s="278">
        <v>13.534380225739774</v>
      </c>
      <c r="C999" s="278">
        <v>0.87317889779923541</v>
      </c>
      <c r="D999" s="278">
        <v>2.1753815718466618</v>
      </c>
      <c r="E999" s="278">
        <f t="shared" si="427"/>
        <v>16.58294069538567</v>
      </c>
      <c r="F999" s="279"/>
      <c r="G999" s="278">
        <v>9.6009131476303171</v>
      </c>
      <c r="H999" s="278">
        <v>0.54380996863056752</v>
      </c>
      <c r="I999" s="278">
        <v>1.6636456932115324</v>
      </c>
      <c r="J999" s="278">
        <f>SUM(G999:I999)</f>
        <v>11.808368809472416</v>
      </c>
      <c r="K999" s="279"/>
      <c r="L999" s="278">
        <v>8.3928966677096675</v>
      </c>
      <c r="M999" s="278">
        <v>0.84504211702097087</v>
      </c>
      <c r="N999" s="278">
        <v>2.1498988203421878</v>
      </c>
      <c r="O999" s="278">
        <f t="shared" si="429"/>
        <v>11.387837605072825</v>
      </c>
    </row>
    <row r="1000" spans="1:15" s="212" customFormat="1">
      <c r="A1000" s="213" t="str">
        <f>name!E$9</f>
        <v>Caring, leisure and other service occupations</v>
      </c>
      <c r="B1000" s="278">
        <v>2.7574781674871565</v>
      </c>
      <c r="C1000" s="278">
        <v>0.74105603285579491</v>
      </c>
      <c r="D1000" s="278">
        <v>0.95054696304555986</v>
      </c>
      <c r="E1000" s="278">
        <f t="shared" si="427"/>
        <v>4.4490811633885112</v>
      </c>
      <c r="F1000" s="279"/>
      <c r="G1000" s="278">
        <v>2.5346989130806352</v>
      </c>
      <c r="H1000" s="278">
        <v>0.8148384778022576</v>
      </c>
      <c r="I1000" s="278">
        <v>0.86376314819489886</v>
      </c>
      <c r="J1000" s="278">
        <f t="shared" ref="J1000:J1003" si="430">SUM(G1000:I1000)</f>
        <v>4.2133005390777916</v>
      </c>
      <c r="K1000" s="279"/>
      <c r="L1000" s="278">
        <v>3.6076645217609848</v>
      </c>
      <c r="M1000" s="278">
        <v>0.99948706896074102</v>
      </c>
      <c r="N1000" s="278">
        <v>1.274167575890198</v>
      </c>
      <c r="O1000" s="278">
        <f t="shared" si="429"/>
        <v>5.8813191666119238</v>
      </c>
    </row>
    <row r="1001" spans="1:15" s="212" customFormat="1">
      <c r="A1001" s="213" t="str">
        <f>name!E$10</f>
        <v>Sales and customer service occupations</v>
      </c>
      <c r="B1001" s="278">
        <v>6.7453883551886156</v>
      </c>
      <c r="C1001" s="278">
        <v>4.8798116959127835</v>
      </c>
      <c r="D1001" s="278">
        <v>2.7630340163576781</v>
      </c>
      <c r="E1001" s="278">
        <f t="shared" si="427"/>
        <v>14.388234067459077</v>
      </c>
      <c r="F1001" s="279"/>
      <c r="G1001" s="278">
        <v>5.5908611489413627</v>
      </c>
      <c r="H1001" s="278">
        <v>4.6070201470172796</v>
      </c>
      <c r="I1001" s="278">
        <v>1.8403385242491286</v>
      </c>
      <c r="J1001" s="278">
        <f t="shared" si="430"/>
        <v>12.03821982020777</v>
      </c>
      <c r="K1001" s="279"/>
      <c r="L1001" s="278">
        <v>6.2896555166491073</v>
      </c>
      <c r="M1001" s="278">
        <v>5.1631190790639119</v>
      </c>
      <c r="N1001" s="278">
        <v>1.5174537945767079</v>
      </c>
      <c r="O1001" s="278">
        <f t="shared" si="429"/>
        <v>12.970228390289728</v>
      </c>
    </row>
    <row r="1002" spans="1:15" s="212" customFormat="1">
      <c r="A1002" s="213" t="str">
        <f>name!E$11</f>
        <v>Process, plant and machine operatives</v>
      </c>
      <c r="B1002" s="278">
        <v>13.823541776772588</v>
      </c>
      <c r="C1002" s="278">
        <v>5.3967068516378793</v>
      </c>
      <c r="D1002" s="278">
        <v>1.0491277631553784</v>
      </c>
      <c r="E1002" s="278">
        <f t="shared" si="427"/>
        <v>20.269376391565846</v>
      </c>
      <c r="F1002" s="279"/>
      <c r="G1002" s="278">
        <v>9.849847272932946</v>
      </c>
      <c r="H1002" s="278">
        <v>5.4218540082860072</v>
      </c>
      <c r="I1002" s="278">
        <v>1.0804441909474667</v>
      </c>
      <c r="J1002" s="278">
        <f t="shared" si="430"/>
        <v>16.35214547216642</v>
      </c>
      <c r="K1002" s="279"/>
      <c r="L1002" s="278">
        <v>8.7838780802143646</v>
      </c>
      <c r="M1002" s="278">
        <v>5.569357021252471</v>
      </c>
      <c r="N1002" s="278">
        <v>0.95516168730601236</v>
      </c>
      <c r="O1002" s="278">
        <f t="shared" si="429"/>
        <v>15.308396788772848</v>
      </c>
    </row>
    <row r="1003" spans="1:15" s="212" customFormat="1">
      <c r="A1003" s="213" t="str">
        <f>name!E$12</f>
        <v>Elementary occupations</v>
      </c>
      <c r="B1003" s="278">
        <v>2.2865478278603044</v>
      </c>
      <c r="C1003" s="278">
        <v>1.213787092055169</v>
      </c>
      <c r="D1003" s="278">
        <v>1.7126733869433375</v>
      </c>
      <c r="E1003" s="278">
        <f t="shared" si="427"/>
        <v>5.2130083068588107</v>
      </c>
      <c r="F1003" s="279"/>
      <c r="G1003" s="278">
        <v>1.5723062919395525</v>
      </c>
      <c r="H1003" s="278">
        <v>0.96994666981025446</v>
      </c>
      <c r="I1003" s="278">
        <v>1.2498173052759805</v>
      </c>
      <c r="J1003" s="278">
        <f t="shared" si="430"/>
        <v>3.7920702670257871</v>
      </c>
      <c r="K1003" s="279"/>
      <c r="L1003" s="278">
        <v>1.9097339461555416</v>
      </c>
      <c r="M1003" s="278">
        <v>1.1357000362425864</v>
      </c>
      <c r="N1003" s="278">
        <v>1.5859424554598587</v>
      </c>
      <c r="O1003" s="278">
        <f t="shared" si="429"/>
        <v>4.6313764378579867</v>
      </c>
    </row>
    <row r="1004" spans="1:15" s="212" customFormat="1">
      <c r="A1004" s="213"/>
      <c r="B1004" s="278"/>
      <c r="C1004" s="278"/>
      <c r="D1004" s="278"/>
      <c r="E1004" s="278"/>
      <c r="F1004" s="279"/>
      <c r="G1004" s="278"/>
      <c r="H1004" s="278"/>
      <c r="I1004" s="278"/>
      <c r="J1004" s="278"/>
      <c r="K1004" s="279"/>
      <c r="L1004" s="278"/>
      <c r="M1004" s="278"/>
      <c r="N1004" s="278"/>
      <c r="O1004" s="278"/>
    </row>
    <row r="1005" spans="1:15" s="212" customFormat="1">
      <c r="A1005" s="220" t="s">
        <v>119</v>
      </c>
      <c r="B1005" s="282">
        <f>SUM(B995:B1003)</f>
        <v>107.19699999979969</v>
      </c>
      <c r="C1005" s="282">
        <f t="shared" ref="C1005:E1005" si="431">SUM(C995:C1003)</f>
        <v>20.339000000262931</v>
      </c>
      <c r="D1005" s="282">
        <f t="shared" si="431"/>
        <v>19.401000000224798</v>
      </c>
      <c r="E1005" s="282">
        <f t="shared" si="431"/>
        <v>146.93700000028741</v>
      </c>
      <c r="F1005" s="282"/>
      <c r="G1005" s="282">
        <f t="shared" ref="G1005:J1005" si="432">SUM(G995:G1003)</f>
        <v>98.65199999985893</v>
      </c>
      <c r="H1005" s="282">
        <f t="shared" si="432"/>
        <v>21.303000000121173</v>
      </c>
      <c r="I1005" s="282">
        <f t="shared" si="432"/>
        <v>16.268000000060866</v>
      </c>
      <c r="J1005" s="282">
        <f t="shared" si="432"/>
        <v>136.22300000004097</v>
      </c>
      <c r="K1005" s="282"/>
      <c r="L1005" s="282">
        <f t="shared" ref="L1005:O1005" si="433">SUM(L995:L1003)</f>
        <v>113.03700000043328</v>
      </c>
      <c r="M1005" s="282">
        <f t="shared" si="433"/>
        <v>23.549000000425856</v>
      </c>
      <c r="N1005" s="282">
        <f t="shared" si="433"/>
        <v>18.476000000276077</v>
      </c>
      <c r="O1005" s="282">
        <f t="shared" si="433"/>
        <v>155.06200000113523</v>
      </c>
    </row>
    <row r="1006" spans="1:15" s="212" customFormat="1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3"/>
      <c r="M1006" s="213"/>
      <c r="N1006" s="216"/>
    </row>
    <row r="1007" spans="1:15" s="212" customFormat="1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13"/>
      <c r="M1007" s="213"/>
      <c r="N1007" s="216"/>
      <c r="O1007" s="227" t="s">
        <v>114</v>
      </c>
    </row>
    <row r="1008" spans="1:15" s="212" customFormat="1" ht="12.95">
      <c r="A1008" s="218"/>
      <c r="B1008" s="218"/>
      <c r="C1008" s="218"/>
      <c r="D1008" s="218"/>
      <c r="E1008" s="218"/>
      <c r="F1008" s="218"/>
      <c r="G1008" s="218"/>
      <c r="H1008" s="218"/>
      <c r="I1008" s="218"/>
      <c r="J1008" s="218"/>
      <c r="K1008" s="218"/>
      <c r="L1008" s="218"/>
      <c r="M1008" s="218"/>
      <c r="N1008" s="218"/>
      <c r="O1008" s="218"/>
    </row>
    <row r="1009" spans="1:15" s="212" customFormat="1" ht="12.95">
      <c r="A1009" s="217" t="str">
        <f>name!A62</f>
        <v>Employment activities</v>
      </c>
      <c r="B1009" s="369">
        <f>$B$6</f>
        <v>2015</v>
      </c>
      <c r="C1009" s="369"/>
      <c r="D1009" s="369"/>
      <c r="E1009" s="369"/>
      <c r="F1009" s="239"/>
      <c r="G1009" s="369">
        <f>$G$6</f>
        <v>2020</v>
      </c>
      <c r="H1009" s="369"/>
      <c r="I1009" s="369"/>
      <c r="J1009" s="369"/>
      <c r="K1009" s="239"/>
      <c r="L1009" s="369">
        <f>$L$6</f>
        <v>2035</v>
      </c>
      <c r="M1009" s="369"/>
      <c r="N1009" s="369"/>
      <c r="O1009" s="369"/>
    </row>
    <row r="1010" spans="1:15" s="212" customFormat="1" ht="12.95">
      <c r="A1010" s="230"/>
      <c r="B1010" s="244" t="str">
        <f>$B$7</f>
        <v>FT</v>
      </c>
      <c r="C1010" s="244" t="str">
        <f>$C$7</f>
        <v>PT</v>
      </c>
      <c r="D1010" s="244" t="str">
        <f>$D$7</f>
        <v>SE</v>
      </c>
      <c r="E1010" s="244" t="str">
        <f>$E$7</f>
        <v>Total</v>
      </c>
      <c r="F1010" s="244"/>
      <c r="G1010" s="244" t="str">
        <f>$G$7</f>
        <v>FT</v>
      </c>
      <c r="H1010" s="244" t="str">
        <f>$H$7</f>
        <v>PT</v>
      </c>
      <c r="I1010" s="244" t="str">
        <f>$I$7</f>
        <v>SE</v>
      </c>
      <c r="J1010" s="244" t="str">
        <f>$J$7</f>
        <v>Total</v>
      </c>
      <c r="K1010" s="244"/>
      <c r="L1010" s="244" t="str">
        <f>$L$7</f>
        <v>FT</v>
      </c>
      <c r="M1010" s="244" t="str">
        <f>$M$7</f>
        <v>PT</v>
      </c>
      <c r="N1010" s="244" t="str">
        <f>$N$7</f>
        <v>SE</v>
      </c>
      <c r="O1010" s="244" t="str">
        <f>$O$7</f>
        <v>Total</v>
      </c>
    </row>
    <row r="1011" spans="1:15" s="212" customFormat="1" ht="12.95">
      <c r="A1011" s="234"/>
      <c r="B1011" s="215"/>
      <c r="C1011" s="215"/>
      <c r="D1011" s="215"/>
      <c r="E1011" s="215"/>
      <c r="F1011" s="215"/>
      <c r="G1011" s="215"/>
      <c r="H1011" s="215"/>
      <c r="I1011" s="215"/>
      <c r="J1011" s="215"/>
      <c r="K1011" s="215"/>
      <c r="L1011" s="215"/>
      <c r="M1011" s="215"/>
      <c r="N1011" s="215"/>
      <c r="O1011" s="215"/>
    </row>
    <row r="1012" spans="1:15" s="212" customFormat="1">
      <c r="A1012" s="213" t="str">
        <f>name!E$4</f>
        <v>Managers, directors and senior officials</v>
      </c>
      <c r="B1012" s="278">
        <v>61.426195744827538</v>
      </c>
      <c r="C1012" s="278">
        <v>11.281316580538808</v>
      </c>
      <c r="D1012" s="278">
        <v>11.146372201534444</v>
      </c>
      <c r="E1012" s="278">
        <f>SUM(B1012:D1012)</f>
        <v>83.853884526900799</v>
      </c>
      <c r="F1012" s="279"/>
      <c r="G1012" s="278">
        <v>59.676300989830864</v>
      </c>
      <c r="H1012" s="278">
        <v>17.459597793159553</v>
      </c>
      <c r="I1012" s="278">
        <v>10.970917619055951</v>
      </c>
      <c r="J1012" s="278">
        <f>SUM(G1012:I1012)</f>
        <v>88.106816402046363</v>
      </c>
      <c r="K1012" s="279"/>
      <c r="L1012" s="278">
        <v>62.55582496227462</v>
      </c>
      <c r="M1012" s="278">
        <v>19.256200276861236</v>
      </c>
      <c r="N1012" s="278">
        <v>13.064073976873656</v>
      </c>
      <c r="O1012" s="278">
        <f>SUM(L1012:N1012)</f>
        <v>94.876099216009521</v>
      </c>
    </row>
    <row r="1013" spans="1:15" s="212" customFormat="1">
      <c r="A1013" s="213" t="str">
        <f>name!E$5</f>
        <v>Professional occupations</v>
      </c>
      <c r="B1013" s="278">
        <v>73.536093908303101</v>
      </c>
      <c r="C1013" s="278">
        <v>13.660180220009416</v>
      </c>
      <c r="D1013" s="278">
        <v>11.38932592726983</v>
      </c>
      <c r="E1013" s="278">
        <f t="shared" ref="E1013:E1020" si="434">SUM(B1013:D1013)</f>
        <v>98.585600055582347</v>
      </c>
      <c r="F1013" s="279"/>
      <c r="G1013" s="278">
        <v>82.490831559051614</v>
      </c>
      <c r="H1013" s="278">
        <v>23.098601973670114</v>
      </c>
      <c r="I1013" s="278">
        <v>10.382003722744109</v>
      </c>
      <c r="J1013" s="278">
        <f t="shared" ref="J1013:J1015" si="435">SUM(G1013:I1013)</f>
        <v>115.97143725546584</v>
      </c>
      <c r="K1013" s="279"/>
      <c r="L1013" s="278">
        <v>113.00995964186316</v>
      </c>
      <c r="M1013" s="278">
        <v>36.005826215969861</v>
      </c>
      <c r="N1013" s="278">
        <v>10.424359565342918</v>
      </c>
      <c r="O1013" s="278">
        <f t="shared" ref="O1013:O1020" si="436">SUM(L1013:N1013)</f>
        <v>159.44014542317592</v>
      </c>
    </row>
    <row r="1014" spans="1:15" s="212" customFormat="1">
      <c r="A1014" s="213" t="str">
        <f>name!E$6</f>
        <v>Associate professional occupations</v>
      </c>
      <c r="B1014" s="278">
        <v>96.79033108323658</v>
      </c>
      <c r="C1014" s="278">
        <v>20.447445556998062</v>
      </c>
      <c r="D1014" s="278">
        <v>31.510246740832343</v>
      </c>
      <c r="E1014" s="278">
        <f t="shared" si="434"/>
        <v>148.74802338106699</v>
      </c>
      <c r="F1014" s="279"/>
      <c r="G1014" s="278">
        <v>96.792315860350584</v>
      </c>
      <c r="H1014" s="278">
        <v>26.39068195814064</v>
      </c>
      <c r="I1014" s="278">
        <v>29.77097058743572</v>
      </c>
      <c r="J1014" s="278">
        <f t="shared" si="435"/>
        <v>152.95396840592696</v>
      </c>
      <c r="K1014" s="279"/>
      <c r="L1014" s="278">
        <v>103.07400978771837</v>
      </c>
      <c r="M1014" s="278">
        <v>34.305623284138711</v>
      </c>
      <c r="N1014" s="278">
        <v>30.611445524718068</v>
      </c>
      <c r="O1014" s="278">
        <f t="shared" si="436"/>
        <v>167.99107859657516</v>
      </c>
    </row>
    <row r="1015" spans="1:15" s="212" customFormat="1">
      <c r="A1015" s="213" t="str">
        <f>name!E$7</f>
        <v>Administrative and secretarial occupations</v>
      </c>
      <c r="B1015" s="278">
        <v>67.768465492743815</v>
      </c>
      <c r="C1015" s="278">
        <v>27.859428675504684</v>
      </c>
      <c r="D1015" s="278">
        <v>4.7666369218311049</v>
      </c>
      <c r="E1015" s="278">
        <f t="shared" si="434"/>
        <v>100.39453109007961</v>
      </c>
      <c r="F1015" s="279"/>
      <c r="G1015" s="278">
        <v>61.431420621568243</v>
      </c>
      <c r="H1015" s="278">
        <v>31.374025485688545</v>
      </c>
      <c r="I1015" s="278">
        <v>4.2786963598026668</v>
      </c>
      <c r="J1015" s="278">
        <f t="shared" si="435"/>
        <v>97.084142467059451</v>
      </c>
      <c r="K1015" s="279"/>
      <c r="L1015" s="278">
        <v>70.106996549543439</v>
      </c>
      <c r="M1015" s="278">
        <v>34.77787869431247</v>
      </c>
      <c r="N1015" s="278">
        <v>5.0611430137237967</v>
      </c>
      <c r="O1015" s="278">
        <f t="shared" si="436"/>
        <v>109.94601825757969</v>
      </c>
    </row>
    <row r="1016" spans="1:15" s="212" customFormat="1">
      <c r="A1016" s="213" t="str">
        <f>name!E$8</f>
        <v>Skilled trades occupations</v>
      </c>
      <c r="B1016" s="278">
        <v>19.323909542022506</v>
      </c>
      <c r="C1016" s="278">
        <v>7.1841658011896161</v>
      </c>
      <c r="D1016" s="278">
        <v>8.4984051293235137</v>
      </c>
      <c r="E1016" s="278">
        <f t="shared" si="434"/>
        <v>35.006480472535635</v>
      </c>
      <c r="F1016" s="279"/>
      <c r="G1016" s="278">
        <v>13.69667125964456</v>
      </c>
      <c r="H1016" s="278">
        <v>5.4719174065271341</v>
      </c>
      <c r="I1016" s="278">
        <v>6.5516015377240562</v>
      </c>
      <c r="J1016" s="278">
        <f>SUM(G1016:I1016)</f>
        <v>25.720190203895751</v>
      </c>
      <c r="K1016" s="279"/>
      <c r="L1016" s="278">
        <v>12.926157987637529</v>
      </c>
      <c r="M1016" s="278">
        <v>9.3462568938854567</v>
      </c>
      <c r="N1016" s="278">
        <v>7.5656074992288884</v>
      </c>
      <c r="O1016" s="278">
        <f t="shared" si="436"/>
        <v>29.838022380751873</v>
      </c>
    </row>
    <row r="1017" spans="1:15" s="212" customFormat="1">
      <c r="A1017" s="213" t="str">
        <f>name!E$9</f>
        <v>Caring, leisure and other service occupations</v>
      </c>
      <c r="B1017" s="278">
        <v>28.35230568501424</v>
      </c>
      <c r="C1017" s="278">
        <v>22.447482487408369</v>
      </c>
      <c r="D1017" s="278">
        <v>7.2127025457873586</v>
      </c>
      <c r="E1017" s="278">
        <f t="shared" si="434"/>
        <v>58.012490718209968</v>
      </c>
      <c r="F1017" s="279"/>
      <c r="G1017" s="278">
        <v>25.02727504232837</v>
      </c>
      <c r="H1017" s="278">
        <v>25.293819878703694</v>
      </c>
      <c r="I1017" s="278">
        <v>8.0540919508545592</v>
      </c>
      <c r="J1017" s="278">
        <f t="shared" ref="J1017:J1020" si="437">SUM(G1017:I1017)</f>
        <v>58.375186871886626</v>
      </c>
      <c r="K1017" s="279"/>
      <c r="L1017" s="278">
        <v>29.550094165676299</v>
      </c>
      <c r="M1017" s="278">
        <v>31.610649021682729</v>
      </c>
      <c r="N1017" s="278">
        <v>10.509620398143618</v>
      </c>
      <c r="O1017" s="278">
        <f t="shared" si="436"/>
        <v>71.670363585502656</v>
      </c>
    </row>
    <row r="1018" spans="1:15" s="212" customFormat="1">
      <c r="A1018" s="213" t="str">
        <f>name!E$10</f>
        <v>Sales and customer service occupations</v>
      </c>
      <c r="B1018" s="278">
        <v>40.2388694958711</v>
      </c>
      <c r="C1018" s="278">
        <v>18.2670777208128</v>
      </c>
      <c r="D1018" s="278">
        <v>3.2371202920487643</v>
      </c>
      <c r="E1018" s="278">
        <f t="shared" si="434"/>
        <v>61.743067508732665</v>
      </c>
      <c r="F1018" s="279"/>
      <c r="G1018" s="278">
        <v>35.502643442471765</v>
      </c>
      <c r="H1018" s="278">
        <v>19.624128623602452</v>
      </c>
      <c r="I1018" s="278">
        <v>2.3840995930016455</v>
      </c>
      <c r="J1018" s="278">
        <f t="shared" si="437"/>
        <v>57.51087165907586</v>
      </c>
      <c r="K1018" s="279"/>
      <c r="L1018" s="278">
        <v>42.355306422742096</v>
      </c>
      <c r="M1018" s="278">
        <v>27.856146790420432</v>
      </c>
      <c r="N1018" s="278">
        <v>2.4414081213027004</v>
      </c>
      <c r="O1018" s="278">
        <f t="shared" si="436"/>
        <v>72.652861334465229</v>
      </c>
    </row>
    <row r="1019" spans="1:15" s="212" customFormat="1">
      <c r="A1019" s="213" t="str">
        <f>name!E$11</f>
        <v>Process, plant and machine operatives</v>
      </c>
      <c r="B1019" s="278">
        <v>20.664131639766158</v>
      </c>
      <c r="C1019" s="278">
        <v>13.045614068517093</v>
      </c>
      <c r="D1019" s="278">
        <v>1.2757629389271885</v>
      </c>
      <c r="E1019" s="278">
        <f t="shared" si="434"/>
        <v>34.985508647210438</v>
      </c>
      <c r="F1019" s="279"/>
      <c r="G1019" s="278">
        <v>15.283798990576708</v>
      </c>
      <c r="H1019" s="278">
        <v>14.747862248018413</v>
      </c>
      <c r="I1019" s="278">
        <v>1.2271849104426997</v>
      </c>
      <c r="J1019" s="278">
        <f t="shared" si="437"/>
        <v>31.258846149037819</v>
      </c>
      <c r="K1019" s="279"/>
      <c r="L1019" s="278">
        <v>13.89919079516792</v>
      </c>
      <c r="M1019" s="278">
        <v>16.779234977090898</v>
      </c>
      <c r="N1019" s="278">
        <v>1.6147457292997345</v>
      </c>
      <c r="O1019" s="278">
        <f t="shared" si="436"/>
        <v>32.293171501558554</v>
      </c>
    </row>
    <row r="1020" spans="1:15" s="212" customFormat="1">
      <c r="A1020" s="213" t="str">
        <f>name!E$12</f>
        <v>Elementary occupations</v>
      </c>
      <c r="B1020" s="278">
        <v>137.42569740881174</v>
      </c>
      <c r="C1020" s="278">
        <v>128.26628889268858</v>
      </c>
      <c r="D1020" s="278">
        <v>29.847427304359119</v>
      </c>
      <c r="E1020" s="278">
        <f t="shared" si="434"/>
        <v>295.53941360585947</v>
      </c>
      <c r="F1020" s="279"/>
      <c r="G1020" s="278">
        <v>106.82874223401259</v>
      </c>
      <c r="H1020" s="278">
        <v>117.17036463316062</v>
      </c>
      <c r="I1020" s="278">
        <v>23.566433718582285</v>
      </c>
      <c r="J1020" s="278">
        <f t="shared" si="437"/>
        <v>247.56554058575551</v>
      </c>
      <c r="K1020" s="279"/>
      <c r="L1020" s="278">
        <v>125.62045968922881</v>
      </c>
      <c r="M1020" s="278">
        <v>100.25518384809013</v>
      </c>
      <c r="N1020" s="278">
        <v>29.028596173072014</v>
      </c>
      <c r="O1020" s="278">
        <f t="shared" si="436"/>
        <v>254.90423971039093</v>
      </c>
    </row>
    <row r="1021" spans="1:15" s="212" customFormat="1">
      <c r="A1021" s="213"/>
      <c r="B1021" s="278"/>
      <c r="C1021" s="278"/>
      <c r="D1021" s="278"/>
      <c r="E1021" s="278"/>
      <c r="F1021" s="279"/>
      <c r="G1021" s="278"/>
      <c r="H1021" s="278"/>
      <c r="I1021" s="278"/>
      <c r="J1021" s="278"/>
      <c r="K1021" s="279"/>
      <c r="L1021" s="278"/>
      <c r="M1021" s="278"/>
      <c r="N1021" s="278"/>
      <c r="O1021" s="278"/>
    </row>
    <row r="1022" spans="1:15" s="212" customFormat="1">
      <c r="A1022" s="220" t="s">
        <v>119</v>
      </c>
      <c r="B1022" s="282">
        <f>SUM(B1012:B1020)</f>
        <v>545.5260000005967</v>
      </c>
      <c r="C1022" s="282">
        <f t="shared" ref="C1022:E1022" si="438">SUM(C1012:C1020)</f>
        <v>262.45900000366743</v>
      </c>
      <c r="D1022" s="282">
        <f t="shared" si="438"/>
        <v>108.88400000191365</v>
      </c>
      <c r="E1022" s="282">
        <f t="shared" si="438"/>
        <v>916.86900000617788</v>
      </c>
      <c r="F1022" s="282"/>
      <c r="G1022" s="282">
        <f t="shared" ref="G1022:J1022" si="439">SUM(G1012:G1020)</f>
        <v>496.72999999983529</v>
      </c>
      <c r="H1022" s="282">
        <f t="shared" si="439"/>
        <v>280.63100000067118</v>
      </c>
      <c r="I1022" s="282">
        <f t="shared" si="439"/>
        <v>97.185999999643698</v>
      </c>
      <c r="J1022" s="282">
        <f t="shared" si="439"/>
        <v>874.54700000015032</v>
      </c>
      <c r="K1022" s="282"/>
      <c r="L1022" s="282">
        <f t="shared" ref="L1022:O1022" si="440">SUM(L1012:L1020)</f>
        <v>573.09800000185214</v>
      </c>
      <c r="M1022" s="282">
        <f t="shared" si="440"/>
        <v>310.19300000245192</v>
      </c>
      <c r="N1022" s="282">
        <f t="shared" si="440"/>
        <v>110.3210000017054</v>
      </c>
      <c r="O1022" s="282">
        <f t="shared" si="440"/>
        <v>993.61200000600945</v>
      </c>
    </row>
    <row r="1023" spans="1:15" s="212" customFormat="1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3"/>
      <c r="M1023" s="213"/>
      <c r="N1023" s="216"/>
    </row>
    <row r="1024" spans="1:15" s="212" customFormat="1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13"/>
      <c r="M1024" s="213"/>
      <c r="N1024" s="216"/>
      <c r="O1024" s="227" t="s">
        <v>114</v>
      </c>
    </row>
    <row r="1025" spans="1:15" s="212" customFormat="1" ht="12.95">
      <c r="A1025" s="218"/>
      <c r="B1025" s="218"/>
      <c r="C1025" s="218"/>
      <c r="D1025" s="218"/>
      <c r="E1025" s="218"/>
      <c r="F1025" s="218"/>
      <c r="G1025" s="218"/>
      <c r="H1025" s="218"/>
      <c r="I1025" s="218"/>
      <c r="J1025" s="218"/>
      <c r="K1025" s="218"/>
      <c r="L1025" s="218"/>
      <c r="M1025" s="218"/>
      <c r="N1025" s="218"/>
      <c r="O1025" s="218"/>
    </row>
    <row r="1026" spans="1:15" s="212" customFormat="1" ht="12.95">
      <c r="A1026" s="217" t="str">
        <f>name!A63</f>
        <v>Travel, etc</v>
      </c>
      <c r="B1026" s="369">
        <f>$B$6</f>
        <v>2015</v>
      </c>
      <c r="C1026" s="369"/>
      <c r="D1026" s="369"/>
      <c r="E1026" s="369"/>
      <c r="F1026" s="239"/>
      <c r="G1026" s="369">
        <f>$G$6</f>
        <v>2020</v>
      </c>
      <c r="H1026" s="369"/>
      <c r="I1026" s="369"/>
      <c r="J1026" s="369"/>
      <c r="K1026" s="239"/>
      <c r="L1026" s="369">
        <f>$L$6</f>
        <v>2035</v>
      </c>
      <c r="M1026" s="369"/>
      <c r="N1026" s="369"/>
      <c r="O1026" s="369"/>
    </row>
    <row r="1027" spans="1:15" s="212" customFormat="1" ht="12.95">
      <c r="A1027" s="230"/>
      <c r="B1027" s="244" t="str">
        <f>$B$7</f>
        <v>FT</v>
      </c>
      <c r="C1027" s="244" t="str">
        <f>$C$7</f>
        <v>PT</v>
      </c>
      <c r="D1027" s="244" t="str">
        <f>$D$7</f>
        <v>SE</v>
      </c>
      <c r="E1027" s="244" t="str">
        <f>$E$7</f>
        <v>Total</v>
      </c>
      <c r="F1027" s="244"/>
      <c r="G1027" s="244" t="str">
        <f>$G$7</f>
        <v>FT</v>
      </c>
      <c r="H1027" s="244" t="str">
        <f>$H$7</f>
        <v>PT</v>
      </c>
      <c r="I1027" s="244" t="str">
        <f>$I$7</f>
        <v>SE</v>
      </c>
      <c r="J1027" s="244" t="str">
        <f>$J$7</f>
        <v>Total</v>
      </c>
      <c r="K1027" s="244"/>
      <c r="L1027" s="244" t="str">
        <f>$L$7</f>
        <v>FT</v>
      </c>
      <c r="M1027" s="244" t="str">
        <f>$M$7</f>
        <v>PT</v>
      </c>
      <c r="N1027" s="244" t="str">
        <f>$N$7</f>
        <v>SE</v>
      </c>
      <c r="O1027" s="244" t="str">
        <f>$O$7</f>
        <v>Total</v>
      </c>
    </row>
    <row r="1028" spans="1:15" s="212" customFormat="1" ht="12.95">
      <c r="A1028" s="234"/>
      <c r="B1028" s="215"/>
      <c r="C1028" s="215"/>
      <c r="D1028" s="215"/>
      <c r="E1028" s="215"/>
      <c r="F1028" s="215"/>
      <c r="G1028" s="215"/>
      <c r="H1028" s="215"/>
      <c r="I1028" s="215"/>
      <c r="J1028" s="215"/>
      <c r="K1028" s="215"/>
      <c r="L1028" s="215"/>
      <c r="M1028" s="215"/>
      <c r="N1028" s="215"/>
      <c r="O1028" s="215"/>
    </row>
    <row r="1029" spans="1:15" s="212" customFormat="1">
      <c r="A1029" s="213" t="str">
        <f>name!E$4</f>
        <v>Managers, directors and senior officials</v>
      </c>
      <c r="B1029" s="278">
        <v>6.2566247667135455</v>
      </c>
      <c r="C1029" s="278">
        <v>0.81194206032696326</v>
      </c>
      <c r="D1029" s="278">
        <v>1.7878964415407654</v>
      </c>
      <c r="E1029" s="278">
        <f>SUM(B1029:D1029)</f>
        <v>8.8564632685812743</v>
      </c>
      <c r="F1029" s="279"/>
      <c r="G1029" s="278">
        <v>7.2764199606605491</v>
      </c>
      <c r="H1029" s="278">
        <v>1.326979417820781</v>
      </c>
      <c r="I1029" s="278">
        <v>2.0160926507344308</v>
      </c>
      <c r="J1029" s="278">
        <f>SUM(G1029:I1029)</f>
        <v>10.61949202921576</v>
      </c>
      <c r="K1029" s="279"/>
      <c r="L1029" s="278">
        <v>7.6578707053039796</v>
      </c>
      <c r="M1029" s="278">
        <v>1.3812725818060168</v>
      </c>
      <c r="N1029" s="278">
        <v>2.3320418102542089</v>
      </c>
      <c r="O1029" s="278">
        <f>SUM(L1029:N1029)</f>
        <v>11.371185097364206</v>
      </c>
    </row>
    <row r="1030" spans="1:15" s="212" customFormat="1">
      <c r="A1030" s="213" t="str">
        <f>name!E$5</f>
        <v>Professional occupations</v>
      </c>
      <c r="B1030" s="278">
        <v>4.4937072676990892</v>
      </c>
      <c r="C1030" s="278">
        <v>0.52047460582790062</v>
      </c>
      <c r="D1030" s="278">
        <v>0.47732229646004348</v>
      </c>
      <c r="E1030" s="278">
        <f t="shared" ref="E1030:E1037" si="441">SUM(B1030:D1030)</f>
        <v>5.4915041699870333</v>
      </c>
      <c r="F1030" s="279"/>
      <c r="G1030" s="278">
        <v>5.8416231820716673</v>
      </c>
      <c r="H1030" s="278">
        <v>0.88879869034516579</v>
      </c>
      <c r="I1030" s="278">
        <v>0.50013221129061503</v>
      </c>
      <c r="J1030" s="278">
        <f t="shared" ref="J1030:J1032" si="442">SUM(G1030:I1030)</f>
        <v>7.2305540837074478</v>
      </c>
      <c r="K1030" s="279"/>
      <c r="L1030" s="278">
        <v>8.7825861305237467</v>
      </c>
      <c r="M1030" s="278">
        <v>1.214765875922089</v>
      </c>
      <c r="N1030" s="278">
        <v>0.43593210317741576</v>
      </c>
      <c r="O1030" s="278">
        <f t="shared" ref="O1030:O1037" si="443">SUM(L1030:N1030)</f>
        <v>10.433284109623251</v>
      </c>
    </row>
    <row r="1031" spans="1:15" s="212" customFormat="1">
      <c r="A1031" s="213" t="str">
        <f>name!E$6</f>
        <v>Associate professional occupations</v>
      </c>
      <c r="B1031" s="278">
        <v>3.9257460247822857</v>
      </c>
      <c r="C1031" s="278">
        <v>0.73272728577619706</v>
      </c>
      <c r="D1031" s="278">
        <v>0.58503075380676828</v>
      </c>
      <c r="E1031" s="278">
        <f t="shared" si="441"/>
        <v>5.2435040643652506</v>
      </c>
      <c r="F1031" s="279"/>
      <c r="G1031" s="278">
        <v>4.5887121431269673</v>
      </c>
      <c r="H1031" s="278">
        <v>1.0033552194918554</v>
      </c>
      <c r="I1031" s="278">
        <v>0.52987708976286463</v>
      </c>
      <c r="J1031" s="278">
        <f t="shared" si="442"/>
        <v>6.1219444523816868</v>
      </c>
      <c r="K1031" s="279"/>
      <c r="L1031" s="278">
        <v>5.4059853839865779</v>
      </c>
      <c r="M1031" s="278">
        <v>1.0452302766553769</v>
      </c>
      <c r="N1031" s="278">
        <v>0.58121101081504667</v>
      </c>
      <c r="O1031" s="278">
        <f t="shared" si="443"/>
        <v>7.0324266714570012</v>
      </c>
    </row>
    <row r="1032" spans="1:15" s="212" customFormat="1">
      <c r="A1032" s="213" t="str">
        <f>name!E$7</f>
        <v>Administrative and secretarial occupations</v>
      </c>
      <c r="B1032" s="278">
        <v>6.8363122977507924</v>
      </c>
      <c r="C1032" s="278">
        <v>2.62258571976002</v>
      </c>
      <c r="D1032" s="278">
        <v>0.58610527203806151</v>
      </c>
      <c r="E1032" s="278">
        <f t="shared" si="441"/>
        <v>10.045003289548873</v>
      </c>
      <c r="F1032" s="279"/>
      <c r="G1032" s="278">
        <v>7.2791227908967313</v>
      </c>
      <c r="H1032" s="278">
        <v>3.0490780815455376</v>
      </c>
      <c r="I1032" s="278">
        <v>0.55931289788443161</v>
      </c>
      <c r="J1032" s="278">
        <f t="shared" si="442"/>
        <v>10.8875137703267</v>
      </c>
      <c r="K1032" s="279"/>
      <c r="L1032" s="278">
        <v>9.0806090735125071</v>
      </c>
      <c r="M1032" s="278">
        <v>2.4629303142290691</v>
      </c>
      <c r="N1032" s="278">
        <v>0.65161826053267824</v>
      </c>
      <c r="O1032" s="278">
        <f t="shared" si="443"/>
        <v>12.195157648274256</v>
      </c>
    </row>
    <row r="1033" spans="1:15" s="212" customFormat="1">
      <c r="A1033" s="213" t="str">
        <f>name!E$8</f>
        <v>Skilled trades occupations</v>
      </c>
      <c r="B1033" s="278">
        <v>1.3517002111532324</v>
      </c>
      <c r="C1033" s="278">
        <v>0.66490999141638685</v>
      </c>
      <c r="D1033" s="278">
        <v>0.31717768935116714</v>
      </c>
      <c r="E1033" s="278">
        <f t="shared" si="441"/>
        <v>2.3337878919207866</v>
      </c>
      <c r="F1033" s="279"/>
      <c r="G1033" s="278">
        <v>1.1096860296718467</v>
      </c>
      <c r="H1033" s="278">
        <v>0.48094459136780565</v>
      </c>
      <c r="I1033" s="278">
        <v>0.29910713272313499</v>
      </c>
      <c r="J1033" s="278">
        <f>SUM(G1033:I1033)</f>
        <v>1.8897377537627873</v>
      </c>
      <c r="K1033" s="279"/>
      <c r="L1033" s="278">
        <v>1.2058986158146601</v>
      </c>
      <c r="M1033" s="278">
        <v>0.82191278469854023</v>
      </c>
      <c r="N1033" s="278">
        <v>0.50738649067199149</v>
      </c>
      <c r="O1033" s="278">
        <f t="shared" si="443"/>
        <v>2.5351978911851916</v>
      </c>
    </row>
    <row r="1034" spans="1:15" s="212" customFormat="1">
      <c r="A1034" s="213" t="str">
        <f>name!E$9</f>
        <v>Caring, leisure and other service occupations</v>
      </c>
      <c r="B1034" s="278">
        <v>5.1464795496327955</v>
      </c>
      <c r="C1034" s="278">
        <v>4.5009076094103566</v>
      </c>
      <c r="D1034" s="278">
        <v>5.1176161546122581</v>
      </c>
      <c r="E1034" s="278">
        <f t="shared" si="441"/>
        <v>14.765003313655409</v>
      </c>
      <c r="F1034" s="279"/>
      <c r="G1034" s="278">
        <v>4.9225716089579858</v>
      </c>
      <c r="H1034" s="278">
        <v>4.3509614294536396</v>
      </c>
      <c r="I1034" s="278">
        <v>5.1884369599260927</v>
      </c>
      <c r="J1034" s="278">
        <f t="shared" ref="J1034:J1037" si="444">SUM(G1034:I1034)</f>
        <v>14.461969998337718</v>
      </c>
      <c r="K1034" s="279"/>
      <c r="L1034" s="278">
        <v>4.0388438645547442</v>
      </c>
      <c r="M1034" s="278">
        <v>3.3408660691053074</v>
      </c>
      <c r="N1034" s="278">
        <v>5.7578511781117507</v>
      </c>
      <c r="O1034" s="278">
        <f t="shared" si="443"/>
        <v>13.137561111771802</v>
      </c>
    </row>
    <row r="1035" spans="1:15" s="212" customFormat="1">
      <c r="A1035" s="213" t="str">
        <f>name!E$10</f>
        <v>Sales and customer service occupations</v>
      </c>
      <c r="B1035" s="278">
        <v>3.0588065880750737</v>
      </c>
      <c r="C1035" s="278">
        <v>1.3962769375124708</v>
      </c>
      <c r="D1035" s="278">
        <v>0.57107964334325068</v>
      </c>
      <c r="E1035" s="278">
        <f t="shared" si="441"/>
        <v>5.0261631689307951</v>
      </c>
      <c r="F1035" s="279"/>
      <c r="G1035" s="278">
        <v>2.9916049612397742</v>
      </c>
      <c r="H1035" s="278">
        <v>1.4690858776166464</v>
      </c>
      <c r="I1035" s="278">
        <v>0.42203367793500435</v>
      </c>
      <c r="J1035" s="278">
        <f t="shared" si="444"/>
        <v>4.8827245167914244</v>
      </c>
      <c r="K1035" s="279"/>
      <c r="L1035" s="278">
        <v>3.4825786195380699</v>
      </c>
      <c r="M1035" s="278">
        <v>1.9236712595477488</v>
      </c>
      <c r="N1035" s="278">
        <v>0.40815353569131863</v>
      </c>
      <c r="O1035" s="278">
        <f t="shared" si="443"/>
        <v>5.8144034147771366</v>
      </c>
    </row>
    <row r="1036" spans="1:15" s="212" customFormat="1">
      <c r="A1036" s="213" t="str">
        <f>name!E$11</f>
        <v>Process, plant and machine operatives</v>
      </c>
      <c r="B1036" s="278">
        <v>12.653381188088542</v>
      </c>
      <c r="C1036" s="278">
        <v>3.221029814493972</v>
      </c>
      <c r="D1036" s="278">
        <v>0.50736376660792859</v>
      </c>
      <c r="E1036" s="278">
        <f t="shared" si="441"/>
        <v>16.381774769190443</v>
      </c>
      <c r="F1036" s="279"/>
      <c r="G1036" s="278">
        <v>11.107894068688914</v>
      </c>
      <c r="H1036" s="278">
        <v>3.6838553951000477</v>
      </c>
      <c r="I1036" s="278">
        <v>0.57073898935468381</v>
      </c>
      <c r="J1036" s="278">
        <f t="shared" si="444"/>
        <v>15.362488453143646</v>
      </c>
      <c r="K1036" s="279"/>
      <c r="L1036" s="278">
        <v>11.310804318218368</v>
      </c>
      <c r="M1036" s="278">
        <v>3.8320499678620243</v>
      </c>
      <c r="N1036" s="278">
        <v>0.68251190136985795</v>
      </c>
      <c r="O1036" s="278">
        <f t="shared" si="443"/>
        <v>15.825366187450252</v>
      </c>
    </row>
    <row r="1037" spans="1:15" s="212" customFormat="1">
      <c r="A1037" s="213" t="str">
        <f>name!E$12</f>
        <v>Elementary occupations</v>
      </c>
      <c r="B1037" s="278">
        <v>12.488242106448048</v>
      </c>
      <c r="C1037" s="278">
        <v>4.1581459757730634</v>
      </c>
      <c r="D1037" s="278">
        <v>0.3554079824394904</v>
      </c>
      <c r="E1037" s="278">
        <f t="shared" si="441"/>
        <v>17.001796064660603</v>
      </c>
      <c r="F1037" s="279"/>
      <c r="G1037" s="278">
        <v>9.7233652543498401</v>
      </c>
      <c r="H1037" s="278">
        <v>3.9039412973114511</v>
      </c>
      <c r="I1037" s="278">
        <v>0.23726839025455618</v>
      </c>
      <c r="J1037" s="278">
        <f t="shared" si="444"/>
        <v>13.864574941915848</v>
      </c>
      <c r="K1037" s="279"/>
      <c r="L1037" s="278">
        <v>11.590823288769704</v>
      </c>
      <c r="M1037" s="278">
        <v>6.3643008706202089</v>
      </c>
      <c r="N1037" s="278">
        <v>0.33229370946663561</v>
      </c>
      <c r="O1037" s="278">
        <f t="shared" si="443"/>
        <v>18.287417868856547</v>
      </c>
    </row>
    <row r="1038" spans="1:15" s="212" customFormat="1">
      <c r="A1038" s="213"/>
      <c r="B1038" s="278"/>
      <c r="C1038" s="278"/>
      <c r="D1038" s="278"/>
      <c r="E1038" s="278"/>
      <c r="F1038" s="279"/>
      <c r="G1038" s="278"/>
      <c r="H1038" s="278"/>
      <c r="I1038" s="278"/>
      <c r="J1038" s="278"/>
      <c r="K1038" s="279"/>
      <c r="L1038" s="278"/>
      <c r="M1038" s="278"/>
      <c r="N1038" s="278"/>
      <c r="O1038" s="278"/>
    </row>
    <row r="1039" spans="1:15" s="212" customFormat="1">
      <c r="A1039" s="220" t="s">
        <v>119</v>
      </c>
      <c r="B1039" s="282">
        <f>SUM(B1029:B1037)</f>
        <v>56.211000000343411</v>
      </c>
      <c r="C1039" s="282">
        <f t="shared" ref="C1039:E1039" si="445">SUM(C1029:C1037)</f>
        <v>18.629000000297331</v>
      </c>
      <c r="D1039" s="282">
        <f t="shared" si="445"/>
        <v>10.305000000199735</v>
      </c>
      <c r="E1039" s="282">
        <f t="shared" si="445"/>
        <v>85.145000000840469</v>
      </c>
      <c r="F1039" s="282"/>
      <c r="G1039" s="282">
        <f t="shared" ref="G1039:J1039" si="446">SUM(G1029:G1037)</f>
        <v>54.840999999664277</v>
      </c>
      <c r="H1039" s="282">
        <f t="shared" si="446"/>
        <v>20.157000000052928</v>
      </c>
      <c r="I1039" s="282">
        <f t="shared" si="446"/>
        <v>10.322999999865814</v>
      </c>
      <c r="J1039" s="282">
        <f t="shared" si="446"/>
        <v>85.320999999583023</v>
      </c>
      <c r="K1039" s="282"/>
      <c r="L1039" s="282">
        <f t="shared" ref="L1039:O1039" si="447">SUM(L1029:L1037)</f>
        <v>62.556000000222355</v>
      </c>
      <c r="M1039" s="282">
        <f t="shared" si="447"/>
        <v>22.387000000446381</v>
      </c>
      <c r="N1039" s="282">
        <f t="shared" si="447"/>
        <v>11.689000000090903</v>
      </c>
      <c r="O1039" s="282">
        <f t="shared" si="447"/>
        <v>96.632000000759646</v>
      </c>
    </row>
    <row r="1040" spans="1:15" s="212" customFormat="1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3"/>
      <c r="M1040" s="213"/>
      <c r="N1040" s="216"/>
    </row>
    <row r="1041" spans="1:15" s="212" customFormat="1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13"/>
      <c r="M1041" s="213"/>
      <c r="N1041" s="216"/>
      <c r="O1041" s="227" t="s">
        <v>114</v>
      </c>
    </row>
    <row r="1042" spans="1:15" s="212" customFormat="1" ht="12.95">
      <c r="A1042" s="218"/>
      <c r="B1042" s="218"/>
      <c r="C1042" s="218"/>
      <c r="D1042" s="218"/>
      <c r="E1042" s="218"/>
      <c r="F1042" s="218"/>
      <c r="G1042" s="218"/>
      <c r="H1042" s="218"/>
      <c r="I1042" s="218"/>
      <c r="J1042" s="218"/>
      <c r="K1042" s="218"/>
      <c r="L1042" s="218"/>
      <c r="M1042" s="218"/>
      <c r="N1042" s="218"/>
      <c r="O1042" s="218"/>
    </row>
    <row r="1043" spans="1:15" s="212" customFormat="1" ht="12.95">
      <c r="A1043" s="217" t="str">
        <f>name!A64</f>
        <v>Security, etc</v>
      </c>
      <c r="B1043" s="369">
        <f>$B$6</f>
        <v>2015</v>
      </c>
      <c r="C1043" s="369"/>
      <c r="D1043" s="369"/>
      <c r="E1043" s="369"/>
      <c r="F1043" s="239"/>
      <c r="G1043" s="369">
        <f>$G$6</f>
        <v>2020</v>
      </c>
      <c r="H1043" s="369"/>
      <c r="I1043" s="369"/>
      <c r="J1043" s="369"/>
      <c r="K1043" s="239"/>
      <c r="L1043" s="369">
        <f>$L$6</f>
        <v>2035</v>
      </c>
      <c r="M1043" s="369"/>
      <c r="N1043" s="369"/>
      <c r="O1043" s="369"/>
    </row>
    <row r="1044" spans="1:15" s="212" customFormat="1" ht="12.95">
      <c r="A1044" s="230"/>
      <c r="B1044" s="244" t="str">
        <f>$B$7</f>
        <v>FT</v>
      </c>
      <c r="C1044" s="244" t="str">
        <f>$C$7</f>
        <v>PT</v>
      </c>
      <c r="D1044" s="244" t="str">
        <f>$D$7</f>
        <v>SE</v>
      </c>
      <c r="E1044" s="244" t="str">
        <f>$E$7</f>
        <v>Total</v>
      </c>
      <c r="F1044" s="244"/>
      <c r="G1044" s="244" t="str">
        <f>$G$7</f>
        <v>FT</v>
      </c>
      <c r="H1044" s="244" t="str">
        <f>$H$7</f>
        <v>PT</v>
      </c>
      <c r="I1044" s="244" t="str">
        <f>$I$7</f>
        <v>SE</v>
      </c>
      <c r="J1044" s="244" t="str">
        <f>$J$7</f>
        <v>Total</v>
      </c>
      <c r="K1044" s="244"/>
      <c r="L1044" s="244" t="str">
        <f>$L$7</f>
        <v>FT</v>
      </c>
      <c r="M1044" s="244" t="str">
        <f>$M$7</f>
        <v>PT</v>
      </c>
      <c r="N1044" s="244" t="str">
        <f>$N$7</f>
        <v>SE</v>
      </c>
      <c r="O1044" s="244" t="str">
        <f>$O$7</f>
        <v>Total</v>
      </c>
    </row>
    <row r="1045" spans="1:15" s="212" customFormat="1" ht="12.95">
      <c r="A1045" s="234"/>
      <c r="B1045" s="215"/>
      <c r="C1045" s="215"/>
      <c r="D1045" s="215"/>
      <c r="E1045" s="215"/>
      <c r="F1045" s="215"/>
      <c r="G1045" s="215"/>
      <c r="H1045" s="215"/>
      <c r="I1045" s="215"/>
      <c r="J1045" s="215"/>
      <c r="K1045" s="215"/>
      <c r="L1045" s="215"/>
      <c r="M1045" s="215"/>
      <c r="N1045" s="215"/>
      <c r="O1045" s="215"/>
    </row>
    <row r="1046" spans="1:15" s="212" customFormat="1">
      <c r="A1046" s="213" t="str">
        <f>name!E$4</f>
        <v>Managers, directors and senior officials</v>
      </c>
      <c r="B1046" s="278">
        <v>13.488455524160621</v>
      </c>
      <c r="C1046" s="278">
        <v>1.7651163124418734</v>
      </c>
      <c r="D1046" s="278">
        <v>2.8251257798442655</v>
      </c>
      <c r="E1046" s="278">
        <f>SUM(B1046:D1046)</f>
        <v>18.07869761644676</v>
      </c>
      <c r="F1046" s="279"/>
      <c r="G1046" s="278">
        <v>15.074767820347967</v>
      </c>
      <c r="H1046" s="278">
        <v>2.3137674061966611</v>
      </c>
      <c r="I1046" s="278">
        <v>3.0918228334276936</v>
      </c>
      <c r="J1046" s="278">
        <f>SUM(G1046:I1046)</f>
        <v>20.480358059972325</v>
      </c>
      <c r="K1046" s="279"/>
      <c r="L1046" s="278">
        <v>15.554248767033918</v>
      </c>
      <c r="M1046" s="278">
        <v>2.4522279701567276</v>
      </c>
      <c r="N1046" s="278">
        <v>3.8953076338369867</v>
      </c>
      <c r="O1046" s="278">
        <f>SUM(L1046:N1046)</f>
        <v>21.901784371027631</v>
      </c>
    </row>
    <row r="1047" spans="1:15" s="212" customFormat="1">
      <c r="A1047" s="213" t="str">
        <f>name!E$5</f>
        <v>Professional occupations</v>
      </c>
      <c r="B1047" s="278">
        <v>16.806741680740181</v>
      </c>
      <c r="C1047" s="278">
        <v>1.931853548764072</v>
      </c>
      <c r="D1047" s="278">
        <v>2.179808999256359</v>
      </c>
      <c r="E1047" s="278">
        <f t="shared" ref="E1047:E1054" si="448">SUM(B1047:D1047)</f>
        <v>20.918404228760611</v>
      </c>
      <c r="F1047" s="279"/>
      <c r="G1047" s="278">
        <v>21.188488693785736</v>
      </c>
      <c r="H1047" s="278">
        <v>2.8009326438269313</v>
      </c>
      <c r="I1047" s="278">
        <v>2.1902030721218044</v>
      </c>
      <c r="J1047" s="278">
        <f t="shared" ref="J1047:J1049" si="449">SUM(G1047:I1047)</f>
        <v>26.179624409734473</v>
      </c>
      <c r="K1047" s="279"/>
      <c r="L1047" s="278">
        <v>28.917638838398322</v>
      </c>
      <c r="M1047" s="278">
        <v>4.3509144589246045</v>
      </c>
      <c r="N1047" s="278">
        <v>2.0052803772656413</v>
      </c>
      <c r="O1047" s="278">
        <f t="shared" ref="O1047:O1054" si="450">SUM(L1047:N1047)</f>
        <v>35.273833674588566</v>
      </c>
    </row>
    <row r="1048" spans="1:15" s="212" customFormat="1">
      <c r="A1048" s="213" t="str">
        <f>name!E$6</f>
        <v>Associate professional occupations</v>
      </c>
      <c r="B1048" s="278">
        <v>22.604057362131286</v>
      </c>
      <c r="C1048" s="278">
        <v>2.7186126880576165</v>
      </c>
      <c r="D1048" s="278">
        <v>5.0348176192499938</v>
      </c>
      <c r="E1048" s="278">
        <f t="shared" si="448"/>
        <v>30.357487669438896</v>
      </c>
      <c r="F1048" s="279"/>
      <c r="G1048" s="278">
        <v>25.540239465414501</v>
      </c>
      <c r="H1048" s="278">
        <v>3.1216263629687835</v>
      </c>
      <c r="I1048" s="278">
        <v>5.2246318254100332</v>
      </c>
      <c r="J1048" s="278">
        <f t="shared" si="449"/>
        <v>33.88649765379332</v>
      </c>
      <c r="K1048" s="279"/>
      <c r="L1048" s="278">
        <v>26.324891446372828</v>
      </c>
      <c r="M1048" s="278">
        <v>4.2380723856469178</v>
      </c>
      <c r="N1048" s="278">
        <v>5.3263208004550311</v>
      </c>
      <c r="O1048" s="278">
        <f t="shared" si="450"/>
        <v>35.889284632474777</v>
      </c>
    </row>
    <row r="1049" spans="1:15" s="212" customFormat="1">
      <c r="A1049" s="213" t="str">
        <f>name!E$7</f>
        <v>Administrative and secretarial occupations</v>
      </c>
      <c r="B1049" s="278">
        <v>12.096848312145614</v>
      </c>
      <c r="C1049" s="278">
        <v>3.8010203614458398</v>
      </c>
      <c r="D1049" s="278">
        <v>0.75661219641808586</v>
      </c>
      <c r="E1049" s="278">
        <f t="shared" si="448"/>
        <v>16.654480870009539</v>
      </c>
      <c r="F1049" s="279"/>
      <c r="G1049" s="278">
        <v>13.871149539302063</v>
      </c>
      <c r="H1049" s="278">
        <v>4.3118790188251195</v>
      </c>
      <c r="I1049" s="278">
        <v>0.77261601405026692</v>
      </c>
      <c r="J1049" s="278">
        <f t="shared" si="449"/>
        <v>18.955644572177452</v>
      </c>
      <c r="K1049" s="279"/>
      <c r="L1049" s="278">
        <v>16.808785386109371</v>
      </c>
      <c r="M1049" s="278">
        <v>4.8475808316468898</v>
      </c>
      <c r="N1049" s="278">
        <v>0.98280379743511459</v>
      </c>
      <c r="O1049" s="278">
        <f t="shared" si="450"/>
        <v>22.639170015191375</v>
      </c>
    </row>
    <row r="1050" spans="1:15" s="212" customFormat="1">
      <c r="A1050" s="213" t="str">
        <f>name!E$8</f>
        <v>Skilled trades occupations</v>
      </c>
      <c r="B1050" s="278">
        <v>3.8388429717774111</v>
      </c>
      <c r="C1050" s="278">
        <v>0.93338768643648318</v>
      </c>
      <c r="D1050" s="278">
        <v>2.0333612075172169</v>
      </c>
      <c r="E1050" s="278">
        <f t="shared" si="448"/>
        <v>6.8055918657311114</v>
      </c>
      <c r="F1050" s="279"/>
      <c r="G1050" s="278">
        <v>3.1875460394541246</v>
      </c>
      <c r="H1050" s="278">
        <v>0.63096502690925105</v>
      </c>
      <c r="I1050" s="278">
        <v>1.6317441884760793</v>
      </c>
      <c r="J1050" s="278">
        <f>SUM(G1050:I1050)</f>
        <v>5.4502552548394547</v>
      </c>
      <c r="K1050" s="279"/>
      <c r="L1050" s="278">
        <v>2.8810968593008046</v>
      </c>
      <c r="M1050" s="278">
        <v>1.1053778943744077</v>
      </c>
      <c r="N1050" s="278">
        <v>1.5547387477597572</v>
      </c>
      <c r="O1050" s="278">
        <f t="shared" si="450"/>
        <v>5.541213501434969</v>
      </c>
    </row>
    <row r="1051" spans="1:15" s="212" customFormat="1">
      <c r="A1051" s="213" t="str">
        <f>name!E$9</f>
        <v>Caring, leisure and other service occupations</v>
      </c>
      <c r="B1051" s="278">
        <v>4.5151056754924177</v>
      </c>
      <c r="C1051" s="278">
        <v>3.0695897139128472</v>
      </c>
      <c r="D1051" s="278">
        <v>1.117903849715393</v>
      </c>
      <c r="E1051" s="278">
        <f t="shared" si="448"/>
        <v>8.7025992391206586</v>
      </c>
      <c r="F1051" s="279"/>
      <c r="G1051" s="278">
        <v>5.017975695427066</v>
      </c>
      <c r="H1051" s="278">
        <v>3.3298853243390307</v>
      </c>
      <c r="I1051" s="278">
        <v>1.4296984309284952</v>
      </c>
      <c r="J1051" s="278">
        <f t="shared" ref="J1051:J1054" si="451">SUM(G1051:I1051)</f>
        <v>9.7775594506945911</v>
      </c>
      <c r="K1051" s="279"/>
      <c r="L1051" s="278">
        <v>5.8285267656879158</v>
      </c>
      <c r="M1051" s="278">
        <v>4.1661653047351761</v>
      </c>
      <c r="N1051" s="278">
        <v>1.9208027902903111</v>
      </c>
      <c r="O1051" s="278">
        <f t="shared" si="450"/>
        <v>11.915494860713403</v>
      </c>
    </row>
    <row r="1052" spans="1:15" s="212" customFormat="1">
      <c r="A1052" s="213" t="str">
        <f>name!E$10</f>
        <v>Sales and customer service occupations</v>
      </c>
      <c r="B1052" s="278">
        <v>8.3878808144690478</v>
      </c>
      <c r="C1052" s="278">
        <v>2.6251570176831245</v>
      </c>
      <c r="D1052" s="278">
        <v>0.74088065850333595</v>
      </c>
      <c r="E1052" s="278">
        <f t="shared" si="448"/>
        <v>11.753918490655508</v>
      </c>
      <c r="F1052" s="279"/>
      <c r="G1052" s="278">
        <v>8.9376290375931973</v>
      </c>
      <c r="H1052" s="278">
        <v>2.8262360246211484</v>
      </c>
      <c r="I1052" s="278">
        <v>0.68340238342734128</v>
      </c>
      <c r="J1052" s="278">
        <f t="shared" si="451"/>
        <v>12.447267445641687</v>
      </c>
      <c r="K1052" s="279"/>
      <c r="L1052" s="278">
        <v>10.58436837063271</v>
      </c>
      <c r="M1052" s="278">
        <v>4.0445829527331956</v>
      </c>
      <c r="N1052" s="278">
        <v>0.77650818715554171</v>
      </c>
      <c r="O1052" s="278">
        <f t="shared" si="450"/>
        <v>15.405459510521448</v>
      </c>
    </row>
    <row r="1053" spans="1:15" s="212" customFormat="1">
      <c r="A1053" s="213" t="str">
        <f>name!E$11</f>
        <v>Process, plant and machine operatives</v>
      </c>
      <c r="B1053" s="278">
        <v>4.2714669270213088</v>
      </c>
      <c r="C1053" s="278">
        <v>2.1329824783350029</v>
      </c>
      <c r="D1053" s="278">
        <v>0.3228138316617209</v>
      </c>
      <c r="E1053" s="278">
        <f t="shared" si="448"/>
        <v>6.7272632370180325</v>
      </c>
      <c r="F1053" s="279"/>
      <c r="G1053" s="278">
        <v>3.8456754215361859</v>
      </c>
      <c r="H1053" s="278">
        <v>2.2292549807457998</v>
      </c>
      <c r="I1053" s="278">
        <v>0.36311705943986955</v>
      </c>
      <c r="J1053" s="278">
        <f t="shared" si="451"/>
        <v>6.4380474617218555</v>
      </c>
      <c r="K1053" s="279"/>
      <c r="L1053" s="278">
        <v>3.4138654632683072</v>
      </c>
      <c r="M1053" s="278">
        <v>2.5446165596340018</v>
      </c>
      <c r="N1053" s="278">
        <v>0.43256402261724763</v>
      </c>
      <c r="O1053" s="278">
        <f t="shared" si="450"/>
        <v>6.3910460455195572</v>
      </c>
    </row>
    <row r="1054" spans="1:15" s="212" customFormat="1">
      <c r="A1054" s="213" t="str">
        <f>name!E$12</f>
        <v>Elementary occupations</v>
      </c>
      <c r="B1054" s="278">
        <v>31.488600732474531</v>
      </c>
      <c r="C1054" s="278">
        <v>19.978280193545796</v>
      </c>
      <c r="D1054" s="278">
        <v>4.951675858177401</v>
      </c>
      <c r="E1054" s="278">
        <f t="shared" si="448"/>
        <v>56.418556784197726</v>
      </c>
      <c r="F1054" s="279"/>
      <c r="G1054" s="278">
        <v>29.466528287116951</v>
      </c>
      <c r="H1054" s="278">
        <v>18.08845321170169</v>
      </c>
      <c r="I1054" s="278">
        <v>4.6077641928826614</v>
      </c>
      <c r="J1054" s="278">
        <f t="shared" si="451"/>
        <v>52.162745691701303</v>
      </c>
      <c r="K1054" s="279"/>
      <c r="L1054" s="278">
        <v>33.901578103442432</v>
      </c>
      <c r="M1054" s="278">
        <v>15.989461642591563</v>
      </c>
      <c r="N1054" s="278">
        <v>5.7006736436681527</v>
      </c>
      <c r="O1054" s="278">
        <f t="shared" si="450"/>
        <v>55.59171338970215</v>
      </c>
    </row>
    <row r="1055" spans="1:15" s="212" customFormat="1">
      <c r="A1055" s="213"/>
      <c r="B1055" s="278"/>
      <c r="C1055" s="278"/>
      <c r="D1055" s="278"/>
      <c r="E1055" s="278"/>
      <c r="F1055" s="279"/>
      <c r="G1055" s="278"/>
      <c r="H1055" s="278"/>
      <c r="I1055" s="278"/>
      <c r="J1055" s="278"/>
      <c r="K1055" s="279"/>
      <c r="L1055" s="278"/>
      <c r="M1055" s="278"/>
      <c r="N1055" s="278"/>
      <c r="O1055" s="278"/>
    </row>
    <row r="1056" spans="1:15" s="212" customFormat="1">
      <c r="A1056" s="220" t="s">
        <v>119</v>
      </c>
      <c r="B1056" s="282">
        <f>SUM(B1046:B1054)</f>
        <v>117.49800000041242</v>
      </c>
      <c r="C1056" s="282">
        <f t="shared" ref="C1056:E1056" si="452">SUM(C1046:C1054)</f>
        <v>38.956000000622652</v>
      </c>
      <c r="D1056" s="282">
        <f t="shared" si="452"/>
        <v>19.963000000343772</v>
      </c>
      <c r="E1056" s="282">
        <f t="shared" si="452"/>
        <v>176.41700000137885</v>
      </c>
      <c r="F1056" s="282"/>
      <c r="G1056" s="282">
        <f t="shared" ref="G1056:J1056" si="453">SUM(G1046:G1054)</f>
        <v>126.1299999999778</v>
      </c>
      <c r="H1056" s="282">
        <f t="shared" si="453"/>
        <v>39.653000000134419</v>
      </c>
      <c r="I1056" s="282">
        <f t="shared" si="453"/>
        <v>19.995000000164243</v>
      </c>
      <c r="J1056" s="282">
        <f t="shared" si="453"/>
        <v>185.77800000027645</v>
      </c>
      <c r="K1056" s="282"/>
      <c r="L1056" s="282">
        <f t="shared" ref="L1056:O1056" si="454">SUM(L1046:L1054)</f>
        <v>144.21500000024662</v>
      </c>
      <c r="M1056" s="282">
        <f t="shared" si="454"/>
        <v>43.739000000443482</v>
      </c>
      <c r="N1056" s="282">
        <f t="shared" si="454"/>
        <v>22.595000000483783</v>
      </c>
      <c r="O1056" s="282">
        <f t="shared" si="454"/>
        <v>210.54900000117385</v>
      </c>
    </row>
    <row r="1057" spans="1:15" s="212" customFormat="1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3"/>
      <c r="M1057" s="213"/>
      <c r="N1057" s="216"/>
    </row>
    <row r="1058" spans="1:15" s="212" customFormat="1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13"/>
      <c r="M1058" s="213"/>
      <c r="N1058" s="216"/>
      <c r="O1058" s="227" t="s">
        <v>114</v>
      </c>
    </row>
    <row r="1059" spans="1:15" s="212" customFormat="1" ht="12.95">
      <c r="A1059" s="218"/>
      <c r="B1059" s="218"/>
      <c r="C1059" s="218"/>
      <c r="D1059" s="218"/>
      <c r="E1059" s="218"/>
      <c r="F1059" s="218"/>
      <c r="G1059" s="218"/>
      <c r="H1059" s="218"/>
      <c r="I1059" s="218"/>
      <c r="J1059" s="218"/>
      <c r="K1059" s="218"/>
      <c r="L1059" s="218"/>
      <c r="M1059" s="218"/>
      <c r="N1059" s="218"/>
      <c r="O1059" s="218"/>
    </row>
    <row r="1060" spans="1:15" s="212" customFormat="1" ht="12.95">
      <c r="A1060" s="217" t="str">
        <f>name!A65</f>
        <v>Services to buildings</v>
      </c>
      <c r="B1060" s="369">
        <f>$B$6</f>
        <v>2015</v>
      </c>
      <c r="C1060" s="369"/>
      <c r="D1060" s="369"/>
      <c r="E1060" s="369"/>
      <c r="F1060" s="239"/>
      <c r="G1060" s="369">
        <f>$G$6</f>
        <v>2020</v>
      </c>
      <c r="H1060" s="369"/>
      <c r="I1060" s="369"/>
      <c r="J1060" s="369"/>
      <c r="K1060" s="239"/>
      <c r="L1060" s="369">
        <f>$L$6</f>
        <v>2035</v>
      </c>
      <c r="M1060" s="369"/>
      <c r="N1060" s="369"/>
      <c r="O1060" s="369"/>
    </row>
    <row r="1061" spans="1:15" s="212" customFormat="1" ht="12.95">
      <c r="A1061" s="230"/>
      <c r="B1061" s="244" t="str">
        <f>$B$7</f>
        <v>FT</v>
      </c>
      <c r="C1061" s="244" t="str">
        <f>$C$7</f>
        <v>PT</v>
      </c>
      <c r="D1061" s="244" t="str">
        <f>$D$7</f>
        <v>SE</v>
      </c>
      <c r="E1061" s="244" t="str">
        <f>$E$7</f>
        <v>Total</v>
      </c>
      <c r="F1061" s="244"/>
      <c r="G1061" s="244" t="str">
        <f>$G$7</f>
        <v>FT</v>
      </c>
      <c r="H1061" s="244" t="str">
        <f>$H$7</f>
        <v>PT</v>
      </c>
      <c r="I1061" s="244" t="str">
        <f>$I$7</f>
        <v>SE</v>
      </c>
      <c r="J1061" s="244" t="str">
        <f>$J$7</f>
        <v>Total</v>
      </c>
      <c r="K1061" s="244"/>
      <c r="L1061" s="244" t="str">
        <f>$L$7</f>
        <v>FT</v>
      </c>
      <c r="M1061" s="244" t="str">
        <f>$M$7</f>
        <v>PT</v>
      </c>
      <c r="N1061" s="244" t="str">
        <f>$N$7</f>
        <v>SE</v>
      </c>
      <c r="O1061" s="244" t="str">
        <f>$O$7</f>
        <v>Total</v>
      </c>
    </row>
    <row r="1062" spans="1:15" s="212" customFormat="1" ht="12.95">
      <c r="A1062" s="234"/>
      <c r="B1062" s="215"/>
      <c r="C1062" s="215"/>
      <c r="D1062" s="215"/>
      <c r="E1062" s="215"/>
      <c r="F1062" s="215"/>
      <c r="G1062" s="215"/>
      <c r="H1062" s="215"/>
      <c r="I1062" s="215"/>
      <c r="J1062" s="215"/>
      <c r="K1062" s="215"/>
      <c r="L1062" s="215"/>
      <c r="M1062" s="215"/>
      <c r="N1062" s="215"/>
      <c r="O1062" s="215"/>
    </row>
    <row r="1063" spans="1:15" s="212" customFormat="1">
      <c r="A1063" s="213" t="str">
        <f>name!E$4</f>
        <v>Managers, directors and senior officials</v>
      </c>
      <c r="B1063" s="278">
        <v>36.550591924485524</v>
      </c>
      <c r="C1063" s="278">
        <v>15.142917285253763</v>
      </c>
      <c r="D1063" s="278">
        <v>13.189294213992893</v>
      </c>
      <c r="E1063" s="278">
        <f>SUM(B1063:D1063)</f>
        <v>64.882803423732184</v>
      </c>
      <c r="F1063" s="279"/>
      <c r="G1063" s="278">
        <v>39.460772110038661</v>
      </c>
      <c r="H1063" s="278">
        <v>19.975505210024647</v>
      </c>
      <c r="I1063" s="278">
        <v>14.603292358150309</v>
      </c>
      <c r="J1063" s="278">
        <f>SUM(G1063:I1063)</f>
        <v>74.039569678213624</v>
      </c>
      <c r="K1063" s="279"/>
      <c r="L1063" s="278">
        <v>40.414731095729223</v>
      </c>
      <c r="M1063" s="278">
        <v>22.73602170178183</v>
      </c>
      <c r="N1063" s="278">
        <v>17.089330123593516</v>
      </c>
      <c r="O1063" s="278">
        <f>SUM(L1063:N1063)</f>
        <v>80.240082921104573</v>
      </c>
    </row>
    <row r="1064" spans="1:15" s="212" customFormat="1">
      <c r="A1064" s="213" t="str">
        <f>name!E$5</f>
        <v>Professional occupations</v>
      </c>
      <c r="B1064" s="278">
        <v>48.840744900032718</v>
      </c>
      <c r="C1064" s="278">
        <v>26.040503722330392</v>
      </c>
      <c r="D1064" s="278">
        <v>7.4479578265303639</v>
      </c>
      <c r="E1064" s="278">
        <f t="shared" ref="E1064:E1071" si="455">SUM(B1064:D1064)</f>
        <v>82.329206448893473</v>
      </c>
      <c r="F1064" s="279"/>
      <c r="G1064" s="278">
        <v>59.5159961024656</v>
      </c>
      <c r="H1064" s="278">
        <v>32.355247170267191</v>
      </c>
      <c r="I1064" s="278">
        <v>7.5481854114877835</v>
      </c>
      <c r="J1064" s="278">
        <f t="shared" ref="J1064:J1066" si="456">SUM(G1064:I1064)</f>
        <v>99.419428684220563</v>
      </c>
      <c r="K1064" s="279"/>
      <c r="L1064" s="278">
        <v>76.751046260992453</v>
      </c>
      <c r="M1064" s="278">
        <v>43.183593102977362</v>
      </c>
      <c r="N1064" s="278">
        <v>7.0191295638683142</v>
      </c>
      <c r="O1064" s="278">
        <f t="shared" ref="O1064:O1071" si="457">SUM(L1064:N1064)</f>
        <v>126.95376892783813</v>
      </c>
    </row>
    <row r="1065" spans="1:15" s="212" customFormat="1">
      <c r="A1065" s="213" t="str">
        <f>name!E$6</f>
        <v>Associate professional occupations</v>
      </c>
      <c r="B1065" s="278">
        <v>52.895813351122328</v>
      </c>
      <c r="C1065" s="278">
        <v>30.884445456888159</v>
      </c>
      <c r="D1065" s="278">
        <v>15.088359786714632</v>
      </c>
      <c r="E1065" s="278">
        <f t="shared" si="455"/>
        <v>98.86861859472512</v>
      </c>
      <c r="F1065" s="279"/>
      <c r="G1065" s="278">
        <v>59.732830703408062</v>
      </c>
      <c r="H1065" s="278">
        <v>34.04795067921674</v>
      </c>
      <c r="I1065" s="278">
        <v>14.378042272896099</v>
      </c>
      <c r="J1065" s="278">
        <f t="shared" si="456"/>
        <v>108.15882365552091</v>
      </c>
      <c r="K1065" s="279"/>
      <c r="L1065" s="278">
        <v>69.431574611622281</v>
      </c>
      <c r="M1065" s="278">
        <v>45.999746531185252</v>
      </c>
      <c r="N1065" s="278">
        <v>14.468113041465061</v>
      </c>
      <c r="O1065" s="278">
        <f t="shared" si="457"/>
        <v>129.89943418427259</v>
      </c>
    </row>
    <row r="1066" spans="1:15" s="212" customFormat="1">
      <c r="A1066" s="213" t="str">
        <f>name!E$7</f>
        <v>Administrative and secretarial occupations</v>
      </c>
      <c r="B1066" s="278">
        <v>46.741967655087358</v>
      </c>
      <c r="C1066" s="278">
        <v>60.553434048441019</v>
      </c>
      <c r="D1066" s="278">
        <v>4.922286769887025</v>
      </c>
      <c r="E1066" s="278">
        <f t="shared" si="455"/>
        <v>112.21768847341539</v>
      </c>
      <c r="F1066" s="279"/>
      <c r="G1066" s="278">
        <v>45.923045800279574</v>
      </c>
      <c r="H1066" s="278">
        <v>57.777474170962492</v>
      </c>
      <c r="I1066" s="278">
        <v>4.7443278406741012</v>
      </c>
      <c r="J1066" s="278">
        <f t="shared" si="456"/>
        <v>108.44484781191618</v>
      </c>
      <c r="K1066" s="279"/>
      <c r="L1066" s="278">
        <v>47.551192084255412</v>
      </c>
      <c r="M1066" s="278">
        <v>67.53435743582034</v>
      </c>
      <c r="N1066" s="278">
        <v>5.6107832451796167</v>
      </c>
      <c r="O1066" s="278">
        <f t="shared" si="457"/>
        <v>120.69633276525536</v>
      </c>
    </row>
    <row r="1067" spans="1:15" s="212" customFormat="1">
      <c r="A1067" s="213" t="str">
        <f>name!E$8</f>
        <v>Skilled trades occupations</v>
      </c>
      <c r="B1067" s="278">
        <v>8.6819458195607435</v>
      </c>
      <c r="C1067" s="278">
        <v>5.3078100932157524</v>
      </c>
      <c r="D1067" s="278">
        <v>7.3507066594836514</v>
      </c>
      <c r="E1067" s="278">
        <f t="shared" si="455"/>
        <v>21.340462572260147</v>
      </c>
      <c r="F1067" s="279"/>
      <c r="G1067" s="278">
        <v>7.0378060180954654</v>
      </c>
      <c r="H1067" s="278">
        <v>4.090559862419842</v>
      </c>
      <c r="I1067" s="278">
        <v>6.291245722130542</v>
      </c>
      <c r="J1067" s="278">
        <f>SUM(G1067:I1067)</f>
        <v>17.419611602645851</v>
      </c>
      <c r="K1067" s="279"/>
      <c r="L1067" s="278">
        <v>6.9364898540280402</v>
      </c>
      <c r="M1067" s="278">
        <v>7.6786608437726773</v>
      </c>
      <c r="N1067" s="278">
        <v>8.6175623513828778</v>
      </c>
      <c r="O1067" s="278">
        <f t="shared" si="457"/>
        <v>23.232713049183594</v>
      </c>
    </row>
    <row r="1068" spans="1:15" s="212" customFormat="1">
      <c r="A1068" s="213" t="str">
        <f>name!E$9</f>
        <v>Caring, leisure and other service occupations</v>
      </c>
      <c r="B1068" s="278">
        <v>24.02167555882583</v>
      </c>
      <c r="C1068" s="278">
        <v>38.108286871220088</v>
      </c>
      <c r="D1068" s="278">
        <v>5.3363984521354162</v>
      </c>
      <c r="E1068" s="278">
        <f t="shared" si="455"/>
        <v>67.466360882181334</v>
      </c>
      <c r="F1068" s="279"/>
      <c r="G1068" s="278">
        <v>24.44953093457816</v>
      </c>
      <c r="H1068" s="278">
        <v>35.852338598179003</v>
      </c>
      <c r="I1068" s="278">
        <v>6.1498729796485669</v>
      </c>
      <c r="J1068" s="278">
        <f t="shared" ref="J1068:J1071" si="458">SUM(G1068:I1068)</f>
        <v>66.45174251240573</v>
      </c>
      <c r="K1068" s="279"/>
      <c r="L1068" s="278">
        <v>31.902816440783578</v>
      </c>
      <c r="M1068" s="278">
        <v>37.117754558169587</v>
      </c>
      <c r="N1068" s="278">
        <v>7.4282473964499509</v>
      </c>
      <c r="O1068" s="278">
        <f t="shared" si="457"/>
        <v>76.448818395403109</v>
      </c>
    </row>
    <row r="1069" spans="1:15" s="212" customFormat="1">
      <c r="A1069" s="213" t="str">
        <f>name!E$10</f>
        <v>Sales and customer service occupations</v>
      </c>
      <c r="B1069" s="278">
        <v>24.734935084560007</v>
      </c>
      <c r="C1069" s="278">
        <v>24.023983877435036</v>
      </c>
      <c r="D1069" s="278">
        <v>3.7881785735398057</v>
      </c>
      <c r="E1069" s="278">
        <f t="shared" si="455"/>
        <v>52.547097535534846</v>
      </c>
      <c r="F1069" s="279"/>
      <c r="G1069" s="278">
        <v>23.562856186062838</v>
      </c>
      <c r="H1069" s="278">
        <v>24.361942060426774</v>
      </c>
      <c r="I1069" s="278">
        <v>2.9205692104968062</v>
      </c>
      <c r="J1069" s="278">
        <f t="shared" si="458"/>
        <v>50.845367456986423</v>
      </c>
      <c r="K1069" s="279"/>
      <c r="L1069" s="278">
        <v>26.472358709235365</v>
      </c>
      <c r="M1069" s="278">
        <v>37.059537930993351</v>
      </c>
      <c r="N1069" s="278">
        <v>2.7690041572869144</v>
      </c>
      <c r="O1069" s="278">
        <f t="shared" si="457"/>
        <v>66.300900797515624</v>
      </c>
    </row>
    <row r="1070" spans="1:15" s="212" customFormat="1">
      <c r="A1070" s="213" t="str">
        <f>name!E$11</f>
        <v>Process, plant and machine operatives</v>
      </c>
      <c r="B1070" s="278">
        <v>8.5819938028063767</v>
      </c>
      <c r="C1070" s="278">
        <v>7.1940520423320118</v>
      </c>
      <c r="D1070" s="278">
        <v>0.83190832847801266</v>
      </c>
      <c r="E1070" s="278">
        <f t="shared" si="455"/>
        <v>16.607954173616399</v>
      </c>
      <c r="F1070" s="279"/>
      <c r="G1070" s="278">
        <v>7.0070615897969866</v>
      </c>
      <c r="H1070" s="278">
        <v>6.7219365099825188</v>
      </c>
      <c r="I1070" s="278">
        <v>0.87998641304102487</v>
      </c>
      <c r="J1070" s="278">
        <f t="shared" si="458"/>
        <v>14.60898451282053</v>
      </c>
      <c r="K1070" s="279"/>
      <c r="L1070" s="278">
        <v>7.0066392911775317</v>
      </c>
      <c r="M1070" s="278">
        <v>8.6561278691885786</v>
      </c>
      <c r="N1070" s="278">
        <v>1.2048305665088519</v>
      </c>
      <c r="O1070" s="278">
        <f t="shared" si="457"/>
        <v>16.867597726874962</v>
      </c>
    </row>
    <row r="1071" spans="1:15" s="212" customFormat="1">
      <c r="A1071" s="213" t="str">
        <f>name!E$12</f>
        <v>Elementary occupations</v>
      </c>
      <c r="B1071" s="278">
        <v>57.522331903702558</v>
      </c>
      <c r="C1071" s="278">
        <v>148.92456660762392</v>
      </c>
      <c r="D1071" s="278">
        <v>20.316909390399147</v>
      </c>
      <c r="E1071" s="278">
        <f t="shared" si="455"/>
        <v>226.76380790172561</v>
      </c>
      <c r="F1071" s="279"/>
      <c r="G1071" s="278">
        <v>50.180100554595604</v>
      </c>
      <c r="H1071" s="278">
        <v>120.81404573994628</v>
      </c>
      <c r="I1071" s="278">
        <v>16.690477791051617</v>
      </c>
      <c r="J1071" s="278">
        <f t="shared" si="458"/>
        <v>187.6846240855935</v>
      </c>
      <c r="K1071" s="279"/>
      <c r="L1071" s="278">
        <v>61.985151653535048</v>
      </c>
      <c r="M1071" s="278">
        <v>95.359200029385619</v>
      </c>
      <c r="N1071" s="278">
        <v>20.193999554995397</v>
      </c>
      <c r="O1071" s="278">
        <f t="shared" si="457"/>
        <v>177.53835123791606</v>
      </c>
    </row>
    <row r="1072" spans="1:15" s="212" customFormat="1">
      <c r="A1072" s="213"/>
      <c r="B1072" s="278"/>
      <c r="C1072" s="278"/>
      <c r="D1072" s="278"/>
      <c r="E1072" s="278"/>
      <c r="F1072" s="279"/>
      <c r="G1072" s="278"/>
      <c r="H1072" s="278"/>
      <c r="I1072" s="278"/>
      <c r="J1072" s="278"/>
      <c r="K1072" s="279"/>
      <c r="L1072" s="278"/>
      <c r="M1072" s="278"/>
      <c r="N1072" s="278"/>
      <c r="O1072" s="278"/>
    </row>
    <row r="1073" spans="1:15" s="212" customFormat="1">
      <c r="A1073" s="220" t="s">
        <v>119</v>
      </c>
      <c r="B1073" s="282">
        <f>SUM(B1063:B1071)</f>
        <v>308.57200000018344</v>
      </c>
      <c r="C1073" s="282">
        <f t="shared" ref="C1073:E1073" si="459">SUM(C1063:C1071)</f>
        <v>356.18000000474012</v>
      </c>
      <c r="D1073" s="282">
        <f t="shared" si="459"/>
        <v>78.272000001160947</v>
      </c>
      <c r="E1073" s="282">
        <f t="shared" si="459"/>
        <v>743.02400000608452</v>
      </c>
      <c r="F1073" s="282"/>
      <c r="G1073" s="282">
        <f t="shared" ref="G1073:J1073" si="460">SUM(G1063:G1071)</f>
        <v>316.8699999993209</v>
      </c>
      <c r="H1073" s="282">
        <f t="shared" si="460"/>
        <v>335.99700000142548</v>
      </c>
      <c r="I1073" s="282">
        <f t="shared" si="460"/>
        <v>74.205999999576846</v>
      </c>
      <c r="J1073" s="282">
        <f t="shared" si="460"/>
        <v>727.07300000032319</v>
      </c>
      <c r="K1073" s="282"/>
      <c r="L1073" s="282">
        <f t="shared" ref="L1073:O1073" si="461">SUM(L1063:L1071)</f>
        <v>368.45200000135895</v>
      </c>
      <c r="M1073" s="282">
        <f t="shared" si="461"/>
        <v>365.32500000327468</v>
      </c>
      <c r="N1073" s="282">
        <f t="shared" si="461"/>
        <v>84.401000000730505</v>
      </c>
      <c r="O1073" s="282">
        <f t="shared" si="461"/>
        <v>818.17800000536386</v>
      </c>
    </row>
    <row r="1074" spans="1:15" s="212" customFormat="1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3"/>
      <c r="M1074" s="213"/>
      <c r="N1074" s="216"/>
    </row>
    <row r="1075" spans="1:15" s="212" customFormat="1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13"/>
      <c r="M1075" s="213"/>
      <c r="N1075" s="216"/>
      <c r="O1075" s="227" t="s">
        <v>114</v>
      </c>
    </row>
    <row r="1076" spans="1:15" s="212" customFormat="1" ht="12.95">
      <c r="A1076" s="218"/>
      <c r="B1076" s="218"/>
      <c r="C1076" s="218"/>
      <c r="D1076" s="218"/>
      <c r="E1076" s="218"/>
      <c r="F1076" s="218"/>
      <c r="G1076" s="218"/>
      <c r="H1076" s="218"/>
      <c r="I1076" s="218"/>
      <c r="J1076" s="218"/>
      <c r="K1076" s="218"/>
      <c r="L1076" s="218"/>
      <c r="M1076" s="218"/>
      <c r="N1076" s="218"/>
      <c r="O1076" s="218"/>
    </row>
    <row r="1077" spans="1:15" s="212" customFormat="1" ht="12.95">
      <c r="A1077" s="217" t="str">
        <f>name!A66</f>
        <v>Office administrative</v>
      </c>
      <c r="B1077" s="369">
        <f>$B$6</f>
        <v>2015</v>
      </c>
      <c r="C1077" s="369"/>
      <c r="D1077" s="369"/>
      <c r="E1077" s="369"/>
      <c r="F1077" s="239"/>
      <c r="G1077" s="369">
        <f>$G$6</f>
        <v>2020</v>
      </c>
      <c r="H1077" s="369"/>
      <c r="I1077" s="369"/>
      <c r="J1077" s="369"/>
      <c r="K1077" s="239"/>
      <c r="L1077" s="369">
        <f>$L$6</f>
        <v>2035</v>
      </c>
      <c r="M1077" s="369"/>
      <c r="N1077" s="369"/>
      <c r="O1077" s="369"/>
    </row>
    <row r="1078" spans="1:15" s="212" customFormat="1" ht="12.95">
      <c r="A1078" s="230"/>
      <c r="B1078" s="244" t="str">
        <f>$B$7</f>
        <v>FT</v>
      </c>
      <c r="C1078" s="244" t="str">
        <f>$C$7</f>
        <v>PT</v>
      </c>
      <c r="D1078" s="244" t="str">
        <f>$D$7</f>
        <v>SE</v>
      </c>
      <c r="E1078" s="244" t="str">
        <f>$E$7</f>
        <v>Total</v>
      </c>
      <c r="F1078" s="244"/>
      <c r="G1078" s="244" t="str">
        <f>$G$7</f>
        <v>FT</v>
      </c>
      <c r="H1078" s="244" t="str">
        <f>$H$7</f>
        <v>PT</v>
      </c>
      <c r="I1078" s="244" t="str">
        <f>$I$7</f>
        <v>SE</v>
      </c>
      <c r="J1078" s="244" t="str">
        <f>$J$7</f>
        <v>Total</v>
      </c>
      <c r="K1078" s="244"/>
      <c r="L1078" s="244" t="str">
        <f>$L$7</f>
        <v>FT</v>
      </c>
      <c r="M1078" s="244" t="str">
        <f>$M$7</f>
        <v>PT</v>
      </c>
      <c r="N1078" s="244" t="str">
        <f>$N$7</f>
        <v>SE</v>
      </c>
      <c r="O1078" s="244" t="str">
        <f>$O$7</f>
        <v>Total</v>
      </c>
    </row>
    <row r="1079" spans="1:15" s="212" customFormat="1" ht="12.95">
      <c r="A1079" s="234"/>
      <c r="B1079" s="215"/>
      <c r="C1079" s="215"/>
      <c r="D1079" s="215"/>
      <c r="E1079" s="215"/>
      <c r="F1079" s="215"/>
      <c r="G1079" s="215"/>
      <c r="H1079" s="215"/>
      <c r="I1079" s="215"/>
      <c r="J1079" s="215"/>
      <c r="K1079" s="215"/>
      <c r="L1079" s="215"/>
      <c r="M1079" s="215"/>
      <c r="N1079" s="215"/>
      <c r="O1079" s="215"/>
    </row>
    <row r="1080" spans="1:15" s="212" customFormat="1">
      <c r="A1080" s="213" t="str">
        <f>name!E$4</f>
        <v>Managers, directors and senior officials</v>
      </c>
      <c r="B1080" s="278">
        <v>31.74115947032546</v>
      </c>
      <c r="C1080" s="278">
        <v>3.3783586594821551</v>
      </c>
      <c r="D1080" s="278">
        <v>5.6556747438937016</v>
      </c>
      <c r="E1080" s="278">
        <f>SUM(B1080:D1080)</f>
        <v>40.775192873701315</v>
      </c>
      <c r="F1080" s="279"/>
      <c r="G1080" s="278">
        <v>39.03649135603645</v>
      </c>
      <c r="H1080" s="278">
        <v>5.7121209971934146</v>
      </c>
      <c r="I1080" s="278">
        <v>6.3340919544459977</v>
      </c>
      <c r="J1080" s="278">
        <f>SUM(G1080:I1080)</f>
        <v>51.082704307675861</v>
      </c>
      <c r="K1080" s="279"/>
      <c r="L1080" s="278">
        <v>40.334702560012488</v>
      </c>
      <c r="M1080" s="278">
        <v>6.2335489960670083</v>
      </c>
      <c r="N1080" s="278">
        <v>7.5359804914072281</v>
      </c>
      <c r="O1080" s="278">
        <f>SUM(L1080:N1080)</f>
        <v>54.104232047486725</v>
      </c>
    </row>
    <row r="1081" spans="1:15" s="212" customFormat="1">
      <c r="A1081" s="213" t="str">
        <f>name!E$5</f>
        <v>Professional occupations</v>
      </c>
      <c r="B1081" s="278">
        <v>38.590398493897261</v>
      </c>
      <c r="C1081" s="278">
        <v>3.9458215511318642</v>
      </c>
      <c r="D1081" s="278">
        <v>4.5784160988010534</v>
      </c>
      <c r="E1081" s="278">
        <f t="shared" ref="E1081:E1088" si="462">SUM(B1081:D1081)</f>
        <v>47.114636143830182</v>
      </c>
      <c r="F1081" s="279"/>
      <c r="G1081" s="278">
        <v>54.62782089003074</v>
      </c>
      <c r="H1081" s="278">
        <v>7.5550650339239089</v>
      </c>
      <c r="I1081" s="278">
        <v>4.8782479200008151</v>
      </c>
      <c r="J1081" s="278">
        <f t="shared" ref="J1081:J1083" si="463">SUM(G1081:I1081)</f>
        <v>67.06113384395546</v>
      </c>
      <c r="K1081" s="279"/>
      <c r="L1081" s="278">
        <v>74.348307754766168</v>
      </c>
      <c r="M1081" s="278">
        <v>11.418262070884124</v>
      </c>
      <c r="N1081" s="278">
        <v>4.8192041535471866</v>
      </c>
      <c r="O1081" s="278">
        <f t="shared" ref="O1081:O1088" si="464">SUM(L1081:N1081)</f>
        <v>90.585773979197484</v>
      </c>
    </row>
    <row r="1082" spans="1:15" s="212" customFormat="1">
      <c r="A1082" s="213" t="str">
        <f>name!E$6</f>
        <v>Associate professional occupations</v>
      </c>
      <c r="B1082" s="278">
        <v>51.933349701482811</v>
      </c>
      <c r="C1082" s="278">
        <v>5.4939135967045729</v>
      </c>
      <c r="D1082" s="278">
        <v>12.210083975626487</v>
      </c>
      <c r="E1082" s="278">
        <f t="shared" si="462"/>
        <v>69.637347273813873</v>
      </c>
      <c r="F1082" s="279"/>
      <c r="G1082" s="278">
        <v>65.737614306794669</v>
      </c>
      <c r="H1082" s="278">
        <v>8.1561876538805862</v>
      </c>
      <c r="I1082" s="278">
        <v>13.31612694491897</v>
      </c>
      <c r="J1082" s="278">
        <f t="shared" si="463"/>
        <v>87.209928905594239</v>
      </c>
      <c r="K1082" s="279"/>
      <c r="L1082" s="278">
        <v>67.939548891957742</v>
      </c>
      <c r="M1082" s="278">
        <v>11.049584473588741</v>
      </c>
      <c r="N1082" s="278">
        <v>13.768412972953767</v>
      </c>
      <c r="O1082" s="278">
        <f t="shared" si="464"/>
        <v>92.757546338500248</v>
      </c>
    </row>
    <row r="1083" spans="1:15" s="212" customFormat="1">
      <c r="A1083" s="213" t="str">
        <f>name!E$7</f>
        <v>Administrative and secretarial occupations</v>
      </c>
      <c r="B1083" s="278">
        <v>32.540138667868831</v>
      </c>
      <c r="C1083" s="278">
        <v>9.1512783536805262</v>
      </c>
      <c r="D1083" s="278">
        <v>2.6742404398628872</v>
      </c>
      <c r="E1083" s="278">
        <f t="shared" si="462"/>
        <v>44.365657461412241</v>
      </c>
      <c r="F1083" s="279"/>
      <c r="G1083" s="278">
        <v>36.235810590051109</v>
      </c>
      <c r="H1083" s="278">
        <v>10.732408918235862</v>
      </c>
      <c r="I1083" s="278">
        <v>2.7742172616405329</v>
      </c>
      <c r="J1083" s="278">
        <f t="shared" si="463"/>
        <v>49.742436769927501</v>
      </c>
      <c r="K1083" s="279"/>
      <c r="L1083" s="278">
        <v>43.97117527112561</v>
      </c>
      <c r="M1083" s="278">
        <v>12.254375481708966</v>
      </c>
      <c r="N1083" s="278">
        <v>3.15621628606816</v>
      </c>
      <c r="O1083" s="278">
        <f t="shared" si="464"/>
        <v>59.381767038902737</v>
      </c>
    </row>
    <row r="1084" spans="1:15" s="212" customFormat="1">
      <c r="A1084" s="213" t="str">
        <f>name!E$8</f>
        <v>Skilled trades occupations</v>
      </c>
      <c r="B1084" s="278">
        <v>10.062832777305404</v>
      </c>
      <c r="C1084" s="278">
        <v>1.8282263613220595</v>
      </c>
      <c r="D1084" s="278">
        <v>3.768987895512049</v>
      </c>
      <c r="E1084" s="278">
        <f t="shared" si="462"/>
        <v>15.660047034139513</v>
      </c>
      <c r="F1084" s="279"/>
      <c r="G1084" s="278">
        <v>8.2788026667093195</v>
      </c>
      <c r="H1084" s="278">
        <v>1.4287758397517636</v>
      </c>
      <c r="I1084" s="278">
        <v>3.0054277250472996</v>
      </c>
      <c r="J1084" s="278">
        <f>SUM(G1084:I1084)</f>
        <v>12.713006231508382</v>
      </c>
      <c r="K1084" s="279"/>
      <c r="L1084" s="278">
        <v>7.5309979295371763</v>
      </c>
      <c r="M1084" s="278">
        <v>2.5317666331547724</v>
      </c>
      <c r="N1084" s="278">
        <v>3.1249165488513229</v>
      </c>
      <c r="O1084" s="278">
        <f t="shared" si="464"/>
        <v>13.187681111543272</v>
      </c>
    </row>
    <row r="1085" spans="1:15" s="212" customFormat="1">
      <c r="A1085" s="213" t="str">
        <f>name!E$9</f>
        <v>Caring, leisure and other service occupations</v>
      </c>
      <c r="B1085" s="278">
        <v>12.386126313249914</v>
      </c>
      <c r="C1085" s="278">
        <v>6.9260913410072193</v>
      </c>
      <c r="D1085" s="278">
        <v>4.1404715252173814</v>
      </c>
      <c r="E1085" s="278">
        <f t="shared" si="462"/>
        <v>23.452689179474515</v>
      </c>
      <c r="F1085" s="279"/>
      <c r="G1085" s="278">
        <v>13.247953822031183</v>
      </c>
      <c r="H1085" s="278">
        <v>8.2800044173707477</v>
      </c>
      <c r="I1085" s="278">
        <v>5.2678035576940383</v>
      </c>
      <c r="J1085" s="278">
        <f t="shared" ref="J1085:J1088" si="465">SUM(G1085:I1085)</f>
        <v>26.79576179709597</v>
      </c>
      <c r="K1085" s="279"/>
      <c r="L1085" s="278">
        <v>15.392082696773061</v>
      </c>
      <c r="M1085" s="278">
        <v>10.130339105260443</v>
      </c>
      <c r="N1085" s="278">
        <v>6.7225598972877458</v>
      </c>
      <c r="O1085" s="278">
        <f t="shared" si="464"/>
        <v>32.244981699321251</v>
      </c>
    </row>
    <row r="1086" spans="1:15" s="212" customFormat="1">
      <c r="A1086" s="213" t="str">
        <f>name!E$10</f>
        <v>Sales and customer service occupations</v>
      </c>
      <c r="B1086" s="278">
        <v>21.973514718231637</v>
      </c>
      <c r="C1086" s="278">
        <v>5.846736612477188</v>
      </c>
      <c r="D1086" s="278">
        <v>1.7094278269671455</v>
      </c>
      <c r="E1086" s="278">
        <f t="shared" si="462"/>
        <v>29.529679157675972</v>
      </c>
      <c r="F1086" s="279"/>
      <c r="G1086" s="278">
        <v>23.547061371681206</v>
      </c>
      <c r="H1086" s="278">
        <v>6.6446754983564169</v>
      </c>
      <c r="I1086" s="278">
        <v>1.4138005322475073</v>
      </c>
      <c r="J1086" s="278">
        <f t="shared" si="465"/>
        <v>31.60553740228513</v>
      </c>
      <c r="K1086" s="279"/>
      <c r="L1086" s="278">
        <v>27.809738854367183</v>
      </c>
      <c r="M1086" s="278">
        <v>9.7721678324906396</v>
      </c>
      <c r="N1086" s="278">
        <v>1.4193465097526714</v>
      </c>
      <c r="O1086" s="278">
        <f t="shared" si="464"/>
        <v>39.001253196610492</v>
      </c>
    </row>
    <row r="1087" spans="1:15" s="212" customFormat="1">
      <c r="A1087" s="213" t="str">
        <f>name!E$11</f>
        <v>Process, plant and machine operatives</v>
      </c>
      <c r="B1087" s="278">
        <v>12.877817673351732</v>
      </c>
      <c r="C1087" s="278">
        <v>4.0723850664825481</v>
      </c>
      <c r="D1087" s="278">
        <v>0.67410535155209572</v>
      </c>
      <c r="E1087" s="278">
        <f t="shared" si="462"/>
        <v>17.624308091386379</v>
      </c>
      <c r="F1087" s="279"/>
      <c r="G1087" s="278">
        <v>10.336085260354309</v>
      </c>
      <c r="H1087" s="278">
        <v>4.8193500229454083</v>
      </c>
      <c r="I1087" s="278">
        <v>0.73583668728141005</v>
      </c>
      <c r="J1087" s="278">
        <f t="shared" si="465"/>
        <v>15.891271970581126</v>
      </c>
      <c r="K1087" s="279"/>
      <c r="L1087" s="278">
        <v>9.1444455069753943</v>
      </c>
      <c r="M1087" s="278">
        <v>5.4132958208294788</v>
      </c>
      <c r="N1087" s="278">
        <v>0.98053923223545991</v>
      </c>
      <c r="O1087" s="278">
        <f t="shared" si="464"/>
        <v>15.538280560040333</v>
      </c>
    </row>
    <row r="1088" spans="1:15" s="212" customFormat="1">
      <c r="A1088" s="213" t="str">
        <f>name!E$12</f>
        <v>Elementary occupations</v>
      </c>
      <c r="B1088" s="278">
        <v>85.295662184967341</v>
      </c>
      <c r="C1088" s="278">
        <v>42.036188458875706</v>
      </c>
      <c r="D1088" s="278">
        <v>16.402592143469505</v>
      </c>
      <c r="E1088" s="278">
        <f t="shared" si="462"/>
        <v>143.73444278731256</v>
      </c>
      <c r="F1088" s="279"/>
      <c r="G1088" s="278">
        <v>77.658359736186341</v>
      </c>
      <c r="H1088" s="278">
        <v>38.829411618467198</v>
      </c>
      <c r="I1088" s="278">
        <v>15.708447416476609</v>
      </c>
      <c r="J1088" s="278">
        <f t="shared" si="465"/>
        <v>132.19621877113016</v>
      </c>
      <c r="K1088" s="279"/>
      <c r="L1088" s="278">
        <v>89.774000535184811</v>
      </c>
      <c r="M1088" s="278">
        <v>32.802659586648851</v>
      </c>
      <c r="N1088" s="278">
        <v>19.050823908557003</v>
      </c>
      <c r="O1088" s="278">
        <f t="shared" si="464"/>
        <v>141.62748403039066</v>
      </c>
    </row>
    <row r="1089" spans="1:15" s="212" customFormat="1">
      <c r="A1089" s="213"/>
      <c r="B1089" s="278"/>
      <c r="C1089" s="278"/>
      <c r="D1089" s="278"/>
      <c r="E1089" s="278"/>
      <c r="F1089" s="279"/>
      <c r="G1089" s="278"/>
      <c r="H1089" s="278"/>
      <c r="I1089" s="278"/>
      <c r="J1089" s="278"/>
      <c r="K1089" s="279"/>
      <c r="L1089" s="278"/>
      <c r="M1089" s="278"/>
      <c r="N1089" s="278"/>
      <c r="O1089" s="278"/>
    </row>
    <row r="1090" spans="1:15" s="212" customFormat="1">
      <c r="A1090" s="220" t="s">
        <v>119</v>
      </c>
      <c r="B1090" s="282">
        <f>SUM(B1080:B1088)</f>
        <v>297.40100000068037</v>
      </c>
      <c r="C1090" s="282">
        <f t="shared" ref="C1090:E1090" si="466">SUM(C1080:C1088)</f>
        <v>82.679000001163843</v>
      </c>
      <c r="D1090" s="282">
        <f t="shared" si="466"/>
        <v>51.814000000902304</v>
      </c>
      <c r="E1090" s="282">
        <f t="shared" si="466"/>
        <v>431.89400000274651</v>
      </c>
      <c r="F1090" s="282"/>
      <c r="G1090" s="282">
        <f t="shared" ref="G1090:J1090" si="467">SUM(G1080:G1088)</f>
        <v>328.7059999998753</v>
      </c>
      <c r="H1090" s="282">
        <f t="shared" si="467"/>
        <v>92.158000000125313</v>
      </c>
      <c r="I1090" s="282">
        <f t="shared" si="467"/>
        <v>53.433999999753183</v>
      </c>
      <c r="J1090" s="282">
        <f t="shared" si="467"/>
        <v>474.29799999975376</v>
      </c>
      <c r="K1090" s="282"/>
      <c r="L1090" s="282">
        <f t="shared" ref="L1090:O1090" si="468">SUM(L1080:L1088)</f>
        <v>376.24500000069963</v>
      </c>
      <c r="M1090" s="282">
        <f t="shared" si="468"/>
        <v>101.60600000063303</v>
      </c>
      <c r="N1090" s="282">
        <f t="shared" si="468"/>
        <v>60.578000000660538</v>
      </c>
      <c r="O1090" s="282">
        <f t="shared" si="468"/>
        <v>538.42900000199324</v>
      </c>
    </row>
    <row r="1091" spans="1:15" s="212" customFormat="1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3"/>
      <c r="M1091" s="213"/>
      <c r="N1091" s="216"/>
    </row>
    <row r="1092" spans="1:15" s="212" customFormat="1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13"/>
      <c r="M1092" s="213"/>
      <c r="N1092" s="216"/>
      <c r="O1092" s="227" t="s">
        <v>114</v>
      </c>
    </row>
    <row r="1093" spans="1:15" s="212" customFormat="1" ht="12.95">
      <c r="A1093" s="218"/>
      <c r="B1093" s="218"/>
      <c r="C1093" s="218"/>
      <c r="D1093" s="218"/>
      <c r="E1093" s="218"/>
      <c r="F1093" s="218"/>
      <c r="G1093" s="218"/>
      <c r="H1093" s="218"/>
      <c r="I1093" s="218"/>
      <c r="J1093" s="218"/>
      <c r="K1093" s="218"/>
      <c r="L1093" s="218"/>
      <c r="M1093" s="218"/>
      <c r="N1093" s="218"/>
      <c r="O1093" s="218"/>
    </row>
    <row r="1094" spans="1:15" s="212" customFormat="1" ht="12.95">
      <c r="A1094" s="217" t="str">
        <f>name!A67</f>
        <v>Public administration and defence</v>
      </c>
      <c r="B1094" s="369">
        <f>$B$6</f>
        <v>2015</v>
      </c>
      <c r="C1094" s="369"/>
      <c r="D1094" s="369"/>
      <c r="E1094" s="369"/>
      <c r="F1094" s="239"/>
      <c r="G1094" s="369">
        <f>$G$6</f>
        <v>2020</v>
      </c>
      <c r="H1094" s="369"/>
      <c r="I1094" s="369"/>
      <c r="J1094" s="369"/>
      <c r="K1094" s="239"/>
      <c r="L1094" s="369">
        <f>$L$6</f>
        <v>2035</v>
      </c>
      <c r="M1094" s="369"/>
      <c r="N1094" s="369"/>
      <c r="O1094" s="369"/>
    </row>
    <row r="1095" spans="1:15" s="212" customFormat="1" ht="12.95">
      <c r="A1095" s="230"/>
      <c r="B1095" s="244" t="str">
        <f>$B$7</f>
        <v>FT</v>
      </c>
      <c r="C1095" s="244" t="str">
        <f>$C$7</f>
        <v>PT</v>
      </c>
      <c r="D1095" s="244" t="str">
        <f>$D$7</f>
        <v>SE</v>
      </c>
      <c r="E1095" s="244" t="str">
        <f>$E$7</f>
        <v>Total</v>
      </c>
      <c r="F1095" s="244"/>
      <c r="G1095" s="244" t="str">
        <f>$G$7</f>
        <v>FT</v>
      </c>
      <c r="H1095" s="244" t="str">
        <f>$H$7</f>
        <v>PT</v>
      </c>
      <c r="I1095" s="244" t="str">
        <f>$I$7</f>
        <v>SE</v>
      </c>
      <c r="J1095" s="244" t="str">
        <f>$J$7</f>
        <v>Total</v>
      </c>
      <c r="K1095" s="244"/>
      <c r="L1095" s="244" t="str">
        <f>$L$7</f>
        <v>FT</v>
      </c>
      <c r="M1095" s="244" t="str">
        <f>$M$7</f>
        <v>PT</v>
      </c>
      <c r="N1095" s="244" t="str">
        <f>$N$7</f>
        <v>SE</v>
      </c>
      <c r="O1095" s="244" t="str">
        <f>$O$7</f>
        <v>Total</v>
      </c>
    </row>
    <row r="1096" spans="1:15" s="212" customFormat="1" ht="12.95">
      <c r="A1096" s="234"/>
      <c r="B1096" s="215"/>
      <c r="C1096" s="215"/>
      <c r="D1096" s="215"/>
      <c r="E1096" s="215"/>
      <c r="F1096" s="215"/>
      <c r="G1096" s="215"/>
      <c r="H1096" s="215"/>
      <c r="I1096" s="215"/>
      <c r="J1096" s="215"/>
      <c r="K1096" s="215"/>
      <c r="L1096" s="215"/>
      <c r="M1096" s="215"/>
      <c r="N1096" s="215"/>
      <c r="O1096" s="215"/>
    </row>
    <row r="1097" spans="1:15" s="212" customFormat="1">
      <c r="A1097" s="213" t="str">
        <f>name!E$4</f>
        <v>Managers, directors and senior officials</v>
      </c>
      <c r="B1097" s="278">
        <v>61.415134177297887</v>
      </c>
      <c r="C1097" s="278">
        <v>15.511052312854412</v>
      </c>
      <c r="D1097" s="278">
        <v>4.8725051792655965</v>
      </c>
      <c r="E1097" s="278">
        <f>SUM(B1097:D1097)</f>
        <v>81.798691669417906</v>
      </c>
      <c r="F1097" s="279"/>
      <c r="G1097" s="278">
        <v>68.052960680360258</v>
      </c>
      <c r="H1097" s="278">
        <v>20.509305248853771</v>
      </c>
      <c r="I1097" s="278">
        <v>6.2094029358254135</v>
      </c>
      <c r="J1097" s="278">
        <f>SUM(G1097:I1097)</f>
        <v>94.77166886503943</v>
      </c>
      <c r="K1097" s="279"/>
      <c r="L1097" s="278">
        <v>65.127093486295692</v>
      </c>
      <c r="M1097" s="278">
        <v>25.618023519206815</v>
      </c>
      <c r="N1097" s="278">
        <v>7.2063882521425802</v>
      </c>
      <c r="O1097" s="278">
        <f>SUM(L1097:N1097)</f>
        <v>97.951505257645081</v>
      </c>
    </row>
    <row r="1098" spans="1:15" s="212" customFormat="1">
      <c r="A1098" s="213" t="str">
        <f>name!E$5</f>
        <v>Professional occupations</v>
      </c>
      <c r="B1098" s="278">
        <v>153.89461285472836</v>
      </c>
      <c r="C1098" s="278">
        <v>49.549941324733282</v>
      </c>
      <c r="D1098" s="278">
        <v>13.641185340240265</v>
      </c>
      <c r="E1098" s="278">
        <f t="shared" ref="E1098:E1105" si="469">SUM(B1098:D1098)</f>
        <v>217.08573951970192</v>
      </c>
      <c r="F1098" s="279"/>
      <c r="G1098" s="278">
        <v>196.11010937544268</v>
      </c>
      <c r="H1098" s="278">
        <v>60.599944326518887</v>
      </c>
      <c r="I1098" s="278">
        <v>19.000612380347203</v>
      </c>
      <c r="J1098" s="278">
        <f t="shared" ref="J1098:J1100" si="470">SUM(G1098:I1098)</f>
        <v>275.71066608230876</v>
      </c>
      <c r="K1098" s="279"/>
      <c r="L1098" s="278">
        <v>235.62447379954102</v>
      </c>
      <c r="M1098" s="278">
        <v>78.599101790058981</v>
      </c>
      <c r="N1098" s="278">
        <v>16.600513244410006</v>
      </c>
      <c r="O1098" s="278">
        <f t="shared" ref="O1098:O1105" si="471">SUM(L1098:N1098)</f>
        <v>330.82408883401001</v>
      </c>
    </row>
    <row r="1099" spans="1:15" s="212" customFormat="1">
      <c r="A1099" s="213" t="str">
        <f>name!E$6</f>
        <v>Associate professional occupations</v>
      </c>
      <c r="B1099" s="278">
        <v>253.71997642291186</v>
      </c>
      <c r="C1099" s="278">
        <v>54.587058529562128</v>
      </c>
      <c r="D1099" s="278">
        <v>7.5515537585331218</v>
      </c>
      <c r="E1099" s="278">
        <f t="shared" si="469"/>
        <v>315.85858871100714</v>
      </c>
      <c r="F1099" s="279"/>
      <c r="G1099" s="278">
        <v>282.8252302100405</v>
      </c>
      <c r="H1099" s="278">
        <v>55.32157564838446</v>
      </c>
      <c r="I1099" s="278">
        <v>8.0074009597859632</v>
      </c>
      <c r="J1099" s="278">
        <f t="shared" si="470"/>
        <v>346.15420681821092</v>
      </c>
      <c r="K1099" s="279"/>
      <c r="L1099" s="278">
        <v>282.16721033331669</v>
      </c>
      <c r="M1099" s="278">
        <v>68.688105597471036</v>
      </c>
      <c r="N1099" s="278">
        <v>8.6016536637949184</v>
      </c>
      <c r="O1099" s="278">
        <f t="shared" si="471"/>
        <v>359.45696959458263</v>
      </c>
    </row>
    <row r="1100" spans="1:15" s="212" customFormat="1">
      <c r="A1100" s="213" t="str">
        <f>name!E$7</f>
        <v>Administrative and secretarial occupations</v>
      </c>
      <c r="B1100" s="278">
        <v>143.42753789356635</v>
      </c>
      <c r="C1100" s="278">
        <v>145.00593108345529</v>
      </c>
      <c r="D1100" s="278">
        <v>2.3750575272982331</v>
      </c>
      <c r="E1100" s="278">
        <f t="shared" si="469"/>
        <v>290.8085265043199</v>
      </c>
      <c r="F1100" s="279"/>
      <c r="G1100" s="278">
        <v>135.46740535925588</v>
      </c>
      <c r="H1100" s="278">
        <v>125.96494410121284</v>
      </c>
      <c r="I1100" s="278">
        <v>2.5269993455879636</v>
      </c>
      <c r="J1100" s="278">
        <f t="shared" si="470"/>
        <v>263.95934880605665</v>
      </c>
      <c r="K1100" s="279"/>
      <c r="L1100" s="278">
        <v>115.01047302831175</v>
      </c>
      <c r="M1100" s="278">
        <v>116.62408218198301</v>
      </c>
      <c r="N1100" s="278">
        <v>1.7699368325512057</v>
      </c>
      <c r="O1100" s="278">
        <f t="shared" si="471"/>
        <v>233.40449204284596</v>
      </c>
    </row>
    <row r="1101" spans="1:15" s="212" customFormat="1">
      <c r="A1101" s="213" t="str">
        <f>name!E$8</f>
        <v>Skilled trades occupations</v>
      </c>
      <c r="B1101" s="278">
        <v>11.095475110744514</v>
      </c>
      <c r="C1101" s="278">
        <v>1.5272252630304997</v>
      </c>
      <c r="D1101" s="278">
        <v>3.246168617171818</v>
      </c>
      <c r="E1101" s="278">
        <f t="shared" si="469"/>
        <v>15.868868990946833</v>
      </c>
      <c r="F1101" s="279"/>
      <c r="G1101" s="278">
        <v>8.9605578995275241</v>
      </c>
      <c r="H1101" s="278">
        <v>1.2334169855736223</v>
      </c>
      <c r="I1101" s="278">
        <v>1.8531382954613631</v>
      </c>
      <c r="J1101" s="278">
        <f>SUM(G1101:I1101)</f>
        <v>12.04711318056251</v>
      </c>
      <c r="K1101" s="279"/>
      <c r="L1101" s="278">
        <v>9.3549814178962691</v>
      </c>
      <c r="M1101" s="278">
        <v>2.7808972765424458</v>
      </c>
      <c r="N1101" s="278">
        <v>2.2488244291944577</v>
      </c>
      <c r="O1101" s="278">
        <f t="shared" si="471"/>
        <v>14.384703123633173</v>
      </c>
    </row>
    <row r="1102" spans="1:15" s="212" customFormat="1">
      <c r="A1102" s="213" t="str">
        <f>name!E$9</f>
        <v>Caring, leisure and other service occupations</v>
      </c>
      <c r="B1102" s="278">
        <v>24.927989594512365</v>
      </c>
      <c r="C1102" s="278">
        <v>20.096162133432852</v>
      </c>
      <c r="D1102" s="278">
        <v>1.9802872525928852</v>
      </c>
      <c r="E1102" s="278">
        <f t="shared" si="469"/>
        <v>47.004438980538104</v>
      </c>
      <c r="F1102" s="279"/>
      <c r="G1102" s="278">
        <v>23.633072220246742</v>
      </c>
      <c r="H1102" s="278">
        <v>18.167149811784462</v>
      </c>
      <c r="I1102" s="278">
        <v>2.7223196796112861</v>
      </c>
      <c r="J1102" s="278">
        <f t="shared" ref="J1102:J1105" si="472">SUM(G1102:I1102)</f>
        <v>44.522541711642489</v>
      </c>
      <c r="K1102" s="279"/>
      <c r="L1102" s="278">
        <v>27.293950553632413</v>
      </c>
      <c r="M1102" s="278">
        <v>18.447647800578498</v>
      </c>
      <c r="N1102" s="278">
        <v>2.7427131713125283</v>
      </c>
      <c r="O1102" s="278">
        <f t="shared" si="471"/>
        <v>48.484311525523438</v>
      </c>
    </row>
    <row r="1103" spans="1:15" s="212" customFormat="1">
      <c r="A1103" s="213" t="str">
        <f>name!E$10</f>
        <v>Sales and customer service occupations</v>
      </c>
      <c r="B1103" s="278">
        <v>12.935608371985277</v>
      </c>
      <c r="C1103" s="278">
        <v>13.96979331837078</v>
      </c>
      <c r="D1103" s="278">
        <v>1.1426286732691735</v>
      </c>
      <c r="E1103" s="278">
        <f t="shared" si="469"/>
        <v>28.04803036362523</v>
      </c>
      <c r="F1103" s="279"/>
      <c r="G1103" s="278">
        <v>12.376665234324316</v>
      </c>
      <c r="H1103" s="278">
        <v>13.241351206239674</v>
      </c>
      <c r="I1103" s="278">
        <v>1.0213815420807035</v>
      </c>
      <c r="J1103" s="278">
        <f t="shared" si="472"/>
        <v>26.639397982644695</v>
      </c>
      <c r="K1103" s="279"/>
      <c r="L1103" s="278">
        <v>13.020791032052616</v>
      </c>
      <c r="M1103" s="278">
        <v>15.679491358550685</v>
      </c>
      <c r="N1103" s="278">
        <v>0.95639024029585995</v>
      </c>
      <c r="O1103" s="278">
        <f t="shared" si="471"/>
        <v>29.656672630899159</v>
      </c>
    </row>
    <row r="1104" spans="1:15" s="212" customFormat="1">
      <c r="A1104" s="213" t="str">
        <f>name!E$11</f>
        <v>Process, plant and machine operatives</v>
      </c>
      <c r="B1104" s="278">
        <v>7.0154944832913895</v>
      </c>
      <c r="C1104" s="278">
        <v>3.9181210014227692</v>
      </c>
      <c r="D1104" s="278">
        <v>0.73719478536370298</v>
      </c>
      <c r="E1104" s="278">
        <f t="shared" si="469"/>
        <v>11.670810270077862</v>
      </c>
      <c r="F1104" s="279"/>
      <c r="G1104" s="278">
        <v>5.3187507615269505</v>
      </c>
      <c r="H1104" s="278">
        <v>2.8910511128167027</v>
      </c>
      <c r="I1104" s="278">
        <v>0.85045169893254524</v>
      </c>
      <c r="J1104" s="278">
        <f t="shared" si="472"/>
        <v>9.0602535732761993</v>
      </c>
      <c r="K1104" s="279"/>
      <c r="L1104" s="278">
        <v>4.9489688123543472</v>
      </c>
      <c r="M1104" s="278">
        <v>3.8772475453598205</v>
      </c>
      <c r="N1104" s="278">
        <v>1.9566227480259442</v>
      </c>
      <c r="O1104" s="278">
        <f t="shared" si="471"/>
        <v>10.782839105740113</v>
      </c>
    </row>
    <row r="1105" spans="1:15" s="212" customFormat="1">
      <c r="A1105" s="213" t="str">
        <f>name!E$12</f>
        <v>Elementary occupations</v>
      </c>
      <c r="B1105" s="278">
        <v>16.891171085362235</v>
      </c>
      <c r="C1105" s="278">
        <v>21.711715030775068</v>
      </c>
      <c r="D1105" s="278">
        <v>3.9624188662184303</v>
      </c>
      <c r="E1105" s="278">
        <f t="shared" si="469"/>
        <v>42.565304982355727</v>
      </c>
      <c r="F1105" s="279"/>
      <c r="G1105" s="278">
        <v>13.431248256832092</v>
      </c>
      <c r="H1105" s="278">
        <v>15.437261557358623</v>
      </c>
      <c r="I1105" s="278">
        <v>4.699293162759572</v>
      </c>
      <c r="J1105" s="278">
        <f t="shared" si="472"/>
        <v>33.56780297695029</v>
      </c>
      <c r="K1105" s="279"/>
      <c r="L1105" s="278">
        <v>12.571057539771669</v>
      </c>
      <c r="M1105" s="278">
        <v>12.747402929648024</v>
      </c>
      <c r="N1105" s="278">
        <v>7.7839574192314558</v>
      </c>
      <c r="O1105" s="278">
        <f t="shared" si="471"/>
        <v>33.102417888651146</v>
      </c>
    </row>
    <row r="1106" spans="1:15" s="212" customFormat="1">
      <c r="A1106" s="213"/>
      <c r="B1106" s="278"/>
      <c r="C1106" s="278"/>
      <c r="D1106" s="278"/>
      <c r="E1106" s="278"/>
      <c r="F1106" s="279"/>
      <c r="G1106" s="278"/>
      <c r="H1106" s="278"/>
      <c r="I1106" s="278"/>
      <c r="J1106" s="278"/>
      <c r="K1106" s="279"/>
      <c r="L1106" s="278"/>
      <c r="M1106" s="278"/>
      <c r="N1106" s="278"/>
      <c r="O1106" s="278"/>
    </row>
    <row r="1107" spans="1:15" s="212" customFormat="1">
      <c r="A1107" s="220" t="s">
        <v>119</v>
      </c>
      <c r="B1107" s="282">
        <f>SUM(B1097:B1105)</f>
        <v>685.32299999440022</v>
      </c>
      <c r="C1107" s="282">
        <f t="shared" ref="C1107:E1107" si="473">SUM(C1097:C1105)</f>
        <v>325.87699999763709</v>
      </c>
      <c r="D1107" s="282">
        <f t="shared" si="473"/>
        <v>39.508999999953225</v>
      </c>
      <c r="E1107" s="282">
        <f t="shared" si="473"/>
        <v>1050.7089999919904</v>
      </c>
      <c r="F1107" s="282"/>
      <c r="G1107" s="282">
        <f t="shared" ref="G1107:J1107" si="474">SUM(G1097:G1105)</f>
        <v>746.17599999755691</v>
      </c>
      <c r="H1107" s="282">
        <f t="shared" si="474"/>
        <v>313.36599999874301</v>
      </c>
      <c r="I1107" s="282">
        <f t="shared" si="474"/>
        <v>46.891000000392012</v>
      </c>
      <c r="J1107" s="282">
        <f t="shared" si="474"/>
        <v>1106.4329999966919</v>
      </c>
      <c r="K1107" s="282"/>
      <c r="L1107" s="282">
        <f t="shared" ref="L1107:O1107" si="475">SUM(L1097:L1105)</f>
        <v>765.11900000317246</v>
      </c>
      <c r="M1107" s="282">
        <f t="shared" si="475"/>
        <v>343.06199999939935</v>
      </c>
      <c r="N1107" s="282">
        <f t="shared" si="475"/>
        <v>49.867000000958953</v>
      </c>
      <c r="O1107" s="282">
        <f t="shared" si="475"/>
        <v>1158.0480000035309</v>
      </c>
    </row>
    <row r="1108" spans="1:15" s="212" customFormat="1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3"/>
      <c r="M1108" s="213"/>
      <c r="N1108" s="216"/>
    </row>
    <row r="1109" spans="1:15" s="212" customFormat="1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13"/>
      <c r="M1109" s="213"/>
      <c r="N1109" s="216"/>
      <c r="O1109" s="227" t="s">
        <v>114</v>
      </c>
    </row>
    <row r="1110" spans="1:15" s="212" customFormat="1" ht="12.95">
      <c r="A1110" s="218"/>
      <c r="B1110" s="218"/>
      <c r="C1110" s="218"/>
      <c r="D1110" s="218"/>
      <c r="E1110" s="218"/>
      <c r="F1110" s="218"/>
      <c r="G1110" s="218"/>
      <c r="H1110" s="218"/>
      <c r="I1110" s="218"/>
      <c r="J1110" s="218"/>
      <c r="K1110" s="218"/>
      <c r="L1110" s="218"/>
      <c r="M1110" s="218"/>
      <c r="N1110" s="218"/>
      <c r="O1110" s="218"/>
    </row>
    <row r="1111" spans="1:15" s="212" customFormat="1" ht="12.95">
      <c r="A1111" s="217" t="str">
        <f>name!A68</f>
        <v xml:space="preserve">Education </v>
      </c>
      <c r="B1111" s="369">
        <f>$B$6</f>
        <v>2015</v>
      </c>
      <c r="C1111" s="369"/>
      <c r="D1111" s="369"/>
      <c r="E1111" s="369"/>
      <c r="F1111" s="239"/>
      <c r="G1111" s="369">
        <f>$G$6</f>
        <v>2020</v>
      </c>
      <c r="H1111" s="369"/>
      <c r="I1111" s="369"/>
      <c r="J1111" s="369"/>
      <c r="K1111" s="239"/>
      <c r="L1111" s="369">
        <f>$L$6</f>
        <v>2035</v>
      </c>
      <c r="M1111" s="369"/>
      <c r="N1111" s="369"/>
      <c r="O1111" s="369"/>
    </row>
    <row r="1112" spans="1:15" s="212" customFormat="1" ht="12.95">
      <c r="A1112" s="230"/>
      <c r="B1112" s="244" t="str">
        <f>$B$7</f>
        <v>FT</v>
      </c>
      <c r="C1112" s="244" t="str">
        <f>$C$7</f>
        <v>PT</v>
      </c>
      <c r="D1112" s="244" t="str">
        <f>$D$7</f>
        <v>SE</v>
      </c>
      <c r="E1112" s="244" t="str">
        <f>$E$7</f>
        <v>Total</v>
      </c>
      <c r="F1112" s="244"/>
      <c r="G1112" s="244" t="str">
        <f>$G$7</f>
        <v>FT</v>
      </c>
      <c r="H1112" s="244" t="str">
        <f>$H$7</f>
        <v>PT</v>
      </c>
      <c r="I1112" s="244" t="str">
        <f>$I$7</f>
        <v>SE</v>
      </c>
      <c r="J1112" s="244" t="str">
        <f>$J$7</f>
        <v>Total</v>
      </c>
      <c r="K1112" s="244"/>
      <c r="L1112" s="244" t="str">
        <f>$L$7</f>
        <v>FT</v>
      </c>
      <c r="M1112" s="244" t="str">
        <f>$M$7</f>
        <v>PT</v>
      </c>
      <c r="N1112" s="244" t="str">
        <f>$N$7</f>
        <v>SE</v>
      </c>
      <c r="O1112" s="244" t="str">
        <f>$O$7</f>
        <v>Total</v>
      </c>
    </row>
    <row r="1113" spans="1:15" s="212" customFormat="1" ht="12.95">
      <c r="A1113" s="234"/>
      <c r="B1113" s="215"/>
      <c r="C1113" s="215"/>
      <c r="D1113" s="215"/>
      <c r="E1113" s="215"/>
      <c r="F1113" s="215"/>
      <c r="G1113" s="215"/>
      <c r="H1113" s="215"/>
      <c r="I1113" s="215"/>
      <c r="J1113" s="215"/>
      <c r="K1113" s="215"/>
      <c r="L1113" s="215"/>
      <c r="M1113" s="215"/>
      <c r="N1113" s="215"/>
      <c r="O1113" s="215"/>
    </row>
    <row r="1114" spans="1:15" s="212" customFormat="1">
      <c r="A1114" s="213" t="str">
        <f>name!E$4</f>
        <v>Managers, directors and senior officials</v>
      </c>
      <c r="B1114" s="278">
        <v>34.39407728839263</v>
      </c>
      <c r="C1114" s="278">
        <v>14.60992312961104</v>
      </c>
      <c r="D1114" s="278">
        <v>17.297283705828058</v>
      </c>
      <c r="E1114" s="278">
        <f>SUM(B1114:D1114)</f>
        <v>66.301284123831721</v>
      </c>
      <c r="F1114" s="279"/>
      <c r="G1114" s="278">
        <v>33.064889819740941</v>
      </c>
      <c r="H1114" s="278">
        <v>19.473452481729026</v>
      </c>
      <c r="I1114" s="278">
        <v>18.933481706378274</v>
      </c>
      <c r="J1114" s="278">
        <f>SUM(G1114:I1114)</f>
        <v>71.471824007848241</v>
      </c>
      <c r="K1114" s="279"/>
      <c r="L1114" s="278">
        <v>29.631699284893891</v>
      </c>
      <c r="M1114" s="278">
        <v>23.803120354744532</v>
      </c>
      <c r="N1114" s="278">
        <v>20.472187744675981</v>
      </c>
      <c r="O1114" s="278">
        <f>SUM(L1114:N1114)</f>
        <v>73.907007384314397</v>
      </c>
    </row>
    <row r="1115" spans="1:15" s="212" customFormat="1">
      <c r="A1115" s="213" t="str">
        <f>name!E$5</f>
        <v>Professional occupations</v>
      </c>
      <c r="B1115" s="278">
        <v>789.91768771398745</v>
      </c>
      <c r="C1115" s="278">
        <v>402.92500563337643</v>
      </c>
      <c r="D1115" s="278">
        <v>104.9555688645729</v>
      </c>
      <c r="E1115" s="278">
        <f t="shared" ref="E1115:E1122" si="476">SUM(B1115:D1115)</f>
        <v>1297.7982622119366</v>
      </c>
      <c r="F1115" s="279"/>
      <c r="G1115" s="278">
        <v>814.19053725629021</v>
      </c>
      <c r="H1115" s="278">
        <v>453.43262898523705</v>
      </c>
      <c r="I1115" s="278">
        <v>136.05038937435984</v>
      </c>
      <c r="J1115" s="278">
        <f t="shared" ref="J1115:J1117" si="477">SUM(G1115:I1115)</f>
        <v>1403.6735556158872</v>
      </c>
      <c r="K1115" s="279"/>
      <c r="L1115" s="278">
        <v>870.81181148113387</v>
      </c>
      <c r="M1115" s="278">
        <v>531.2147439250349</v>
      </c>
      <c r="N1115" s="278">
        <v>138.06059636021666</v>
      </c>
      <c r="O1115" s="278">
        <f t="shared" ref="O1115:O1122" si="478">SUM(L1115:N1115)</f>
        <v>1540.0871517663854</v>
      </c>
    </row>
    <row r="1116" spans="1:15" s="212" customFormat="1">
      <c r="A1116" s="213" t="str">
        <f>name!E$6</f>
        <v>Associate professional occupations</v>
      </c>
      <c r="B1116" s="278">
        <v>76.422783995087187</v>
      </c>
      <c r="C1116" s="278">
        <v>76.656058079273521</v>
      </c>
      <c r="D1116" s="278">
        <v>49.556345701836193</v>
      </c>
      <c r="E1116" s="278">
        <f t="shared" si="476"/>
        <v>202.63518777619689</v>
      </c>
      <c r="F1116" s="279"/>
      <c r="G1116" s="278">
        <v>77.959911330404196</v>
      </c>
      <c r="H1116" s="278">
        <v>84.786965113142415</v>
      </c>
      <c r="I1116" s="278">
        <v>44.198526329269683</v>
      </c>
      <c r="J1116" s="278">
        <f t="shared" si="477"/>
        <v>206.94540277281629</v>
      </c>
      <c r="K1116" s="279"/>
      <c r="L1116" s="278">
        <v>91.896974958084783</v>
      </c>
      <c r="M1116" s="278">
        <v>110.97659174892641</v>
      </c>
      <c r="N1116" s="278">
        <v>43.708712448345572</v>
      </c>
      <c r="O1116" s="278">
        <f t="shared" si="478"/>
        <v>246.58227915535679</v>
      </c>
    </row>
    <row r="1117" spans="1:15" s="212" customFormat="1">
      <c r="A1117" s="213" t="str">
        <f>name!E$7</f>
        <v>Administrative and secretarial occupations</v>
      </c>
      <c r="B1117" s="278">
        <v>48.172816110927869</v>
      </c>
      <c r="C1117" s="278">
        <v>98.986772342420423</v>
      </c>
      <c r="D1117" s="278">
        <v>6.4378182685238619</v>
      </c>
      <c r="E1117" s="278">
        <f t="shared" si="476"/>
        <v>153.59740672187218</v>
      </c>
      <c r="F1117" s="279"/>
      <c r="G1117" s="278">
        <v>39.781524602229133</v>
      </c>
      <c r="H1117" s="278">
        <v>88.160109760609686</v>
      </c>
      <c r="I1117" s="278">
        <v>5.6047495716997506</v>
      </c>
      <c r="J1117" s="278">
        <f t="shared" si="477"/>
        <v>133.54638393453857</v>
      </c>
      <c r="K1117" s="279"/>
      <c r="L1117" s="278">
        <v>25.069884509513948</v>
      </c>
      <c r="M1117" s="278">
        <v>52.109129337472652</v>
      </c>
      <c r="N1117" s="278">
        <v>3.9667963256394367</v>
      </c>
      <c r="O1117" s="278">
        <f t="shared" si="478"/>
        <v>81.145810172626042</v>
      </c>
    </row>
    <row r="1118" spans="1:15" s="212" customFormat="1">
      <c r="A1118" s="213" t="str">
        <f>name!E$8</f>
        <v>Skilled trades occupations</v>
      </c>
      <c r="B1118" s="278">
        <v>18.071200101307372</v>
      </c>
      <c r="C1118" s="278">
        <v>13.154436843622072</v>
      </c>
      <c r="D1118" s="278">
        <v>6.8477241841068883</v>
      </c>
      <c r="E1118" s="278">
        <f t="shared" si="476"/>
        <v>38.073361129036336</v>
      </c>
      <c r="F1118" s="279"/>
      <c r="G1118" s="278">
        <v>12.453128096997775</v>
      </c>
      <c r="H1118" s="278">
        <v>9.2934481941940685</v>
      </c>
      <c r="I1118" s="278">
        <v>5.9278444776916261</v>
      </c>
      <c r="J1118" s="278">
        <f>SUM(G1118:I1118)</f>
        <v>27.674420768883468</v>
      </c>
      <c r="K1118" s="279"/>
      <c r="L1118" s="278">
        <v>7.7760508971619764</v>
      </c>
      <c r="M1118" s="278">
        <v>4.8175345448863975</v>
      </c>
      <c r="N1118" s="278">
        <v>7.7591178326970729</v>
      </c>
      <c r="O1118" s="278">
        <f t="shared" si="478"/>
        <v>20.352703274745448</v>
      </c>
    </row>
    <row r="1119" spans="1:15" s="212" customFormat="1">
      <c r="A1119" s="213" t="str">
        <f>name!E$9</f>
        <v>Caring, leisure and other service occupations</v>
      </c>
      <c r="B1119" s="278">
        <v>222.80359630718124</v>
      </c>
      <c r="C1119" s="278">
        <v>302.56323149060438</v>
      </c>
      <c r="D1119" s="278">
        <v>18.91623575299483</v>
      </c>
      <c r="E1119" s="278">
        <f t="shared" si="476"/>
        <v>544.28306355078041</v>
      </c>
      <c r="F1119" s="279"/>
      <c r="G1119" s="278">
        <v>195.32079810095621</v>
      </c>
      <c r="H1119" s="278">
        <v>288.77838191702318</v>
      </c>
      <c r="I1119" s="278">
        <v>19.019869381537067</v>
      </c>
      <c r="J1119" s="278">
        <f t="shared" ref="J1119:J1122" si="479">SUM(G1119:I1119)</f>
        <v>503.11904939951648</v>
      </c>
      <c r="K1119" s="279"/>
      <c r="L1119" s="278">
        <v>236.9841707300107</v>
      </c>
      <c r="M1119" s="278">
        <v>283.23436689580575</v>
      </c>
      <c r="N1119" s="278">
        <v>24.493241471056525</v>
      </c>
      <c r="O1119" s="278">
        <f t="shared" si="478"/>
        <v>544.71177909687299</v>
      </c>
    </row>
    <row r="1120" spans="1:15" s="212" customFormat="1">
      <c r="A1120" s="213" t="str">
        <f>name!E$10</f>
        <v>Sales and customer service occupations</v>
      </c>
      <c r="B1120" s="278">
        <v>4.5723762267138151</v>
      </c>
      <c r="C1120" s="278">
        <v>8.3178520731753771</v>
      </c>
      <c r="D1120" s="278">
        <v>4.1499138996674256</v>
      </c>
      <c r="E1120" s="278">
        <f t="shared" si="476"/>
        <v>17.040142199556616</v>
      </c>
      <c r="F1120" s="279"/>
      <c r="G1120" s="278">
        <v>3.8035541797184078</v>
      </c>
      <c r="H1120" s="278">
        <v>7.560276722358247</v>
      </c>
      <c r="I1120" s="278">
        <v>2.981113972759784</v>
      </c>
      <c r="J1120" s="278">
        <f t="shared" si="479"/>
        <v>14.34494487483644</v>
      </c>
      <c r="K1120" s="279"/>
      <c r="L1120" s="278">
        <v>4.0985946876968962</v>
      </c>
      <c r="M1120" s="278">
        <v>7.7545324182439934</v>
      </c>
      <c r="N1120" s="278">
        <v>3.1406817283308133</v>
      </c>
      <c r="O1120" s="278">
        <f t="shared" si="478"/>
        <v>14.993808834271702</v>
      </c>
    </row>
    <row r="1121" spans="1:15" s="212" customFormat="1">
      <c r="A1121" s="213" t="str">
        <f>name!E$11</f>
        <v>Process, plant and machine operatives</v>
      </c>
      <c r="B1121" s="278">
        <v>3.0349889368894702</v>
      </c>
      <c r="C1121" s="278">
        <v>5.4911487567961954</v>
      </c>
      <c r="D1121" s="278">
        <v>42.463254566622744</v>
      </c>
      <c r="E1121" s="278">
        <f t="shared" si="476"/>
        <v>50.989392260308406</v>
      </c>
      <c r="F1121" s="279"/>
      <c r="G1121" s="278">
        <v>2.0320638568585268</v>
      </c>
      <c r="H1121" s="278">
        <v>4.1784700185909003</v>
      </c>
      <c r="I1121" s="278">
        <v>46.862328655310456</v>
      </c>
      <c r="J1121" s="278">
        <f t="shared" si="479"/>
        <v>53.072862530759885</v>
      </c>
      <c r="K1121" s="279"/>
      <c r="L1121" s="278">
        <v>1.4771386883565574</v>
      </c>
      <c r="M1121" s="278">
        <v>4.491429016466042</v>
      </c>
      <c r="N1121" s="278">
        <v>49.290416014696824</v>
      </c>
      <c r="O1121" s="278">
        <f t="shared" si="478"/>
        <v>55.258983719519421</v>
      </c>
    </row>
    <row r="1122" spans="1:15" s="212" customFormat="1">
      <c r="A1122" s="213" t="str">
        <f>name!E$12</f>
        <v>Elementary occupations</v>
      </c>
      <c r="B1122" s="278">
        <v>13.546473349952993</v>
      </c>
      <c r="C1122" s="278">
        <v>135.68957160367944</v>
      </c>
      <c r="D1122" s="278">
        <v>7.3618550557994462</v>
      </c>
      <c r="E1122" s="278">
        <f t="shared" si="476"/>
        <v>156.5979000094319</v>
      </c>
      <c r="F1122" s="279"/>
      <c r="G1122" s="278">
        <v>9.9005928013173676</v>
      </c>
      <c r="H1122" s="278">
        <v>103.42526677461603</v>
      </c>
      <c r="I1122" s="278">
        <v>4.6056965326628641</v>
      </c>
      <c r="J1122" s="278">
        <f t="shared" si="479"/>
        <v>117.93155610859627</v>
      </c>
      <c r="K1122" s="279"/>
      <c r="L1122" s="278">
        <v>9.0696746777215846</v>
      </c>
      <c r="M1122" s="278">
        <v>36.542551672985823</v>
      </c>
      <c r="N1122" s="278">
        <v>10.581250086837059</v>
      </c>
      <c r="O1122" s="278">
        <f t="shared" si="478"/>
        <v>56.193476437544469</v>
      </c>
    </row>
    <row r="1123" spans="1:15" s="212" customFormat="1">
      <c r="A1123" s="213"/>
      <c r="B1123" s="278"/>
      <c r="C1123" s="278"/>
      <c r="D1123" s="278"/>
      <c r="E1123" s="278"/>
      <c r="F1123" s="279"/>
      <c r="G1123" s="278"/>
      <c r="H1123" s="278"/>
      <c r="I1123" s="278"/>
      <c r="J1123" s="278"/>
      <c r="K1123" s="279"/>
      <c r="L1123" s="278"/>
      <c r="M1123" s="278"/>
      <c r="N1123" s="278"/>
      <c r="O1123" s="278"/>
    </row>
    <row r="1124" spans="1:15" s="212" customFormat="1">
      <c r="A1124" s="220" t="s">
        <v>119</v>
      </c>
      <c r="B1124" s="282">
        <f>SUM(B1114:B1122)</f>
        <v>1210.93600003044</v>
      </c>
      <c r="C1124" s="282">
        <f t="shared" ref="C1124:E1124" si="480">SUM(C1114:C1122)</f>
        <v>1058.3939999525589</v>
      </c>
      <c r="D1124" s="282">
        <f t="shared" si="480"/>
        <v>257.98599999995236</v>
      </c>
      <c r="E1124" s="282">
        <f t="shared" si="480"/>
        <v>2527.3159999829513</v>
      </c>
      <c r="F1124" s="282"/>
      <c r="G1124" s="282">
        <f t="shared" ref="G1124:J1124" si="481">SUM(G1114:G1122)</f>
        <v>1188.507000044513</v>
      </c>
      <c r="H1124" s="282">
        <f t="shared" si="481"/>
        <v>1059.0889999675005</v>
      </c>
      <c r="I1124" s="282">
        <f t="shared" si="481"/>
        <v>284.18400000166935</v>
      </c>
      <c r="J1124" s="282">
        <f t="shared" si="481"/>
        <v>2531.7800000136831</v>
      </c>
      <c r="K1124" s="282"/>
      <c r="L1124" s="282">
        <f t="shared" ref="L1124:O1124" si="482">SUM(L1114:L1122)</f>
        <v>1276.8159999145741</v>
      </c>
      <c r="M1124" s="282">
        <f t="shared" si="482"/>
        <v>1054.9439999145663</v>
      </c>
      <c r="N1124" s="282">
        <f t="shared" si="482"/>
        <v>301.47300001249596</v>
      </c>
      <c r="O1124" s="282">
        <f t="shared" si="482"/>
        <v>2633.2329998416367</v>
      </c>
    </row>
    <row r="1125" spans="1:15" s="212" customFormat="1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3"/>
      <c r="M1125" s="213"/>
      <c r="N1125" s="216"/>
    </row>
    <row r="1126" spans="1:15" s="212" customFormat="1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13"/>
      <c r="M1126" s="213"/>
      <c r="N1126" s="216"/>
      <c r="O1126" s="227" t="s">
        <v>114</v>
      </c>
    </row>
    <row r="1127" spans="1:15" s="212" customFormat="1" ht="12.95">
      <c r="A1127" s="218"/>
      <c r="B1127" s="218"/>
      <c r="C1127" s="218"/>
      <c r="D1127" s="218"/>
      <c r="E1127" s="218"/>
      <c r="F1127" s="218"/>
      <c r="G1127" s="218"/>
      <c r="H1127" s="218"/>
      <c r="I1127" s="218"/>
      <c r="J1127" s="218"/>
      <c r="K1127" s="218"/>
      <c r="L1127" s="218"/>
      <c r="M1127" s="218"/>
      <c r="N1127" s="218"/>
      <c r="O1127" s="218"/>
    </row>
    <row r="1128" spans="1:15" s="212" customFormat="1" ht="12.95">
      <c r="A1128" s="217" t="str">
        <f>name!A69</f>
        <v>Health</v>
      </c>
      <c r="B1128" s="369">
        <f>$B$6</f>
        <v>2015</v>
      </c>
      <c r="C1128" s="369"/>
      <c r="D1128" s="369"/>
      <c r="E1128" s="369"/>
      <c r="F1128" s="239"/>
      <c r="G1128" s="369">
        <f>$G$6</f>
        <v>2020</v>
      </c>
      <c r="H1128" s="369"/>
      <c r="I1128" s="369"/>
      <c r="J1128" s="369"/>
      <c r="K1128" s="239"/>
      <c r="L1128" s="369">
        <f>$L$6</f>
        <v>2035</v>
      </c>
      <c r="M1128" s="369"/>
      <c r="N1128" s="369"/>
      <c r="O1128" s="369"/>
    </row>
    <row r="1129" spans="1:15" s="212" customFormat="1" ht="12.95">
      <c r="A1129" s="230"/>
      <c r="B1129" s="244" t="str">
        <f>$B$7</f>
        <v>FT</v>
      </c>
      <c r="C1129" s="244" t="str">
        <f>$C$7</f>
        <v>PT</v>
      </c>
      <c r="D1129" s="244" t="str">
        <f>$D$7</f>
        <v>SE</v>
      </c>
      <c r="E1129" s="244" t="str">
        <f>$E$7</f>
        <v>Total</v>
      </c>
      <c r="F1129" s="244"/>
      <c r="G1129" s="244" t="str">
        <f>$G$7</f>
        <v>FT</v>
      </c>
      <c r="H1129" s="244" t="str">
        <f>$H$7</f>
        <v>PT</v>
      </c>
      <c r="I1129" s="244" t="str">
        <f>$I$7</f>
        <v>SE</v>
      </c>
      <c r="J1129" s="244" t="str">
        <f>$J$7</f>
        <v>Total</v>
      </c>
      <c r="K1129" s="244"/>
      <c r="L1129" s="244" t="str">
        <f>$L$7</f>
        <v>FT</v>
      </c>
      <c r="M1129" s="244" t="str">
        <f>$M$7</f>
        <v>PT</v>
      </c>
      <c r="N1129" s="244" t="str">
        <f>$N$7</f>
        <v>SE</v>
      </c>
      <c r="O1129" s="244" t="str">
        <f>$O$7</f>
        <v>Total</v>
      </c>
    </row>
    <row r="1130" spans="1:15" s="212" customFormat="1" ht="12.95">
      <c r="A1130" s="234"/>
      <c r="B1130" s="215"/>
      <c r="C1130" s="215"/>
      <c r="D1130" s="215"/>
      <c r="E1130" s="215"/>
      <c r="F1130" s="215"/>
      <c r="G1130" s="215"/>
      <c r="H1130" s="215"/>
      <c r="I1130" s="215"/>
      <c r="J1130" s="215"/>
      <c r="K1130" s="215"/>
      <c r="L1130" s="215"/>
      <c r="M1130" s="215"/>
      <c r="N1130" s="215"/>
      <c r="O1130" s="215"/>
    </row>
    <row r="1131" spans="1:15" s="212" customFormat="1">
      <c r="A1131" s="213" t="str">
        <f>name!E$4</f>
        <v>Managers, directors and senior officials</v>
      </c>
      <c r="B1131" s="278">
        <v>58.608440503656858</v>
      </c>
      <c r="C1131" s="278">
        <v>16.299361366020086</v>
      </c>
      <c r="D1131" s="278">
        <v>10.830533315502992</v>
      </c>
      <c r="E1131" s="278">
        <f>SUM(B1131:D1131)</f>
        <v>85.738335185179935</v>
      </c>
      <c r="F1131" s="279"/>
      <c r="G1131" s="278">
        <v>68.731325195146923</v>
      </c>
      <c r="H1131" s="278">
        <v>24.628956062134201</v>
      </c>
      <c r="I1131" s="278">
        <v>15.445730535517182</v>
      </c>
      <c r="J1131" s="278">
        <f>SUM(G1131:I1131)</f>
        <v>108.8060117927983</v>
      </c>
      <c r="K1131" s="279"/>
      <c r="L1131" s="278">
        <v>66.245402254391308</v>
      </c>
      <c r="M1131" s="278">
        <v>32.447294050161879</v>
      </c>
      <c r="N1131" s="278">
        <v>19.067717653305667</v>
      </c>
      <c r="O1131" s="278">
        <f>SUM(L1131:N1131)</f>
        <v>117.76041395785884</v>
      </c>
    </row>
    <row r="1132" spans="1:15" s="212" customFormat="1">
      <c r="A1132" s="213" t="str">
        <f>name!E$5</f>
        <v>Professional occupations</v>
      </c>
      <c r="B1132" s="278">
        <v>372.68425744619657</v>
      </c>
      <c r="C1132" s="278">
        <v>170.62479689968552</v>
      </c>
      <c r="D1132" s="278">
        <v>62.981758765893211</v>
      </c>
      <c r="E1132" s="278">
        <f t="shared" ref="E1132:E1139" si="483">SUM(B1132:D1132)</f>
        <v>606.29081311177526</v>
      </c>
      <c r="F1132" s="279"/>
      <c r="G1132" s="278">
        <v>460.43550527991681</v>
      </c>
      <c r="H1132" s="278">
        <v>219.33730398332298</v>
      </c>
      <c r="I1132" s="278">
        <v>74.447609328303628</v>
      </c>
      <c r="J1132" s="278">
        <f t="shared" ref="J1132:J1134" si="484">SUM(G1132:I1132)</f>
        <v>754.22041859154342</v>
      </c>
      <c r="K1132" s="279"/>
      <c r="L1132" s="278">
        <v>489.54993724677456</v>
      </c>
      <c r="M1132" s="278">
        <v>254.98966117438371</v>
      </c>
      <c r="N1132" s="278">
        <v>81.384758397736633</v>
      </c>
      <c r="O1132" s="278">
        <f t="shared" ref="O1132:O1139" si="485">SUM(L1132:N1132)</f>
        <v>825.92435681889492</v>
      </c>
    </row>
    <row r="1133" spans="1:15" s="212" customFormat="1">
      <c r="A1133" s="213" t="str">
        <f>name!E$6</f>
        <v>Associate professional occupations</v>
      </c>
      <c r="B1133" s="278">
        <v>149.26930049918838</v>
      </c>
      <c r="C1133" s="278">
        <v>88.117004688189908</v>
      </c>
      <c r="D1133" s="278">
        <v>24.450664467713896</v>
      </c>
      <c r="E1133" s="278">
        <f t="shared" si="483"/>
        <v>261.83696965509222</v>
      </c>
      <c r="F1133" s="279"/>
      <c r="G1133" s="278">
        <v>179.11646621639562</v>
      </c>
      <c r="H1133" s="278">
        <v>112.17098255442106</v>
      </c>
      <c r="I1133" s="278">
        <v>22.559265970715497</v>
      </c>
      <c r="J1133" s="278">
        <f t="shared" si="484"/>
        <v>313.8467147415322</v>
      </c>
      <c r="K1133" s="279"/>
      <c r="L1133" s="278">
        <v>293.26826865542495</v>
      </c>
      <c r="M1133" s="278">
        <v>185.06080325319334</v>
      </c>
      <c r="N1133" s="278">
        <v>33.077101664535768</v>
      </c>
      <c r="O1133" s="278">
        <f t="shared" si="485"/>
        <v>511.40617357315404</v>
      </c>
    </row>
    <row r="1134" spans="1:15" s="212" customFormat="1">
      <c r="A1134" s="213" t="str">
        <f>name!E$7</f>
        <v>Administrative and secretarial occupations</v>
      </c>
      <c r="B1134" s="278">
        <v>84.868952982041719</v>
      </c>
      <c r="C1134" s="278">
        <v>96.106348054731498</v>
      </c>
      <c r="D1134" s="278">
        <v>5.4057276599225386</v>
      </c>
      <c r="E1134" s="278">
        <f t="shared" si="483"/>
        <v>186.38102869669575</v>
      </c>
      <c r="F1134" s="279"/>
      <c r="G1134" s="278">
        <v>85.16806381468875</v>
      </c>
      <c r="H1134" s="278">
        <v>96.71403787043603</v>
      </c>
      <c r="I1134" s="278">
        <v>4.2789427492655765</v>
      </c>
      <c r="J1134" s="278">
        <f t="shared" si="484"/>
        <v>186.16104443439036</v>
      </c>
      <c r="K1134" s="279"/>
      <c r="L1134" s="278">
        <v>71.272162577369656</v>
      </c>
      <c r="M1134" s="278">
        <v>57.663719766789335</v>
      </c>
      <c r="N1134" s="278">
        <v>3.1680452463428073</v>
      </c>
      <c r="O1134" s="278">
        <f t="shared" si="485"/>
        <v>132.1039275905018</v>
      </c>
    </row>
    <row r="1135" spans="1:15" s="212" customFormat="1">
      <c r="A1135" s="213" t="str">
        <f>name!E$8</f>
        <v>Skilled trades occupations</v>
      </c>
      <c r="B1135" s="278">
        <v>11.030096453457769</v>
      </c>
      <c r="C1135" s="278">
        <v>9.5064513740486056</v>
      </c>
      <c r="D1135" s="278">
        <v>4.2688266587967982</v>
      </c>
      <c r="E1135" s="278">
        <f t="shared" si="483"/>
        <v>24.805374486303172</v>
      </c>
      <c r="F1135" s="279"/>
      <c r="G1135" s="278">
        <v>8.991388071630567</v>
      </c>
      <c r="H1135" s="278">
        <v>7.8178895748449282</v>
      </c>
      <c r="I1135" s="278">
        <v>5.0016173542159557</v>
      </c>
      <c r="J1135" s="278">
        <f>SUM(G1135:I1135)</f>
        <v>21.810895000691449</v>
      </c>
      <c r="K1135" s="279"/>
      <c r="L1135" s="278">
        <v>5.7080815344431466</v>
      </c>
      <c r="M1135" s="278">
        <v>6.5312761408411042</v>
      </c>
      <c r="N1135" s="278">
        <v>5.069638560943905</v>
      </c>
      <c r="O1135" s="278">
        <f t="shared" si="485"/>
        <v>17.308996236228154</v>
      </c>
    </row>
    <row r="1136" spans="1:15" s="212" customFormat="1">
      <c r="A1136" s="213" t="str">
        <f>name!E$9</f>
        <v>Caring, leisure and other service occupations</v>
      </c>
      <c r="B1136" s="278">
        <v>358.06895137920219</v>
      </c>
      <c r="C1136" s="278">
        <v>291.07546528776629</v>
      </c>
      <c r="D1136" s="278">
        <v>47.289728097213768</v>
      </c>
      <c r="E1136" s="278">
        <f t="shared" si="483"/>
        <v>696.43414476418229</v>
      </c>
      <c r="F1136" s="279"/>
      <c r="G1136" s="278">
        <v>380.85428529960046</v>
      </c>
      <c r="H1136" s="278">
        <v>312.29091293930441</v>
      </c>
      <c r="I1136" s="278">
        <v>50.702058040156437</v>
      </c>
      <c r="J1136" s="278">
        <f t="shared" ref="J1136:J1139" si="486">SUM(G1136:I1136)</f>
        <v>743.8472562790613</v>
      </c>
      <c r="K1136" s="279"/>
      <c r="L1136" s="278">
        <v>442.0747658324936</v>
      </c>
      <c r="M1136" s="278">
        <v>324.2474583888432</v>
      </c>
      <c r="N1136" s="278">
        <v>66.13077240542431</v>
      </c>
      <c r="O1136" s="278">
        <f t="shared" si="485"/>
        <v>832.45299662676109</v>
      </c>
    </row>
    <row r="1137" spans="1:15" s="212" customFormat="1">
      <c r="A1137" s="213" t="str">
        <f>name!E$10</f>
        <v>Sales and customer service occupations</v>
      </c>
      <c r="B1137" s="278">
        <v>12.653818754514155</v>
      </c>
      <c r="C1137" s="278">
        <v>12.428449217550217</v>
      </c>
      <c r="D1137" s="278">
        <v>1.9943356367352698</v>
      </c>
      <c r="E1137" s="278">
        <f t="shared" si="483"/>
        <v>27.07660360879964</v>
      </c>
      <c r="F1137" s="279"/>
      <c r="G1137" s="278">
        <v>12.677612731773806</v>
      </c>
      <c r="H1137" s="278">
        <v>12.590432194444812</v>
      </c>
      <c r="I1137" s="278">
        <v>1.6310388435691721</v>
      </c>
      <c r="J1137" s="278">
        <f t="shared" si="486"/>
        <v>26.89908376978779</v>
      </c>
      <c r="K1137" s="279"/>
      <c r="L1137" s="278">
        <v>13.135360066345971</v>
      </c>
      <c r="M1137" s="278">
        <v>14.010288137756282</v>
      </c>
      <c r="N1137" s="278">
        <v>1.8815966961797099</v>
      </c>
      <c r="O1137" s="278">
        <f t="shared" si="485"/>
        <v>29.027244900281961</v>
      </c>
    </row>
    <row r="1138" spans="1:15" s="212" customFormat="1">
      <c r="A1138" s="213" t="str">
        <f>name!E$11</f>
        <v>Process, plant and machine operatives</v>
      </c>
      <c r="B1138" s="278">
        <v>3.5188103828618167</v>
      </c>
      <c r="C1138" s="278">
        <v>6.4883513015601304</v>
      </c>
      <c r="D1138" s="278">
        <v>0.78075956396392054</v>
      </c>
      <c r="E1138" s="278">
        <f t="shared" si="483"/>
        <v>10.787921248385867</v>
      </c>
      <c r="F1138" s="279"/>
      <c r="G1138" s="278">
        <v>2.7873039341133068</v>
      </c>
      <c r="H1138" s="278">
        <v>5.9964764653757214</v>
      </c>
      <c r="I1138" s="278">
        <v>1.1464660231887958</v>
      </c>
      <c r="J1138" s="278">
        <f t="shared" si="486"/>
        <v>9.9302464226778238</v>
      </c>
      <c r="K1138" s="279"/>
      <c r="L1138" s="278">
        <v>1.4245805401459075</v>
      </c>
      <c r="M1138" s="278">
        <v>4.5783386743413379</v>
      </c>
      <c r="N1138" s="278">
        <v>1.1175345244025283</v>
      </c>
      <c r="O1138" s="278">
        <f t="shared" si="485"/>
        <v>7.1204537388897737</v>
      </c>
    </row>
    <row r="1139" spans="1:15" s="212" customFormat="1">
      <c r="A1139" s="213" t="str">
        <f>name!E$12</f>
        <v>Elementary occupations</v>
      </c>
      <c r="B1139" s="278">
        <v>15.64537159160669</v>
      </c>
      <c r="C1139" s="278">
        <v>39.176771797643831</v>
      </c>
      <c r="D1139" s="278">
        <v>1.9836658289886184</v>
      </c>
      <c r="E1139" s="278">
        <f t="shared" si="483"/>
        <v>56.805809218239141</v>
      </c>
      <c r="F1139" s="279"/>
      <c r="G1139" s="278">
        <v>13.949049453536722</v>
      </c>
      <c r="H1139" s="278">
        <v>32.000008345073709</v>
      </c>
      <c r="I1139" s="278">
        <v>1.5532711653567131</v>
      </c>
      <c r="J1139" s="278">
        <f t="shared" si="486"/>
        <v>47.502328963967145</v>
      </c>
      <c r="K1139" s="279"/>
      <c r="L1139" s="278">
        <v>11.180441282054755</v>
      </c>
      <c r="M1139" s="278">
        <v>19.855160378857232</v>
      </c>
      <c r="N1139" s="278">
        <v>2.1228348564504063</v>
      </c>
      <c r="O1139" s="278">
        <f t="shared" si="485"/>
        <v>33.158436517362389</v>
      </c>
    </row>
    <row r="1140" spans="1:15" s="212" customFormat="1">
      <c r="A1140" s="213"/>
      <c r="B1140" s="278"/>
      <c r="C1140" s="278"/>
      <c r="D1140" s="278"/>
      <c r="E1140" s="278"/>
      <c r="F1140" s="279"/>
      <c r="G1140" s="278"/>
      <c r="H1140" s="278"/>
      <c r="I1140" s="278"/>
      <c r="J1140" s="278"/>
      <c r="K1140" s="279"/>
      <c r="L1140" s="278"/>
      <c r="M1140" s="278"/>
      <c r="N1140" s="278"/>
      <c r="O1140" s="278"/>
    </row>
    <row r="1141" spans="1:15" s="212" customFormat="1">
      <c r="A1141" s="220" t="s">
        <v>119</v>
      </c>
      <c r="B1141" s="282">
        <f>SUM(B1131:B1139)</f>
        <v>1066.3479999927258</v>
      </c>
      <c r="C1141" s="282">
        <f t="shared" ref="C1141:E1141" si="487">SUM(C1131:C1139)</f>
        <v>729.82299998719611</v>
      </c>
      <c r="D1141" s="282">
        <f t="shared" si="487"/>
        <v>159.985999994731</v>
      </c>
      <c r="E1141" s="282">
        <f t="shared" si="487"/>
        <v>1956.1569999746532</v>
      </c>
      <c r="F1141" s="282"/>
      <c r="G1141" s="282">
        <f t="shared" ref="G1141:J1141" si="488">SUM(G1131:G1139)</f>
        <v>1212.7109999968027</v>
      </c>
      <c r="H1141" s="282">
        <f t="shared" si="488"/>
        <v>823.5469999893578</v>
      </c>
      <c r="I1141" s="282">
        <f t="shared" si="488"/>
        <v>176.76600001028896</v>
      </c>
      <c r="J1141" s="282">
        <f t="shared" si="488"/>
        <v>2213.0239999964501</v>
      </c>
      <c r="K1141" s="282"/>
      <c r="L1141" s="282">
        <f t="shared" ref="L1141:O1141" si="489">SUM(L1131:L1139)</f>
        <v>1393.8589999894439</v>
      </c>
      <c r="M1141" s="282">
        <f t="shared" si="489"/>
        <v>899.3839999651675</v>
      </c>
      <c r="N1141" s="282">
        <f t="shared" si="489"/>
        <v>213.02000000532169</v>
      </c>
      <c r="O1141" s="282">
        <f t="shared" si="489"/>
        <v>2506.262999959933</v>
      </c>
    </row>
    <row r="1142" spans="1:15" s="212" customFormat="1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3"/>
      <c r="M1142" s="213"/>
      <c r="N1142" s="216"/>
    </row>
    <row r="1143" spans="1:15" s="212" customFormat="1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13"/>
      <c r="M1143" s="213"/>
      <c r="N1143" s="216"/>
      <c r="O1143" s="227" t="s">
        <v>114</v>
      </c>
    </row>
    <row r="1144" spans="1:15" s="212" customFormat="1" ht="12.95">
      <c r="A1144" s="218"/>
      <c r="B1144" s="218"/>
      <c r="C1144" s="218"/>
      <c r="D1144" s="218"/>
      <c r="E1144" s="218"/>
      <c r="F1144" s="218"/>
      <c r="G1144" s="218"/>
      <c r="H1144" s="218"/>
      <c r="I1144" s="218"/>
      <c r="J1144" s="218"/>
      <c r="K1144" s="218"/>
      <c r="L1144" s="218"/>
      <c r="M1144" s="218"/>
      <c r="N1144" s="218"/>
      <c r="O1144" s="218"/>
    </row>
    <row r="1145" spans="1:15" s="212" customFormat="1" ht="12.95">
      <c r="A1145" s="217" t="str">
        <f>name!A70</f>
        <v>Residential care</v>
      </c>
      <c r="B1145" s="369">
        <f>$B$6</f>
        <v>2015</v>
      </c>
      <c r="C1145" s="369"/>
      <c r="D1145" s="369"/>
      <c r="E1145" s="369"/>
      <c r="F1145" s="239"/>
      <c r="G1145" s="369">
        <f>$G$6</f>
        <v>2020</v>
      </c>
      <c r="H1145" s="369"/>
      <c r="I1145" s="369"/>
      <c r="J1145" s="369"/>
      <c r="K1145" s="239"/>
      <c r="L1145" s="369">
        <f>$L$6</f>
        <v>2035</v>
      </c>
      <c r="M1145" s="369"/>
      <c r="N1145" s="369"/>
      <c r="O1145" s="369"/>
    </row>
    <row r="1146" spans="1:15" s="212" customFormat="1" ht="12.95">
      <c r="A1146" s="230"/>
      <c r="B1146" s="244" t="str">
        <f>$B$7</f>
        <v>FT</v>
      </c>
      <c r="C1146" s="244" t="str">
        <f>$C$7</f>
        <v>PT</v>
      </c>
      <c r="D1146" s="244" t="str">
        <f>$D$7</f>
        <v>SE</v>
      </c>
      <c r="E1146" s="244" t="str">
        <f>$E$7</f>
        <v>Total</v>
      </c>
      <c r="F1146" s="244"/>
      <c r="G1146" s="244" t="str">
        <f>$G$7</f>
        <v>FT</v>
      </c>
      <c r="H1146" s="244" t="str">
        <f>$H$7</f>
        <v>PT</v>
      </c>
      <c r="I1146" s="244" t="str">
        <f>$I$7</f>
        <v>SE</v>
      </c>
      <c r="J1146" s="244" t="str">
        <f>$J$7</f>
        <v>Total</v>
      </c>
      <c r="K1146" s="244"/>
      <c r="L1146" s="244" t="str">
        <f>$L$7</f>
        <v>FT</v>
      </c>
      <c r="M1146" s="244" t="str">
        <f>$M$7</f>
        <v>PT</v>
      </c>
      <c r="N1146" s="244" t="str">
        <f>$N$7</f>
        <v>SE</v>
      </c>
      <c r="O1146" s="244" t="str">
        <f>$O$7</f>
        <v>Total</v>
      </c>
    </row>
    <row r="1147" spans="1:15" s="212" customFormat="1" ht="12.95">
      <c r="A1147" s="234"/>
      <c r="B1147" s="215"/>
      <c r="C1147" s="215"/>
      <c r="D1147" s="215"/>
      <c r="E1147" s="215"/>
      <c r="F1147" s="215"/>
      <c r="G1147" s="215"/>
      <c r="H1147" s="215"/>
      <c r="I1147" s="215"/>
      <c r="J1147" s="215"/>
      <c r="K1147" s="215"/>
      <c r="L1147" s="215"/>
      <c r="M1147" s="215"/>
      <c r="N1147" s="215"/>
      <c r="O1147" s="215"/>
    </row>
    <row r="1148" spans="1:15" s="212" customFormat="1">
      <c r="A1148" s="213" t="str">
        <f>name!E$4</f>
        <v>Managers, directors and senior officials</v>
      </c>
      <c r="B1148" s="278">
        <v>18.976216143746839</v>
      </c>
      <c r="C1148" s="278">
        <v>6.4547235463046233</v>
      </c>
      <c r="D1148" s="278">
        <v>2.9694063320865811</v>
      </c>
      <c r="E1148" s="278">
        <f>SUM(B1148:D1148)</f>
        <v>28.400346022138045</v>
      </c>
      <c r="F1148" s="279"/>
      <c r="G1148" s="278">
        <v>19.510027178625322</v>
      </c>
      <c r="H1148" s="278">
        <v>7.5620258873607584</v>
      </c>
      <c r="I1148" s="278">
        <v>2.8537548377989856</v>
      </c>
      <c r="J1148" s="278">
        <f>SUM(G1148:I1148)</f>
        <v>29.925807903785064</v>
      </c>
      <c r="K1148" s="279"/>
      <c r="L1148" s="278">
        <v>20.710562252738569</v>
      </c>
      <c r="M1148" s="278">
        <v>8.6076823374766018</v>
      </c>
      <c r="N1148" s="278">
        <v>3.9480795200232794</v>
      </c>
      <c r="O1148" s="278">
        <f>SUM(L1148:N1148)</f>
        <v>33.26632411023845</v>
      </c>
    </row>
    <row r="1149" spans="1:15" s="212" customFormat="1">
      <c r="A1149" s="213" t="str">
        <f>name!E$5</f>
        <v>Professional occupations</v>
      </c>
      <c r="B1149" s="278">
        <v>119.49409126445352</v>
      </c>
      <c r="C1149" s="278">
        <v>60.208673677158011</v>
      </c>
      <c r="D1149" s="278">
        <v>18.339246942711462</v>
      </c>
      <c r="E1149" s="278">
        <f t="shared" ref="E1149:E1156" si="490">SUM(B1149:D1149)</f>
        <v>198.04201188432299</v>
      </c>
      <c r="F1149" s="279"/>
      <c r="G1149" s="278">
        <v>127.88125086458895</v>
      </c>
      <c r="H1149" s="278">
        <v>62.296860923329412</v>
      </c>
      <c r="I1149" s="278">
        <v>18.382212161723409</v>
      </c>
      <c r="J1149" s="278">
        <f t="shared" ref="J1149:J1151" si="491">SUM(G1149:I1149)</f>
        <v>208.56032394964177</v>
      </c>
      <c r="K1149" s="279"/>
      <c r="L1149" s="278">
        <v>150.18385091161377</v>
      </c>
      <c r="M1149" s="278">
        <v>65.307115924609093</v>
      </c>
      <c r="N1149" s="278">
        <v>21.313644075465707</v>
      </c>
      <c r="O1149" s="278">
        <f t="shared" ref="O1149:O1156" si="492">SUM(L1149:N1149)</f>
        <v>236.80461091168857</v>
      </c>
    </row>
    <row r="1150" spans="1:15" s="212" customFormat="1">
      <c r="A1150" s="213" t="str">
        <f>name!E$6</f>
        <v>Associate professional occupations</v>
      </c>
      <c r="B1150" s="278">
        <v>47.791231178065274</v>
      </c>
      <c r="C1150" s="278">
        <v>32.359407758951292</v>
      </c>
      <c r="D1150" s="278">
        <v>8.93857859067748</v>
      </c>
      <c r="E1150" s="278">
        <f t="shared" si="490"/>
        <v>89.089217527694046</v>
      </c>
      <c r="F1150" s="279"/>
      <c r="G1150" s="278">
        <v>49.928766308638188</v>
      </c>
      <c r="H1150" s="278">
        <v>32.744260164902762</v>
      </c>
      <c r="I1150" s="278">
        <v>7.033437060015447</v>
      </c>
      <c r="J1150" s="278">
        <f t="shared" si="491"/>
        <v>89.706463533556388</v>
      </c>
      <c r="K1150" s="279"/>
      <c r="L1150" s="278">
        <v>92.812737926571501</v>
      </c>
      <c r="M1150" s="278">
        <v>48.222878351231671</v>
      </c>
      <c r="N1150" s="278">
        <v>9.9900476245200327</v>
      </c>
      <c r="O1150" s="278">
        <f t="shared" si="492"/>
        <v>151.0256639023232</v>
      </c>
    </row>
    <row r="1151" spans="1:15" s="212" customFormat="1">
      <c r="A1151" s="213" t="str">
        <f>name!E$7</f>
        <v>Administrative and secretarial occupations</v>
      </c>
      <c r="B1151" s="278">
        <v>28.147668469590922</v>
      </c>
      <c r="C1151" s="278">
        <v>36.614276058199465</v>
      </c>
      <c r="D1151" s="278">
        <v>2.17727877542614</v>
      </c>
      <c r="E1151" s="278">
        <f t="shared" si="490"/>
        <v>66.939223303216536</v>
      </c>
      <c r="F1151" s="279"/>
      <c r="G1151" s="278">
        <v>24.93316845009436</v>
      </c>
      <c r="H1151" s="278">
        <v>29.573052674439722</v>
      </c>
      <c r="I1151" s="278">
        <v>1.3203205423371782</v>
      </c>
      <c r="J1151" s="278">
        <f t="shared" si="491"/>
        <v>55.826541666871258</v>
      </c>
      <c r="K1151" s="279"/>
      <c r="L1151" s="278">
        <v>22.943480715706851</v>
      </c>
      <c r="M1151" s="278">
        <v>16.524849266999635</v>
      </c>
      <c r="N1151" s="278">
        <v>0.76179465058516249</v>
      </c>
      <c r="O1151" s="278">
        <f t="shared" si="492"/>
        <v>40.230124633291645</v>
      </c>
    </row>
    <row r="1152" spans="1:15" s="212" customFormat="1">
      <c r="A1152" s="213" t="str">
        <f>name!E$8</f>
        <v>Skilled trades occupations</v>
      </c>
      <c r="B1152" s="278">
        <v>3.5252559100586023</v>
      </c>
      <c r="C1152" s="278">
        <v>3.9972447570128056</v>
      </c>
      <c r="D1152" s="278">
        <v>0.88254652020734348</v>
      </c>
      <c r="E1152" s="278">
        <f t="shared" si="490"/>
        <v>8.4050471872787504</v>
      </c>
      <c r="F1152" s="279"/>
      <c r="G1152" s="278">
        <v>2.435136047550063</v>
      </c>
      <c r="H1152" s="278">
        <v>2.4781056466899098</v>
      </c>
      <c r="I1152" s="278">
        <v>0.78500830302613323</v>
      </c>
      <c r="J1152" s="278">
        <f>SUM(G1152:I1152)</f>
        <v>5.6982499972661067</v>
      </c>
      <c r="K1152" s="279"/>
      <c r="L1152" s="278">
        <v>1.6004732691315331</v>
      </c>
      <c r="M1152" s="278">
        <v>1.9141288503386464</v>
      </c>
      <c r="N1152" s="278">
        <v>0.94571380600574317</v>
      </c>
      <c r="O1152" s="278">
        <f t="shared" si="492"/>
        <v>4.460315925475923</v>
      </c>
    </row>
    <row r="1153" spans="1:15" s="212" customFormat="1">
      <c r="A1153" s="213" t="str">
        <f>name!E$9</f>
        <v>Caring, leisure and other service occupations</v>
      </c>
      <c r="B1153" s="278">
        <v>117.28629728326173</v>
      </c>
      <c r="C1153" s="278">
        <v>107.70352454115248</v>
      </c>
      <c r="D1153" s="278">
        <v>20.659776446492202</v>
      </c>
      <c r="E1153" s="278">
        <f t="shared" si="490"/>
        <v>245.64959827090641</v>
      </c>
      <c r="F1153" s="279"/>
      <c r="G1153" s="278">
        <v>109.94532362836978</v>
      </c>
      <c r="H1153" s="278">
        <v>92.087159120353789</v>
      </c>
      <c r="I1153" s="278">
        <v>19.105276611433151</v>
      </c>
      <c r="J1153" s="278">
        <f t="shared" ref="J1153:J1156" si="493">SUM(G1153:I1153)</f>
        <v>221.13775936015671</v>
      </c>
      <c r="K1153" s="279"/>
      <c r="L1153" s="278">
        <v>140.53857918634552</v>
      </c>
      <c r="M1153" s="278">
        <v>88.144579932776097</v>
      </c>
      <c r="N1153" s="278">
        <v>21.507685556600499</v>
      </c>
      <c r="O1153" s="278">
        <f t="shared" si="492"/>
        <v>250.19084467572213</v>
      </c>
    </row>
    <row r="1154" spans="1:15" s="212" customFormat="1">
      <c r="A1154" s="213" t="str">
        <f>name!E$10</f>
        <v>Sales and customer service occupations</v>
      </c>
      <c r="B1154" s="278">
        <v>4.1462657146004513</v>
      </c>
      <c r="C1154" s="278">
        <v>4.7890289432020907</v>
      </c>
      <c r="D1154" s="278">
        <v>0.68757904185040875</v>
      </c>
      <c r="E1154" s="278">
        <f t="shared" si="490"/>
        <v>9.6228736996529509</v>
      </c>
      <c r="F1154" s="279"/>
      <c r="G1154" s="278">
        <v>3.6621070848222455</v>
      </c>
      <c r="H1154" s="278">
        <v>3.7769501829174961</v>
      </c>
      <c r="I1154" s="278">
        <v>0.37336985974386644</v>
      </c>
      <c r="J1154" s="278">
        <f t="shared" si="493"/>
        <v>7.8124271274836081</v>
      </c>
      <c r="K1154" s="279"/>
      <c r="L1154" s="278">
        <v>4.2471309557043693</v>
      </c>
      <c r="M1154" s="278">
        <v>3.8056185893324663</v>
      </c>
      <c r="N1154" s="278">
        <v>0.46157498681089765</v>
      </c>
      <c r="O1154" s="278">
        <f t="shared" si="492"/>
        <v>8.5143245318477341</v>
      </c>
    </row>
    <row r="1155" spans="1:15" s="212" customFormat="1">
      <c r="A1155" s="213" t="str">
        <f>name!E$11</f>
        <v>Process, plant and machine operatives</v>
      </c>
      <c r="B1155" s="278">
        <v>1.1467516532435917</v>
      </c>
      <c r="C1155" s="278">
        <v>3.1831091591031662</v>
      </c>
      <c r="D1155" s="278">
        <v>0.15627728553270126</v>
      </c>
      <c r="E1155" s="278">
        <f t="shared" si="490"/>
        <v>4.4861380978794596</v>
      </c>
      <c r="F1155" s="279"/>
      <c r="G1155" s="278">
        <v>0.77515198997122947</v>
      </c>
      <c r="H1155" s="278">
        <v>2.2078015934985311</v>
      </c>
      <c r="I1155" s="278">
        <v>0.1564009172613462</v>
      </c>
      <c r="J1155" s="278">
        <f t="shared" si="493"/>
        <v>3.1393545007311068</v>
      </c>
      <c r="K1155" s="279"/>
      <c r="L1155" s="278">
        <v>0.41376808741200216</v>
      </c>
      <c r="M1155" s="278">
        <v>1.4954408630511271</v>
      </c>
      <c r="N1155" s="278">
        <v>0.22049212060908735</v>
      </c>
      <c r="O1155" s="278">
        <f t="shared" si="492"/>
        <v>2.1297010710722168</v>
      </c>
    </row>
    <row r="1156" spans="1:15" s="212" customFormat="1">
      <c r="A1156" s="213" t="str">
        <f>name!E$12</f>
        <v>Elementary occupations</v>
      </c>
      <c r="B1156" s="278">
        <v>5.0812223807087395</v>
      </c>
      <c r="C1156" s="278">
        <v>16.059011554436459</v>
      </c>
      <c r="D1156" s="278">
        <v>0.75831006176698124</v>
      </c>
      <c r="E1156" s="278">
        <f t="shared" si="490"/>
        <v>21.898543996912178</v>
      </c>
      <c r="F1156" s="279"/>
      <c r="G1156" s="278">
        <v>3.8500684461895172</v>
      </c>
      <c r="H1156" s="278">
        <v>9.9957838035984334</v>
      </c>
      <c r="I1156" s="278">
        <v>0.3812197098661626</v>
      </c>
      <c r="J1156" s="278">
        <f t="shared" si="493"/>
        <v>14.227071959654113</v>
      </c>
      <c r="K1156" s="279"/>
      <c r="L1156" s="278">
        <v>3.2314166910068174</v>
      </c>
      <c r="M1156" s="278">
        <v>5.844705875365853</v>
      </c>
      <c r="N1156" s="278">
        <v>0.55696765984866725</v>
      </c>
      <c r="O1156" s="278">
        <f t="shared" si="492"/>
        <v>9.6330902262213378</v>
      </c>
    </row>
    <row r="1157" spans="1:15" s="212" customFormat="1">
      <c r="A1157" s="213"/>
      <c r="B1157" s="278"/>
      <c r="C1157" s="278"/>
      <c r="D1157" s="278"/>
      <c r="E1157" s="278"/>
      <c r="F1157" s="279"/>
      <c r="G1157" s="278"/>
      <c r="H1157" s="278"/>
      <c r="I1157" s="278"/>
      <c r="J1157" s="278"/>
      <c r="K1157" s="279"/>
      <c r="L1157" s="278"/>
      <c r="M1157" s="278"/>
      <c r="N1157" s="278"/>
      <c r="O1157" s="278"/>
    </row>
    <row r="1158" spans="1:15" s="212" customFormat="1">
      <c r="A1158" s="220" t="s">
        <v>119</v>
      </c>
      <c r="B1158" s="282">
        <f>SUM(B1148:B1156)</f>
        <v>345.59499999772976</v>
      </c>
      <c r="C1158" s="282">
        <f t="shared" ref="C1158:E1158" si="494">SUM(C1148:C1156)</f>
        <v>271.36899999552037</v>
      </c>
      <c r="D1158" s="282">
        <f t="shared" si="494"/>
        <v>55.568999996751302</v>
      </c>
      <c r="E1158" s="282">
        <f t="shared" si="494"/>
        <v>672.53299999000137</v>
      </c>
      <c r="F1158" s="282"/>
      <c r="G1158" s="282">
        <f t="shared" ref="G1158:J1158" si="495">SUM(G1148:G1156)</f>
        <v>342.92099999884965</v>
      </c>
      <c r="H1158" s="282">
        <f t="shared" si="495"/>
        <v>242.72199999709079</v>
      </c>
      <c r="I1158" s="282">
        <f t="shared" si="495"/>
        <v>50.391000003205683</v>
      </c>
      <c r="J1158" s="282">
        <f t="shared" si="495"/>
        <v>636.03399999914609</v>
      </c>
      <c r="K1158" s="282"/>
      <c r="L1158" s="282">
        <f t="shared" ref="L1158:O1158" si="496">SUM(L1148:L1156)</f>
        <v>436.68199999623101</v>
      </c>
      <c r="M1158" s="282">
        <f t="shared" si="496"/>
        <v>239.86699999118119</v>
      </c>
      <c r="N1158" s="282">
        <f t="shared" si="496"/>
        <v>59.706000000469068</v>
      </c>
      <c r="O1158" s="282">
        <f t="shared" si="496"/>
        <v>736.25499998788121</v>
      </c>
    </row>
    <row r="1159" spans="1:15" s="212" customFormat="1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3"/>
      <c r="M1159" s="213"/>
      <c r="N1159" s="216"/>
    </row>
    <row r="1160" spans="1:15" s="212" customFormat="1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13"/>
      <c r="M1160" s="213"/>
      <c r="N1160" s="216"/>
      <c r="O1160" s="227" t="s">
        <v>114</v>
      </c>
    </row>
    <row r="1161" spans="1:15" s="212" customFormat="1" ht="12.95">
      <c r="A1161" s="218"/>
      <c r="B1161" s="218"/>
      <c r="C1161" s="218"/>
      <c r="D1161" s="218"/>
      <c r="E1161" s="218"/>
      <c r="F1161" s="218"/>
      <c r="G1161" s="218"/>
      <c r="H1161" s="218"/>
      <c r="I1161" s="218"/>
      <c r="J1161" s="218"/>
      <c r="K1161" s="218"/>
      <c r="L1161" s="218"/>
      <c r="M1161" s="218"/>
      <c r="N1161" s="218"/>
      <c r="O1161" s="218"/>
    </row>
    <row r="1162" spans="1:15" s="212" customFormat="1" ht="12.95">
      <c r="A1162" s="217" t="str">
        <f>name!A71</f>
        <v>Social work</v>
      </c>
      <c r="B1162" s="369">
        <f>$B$6</f>
        <v>2015</v>
      </c>
      <c r="C1162" s="369"/>
      <c r="D1162" s="369"/>
      <c r="E1162" s="369"/>
      <c r="F1162" s="239"/>
      <c r="G1162" s="369">
        <f>$G$6</f>
        <v>2020</v>
      </c>
      <c r="H1162" s="369"/>
      <c r="I1162" s="369"/>
      <c r="J1162" s="369"/>
      <c r="K1162" s="239"/>
      <c r="L1162" s="369">
        <f>$L$6</f>
        <v>2035</v>
      </c>
      <c r="M1162" s="369"/>
      <c r="N1162" s="369"/>
      <c r="O1162" s="369"/>
    </row>
    <row r="1163" spans="1:15" s="212" customFormat="1" ht="12.95">
      <c r="A1163" s="230"/>
      <c r="B1163" s="244" t="str">
        <f>$B$7</f>
        <v>FT</v>
      </c>
      <c r="C1163" s="244" t="str">
        <f>$C$7</f>
        <v>PT</v>
      </c>
      <c r="D1163" s="244" t="str">
        <f>$D$7</f>
        <v>SE</v>
      </c>
      <c r="E1163" s="244" t="str">
        <f>$E$7</f>
        <v>Total</v>
      </c>
      <c r="F1163" s="244"/>
      <c r="G1163" s="244" t="str">
        <f>$G$7</f>
        <v>FT</v>
      </c>
      <c r="H1163" s="244" t="str">
        <f>$H$7</f>
        <v>PT</v>
      </c>
      <c r="I1163" s="244" t="str">
        <f>$I$7</f>
        <v>SE</v>
      </c>
      <c r="J1163" s="244" t="str">
        <f>$J$7</f>
        <v>Total</v>
      </c>
      <c r="K1163" s="244"/>
      <c r="L1163" s="244" t="str">
        <f>$L$7</f>
        <v>FT</v>
      </c>
      <c r="M1163" s="244" t="str">
        <f>$M$7</f>
        <v>PT</v>
      </c>
      <c r="N1163" s="244" t="str">
        <f>$N$7</f>
        <v>SE</v>
      </c>
      <c r="O1163" s="244" t="str">
        <f>$O$7</f>
        <v>Total</v>
      </c>
    </row>
    <row r="1164" spans="1:15" s="212" customFormat="1" ht="12.95">
      <c r="A1164" s="234"/>
      <c r="B1164" s="215"/>
      <c r="C1164" s="215"/>
      <c r="D1164" s="215"/>
      <c r="E1164" s="215"/>
      <c r="F1164" s="215"/>
      <c r="G1164" s="215"/>
      <c r="H1164" s="215"/>
      <c r="I1164" s="215"/>
      <c r="J1164" s="215"/>
      <c r="K1164" s="215"/>
      <c r="L1164" s="215"/>
      <c r="M1164" s="215"/>
      <c r="N1164" s="215"/>
      <c r="O1164" s="215"/>
    </row>
    <row r="1165" spans="1:15" s="212" customFormat="1">
      <c r="A1165" s="213" t="str">
        <f>name!E$4</f>
        <v>Managers, directors and senior officials</v>
      </c>
      <c r="B1165" s="278">
        <v>21.93388231157083</v>
      </c>
      <c r="C1165" s="278">
        <v>8.749013542729223</v>
      </c>
      <c r="D1165" s="278">
        <v>3.6502028768194563</v>
      </c>
      <c r="E1165" s="278">
        <f>SUM(B1165:D1165)</f>
        <v>34.333098731119506</v>
      </c>
      <c r="F1165" s="279"/>
      <c r="G1165" s="278">
        <v>21.586705463947911</v>
      </c>
      <c r="H1165" s="278">
        <v>10.936756029301279</v>
      </c>
      <c r="I1165" s="278">
        <v>3.499775297082941</v>
      </c>
      <c r="J1165" s="278">
        <f>SUM(G1165:I1165)</f>
        <v>36.023236790332128</v>
      </c>
      <c r="K1165" s="279"/>
      <c r="L1165" s="278">
        <v>22.404714492492047</v>
      </c>
      <c r="M1165" s="278">
        <v>12.406019425485036</v>
      </c>
      <c r="N1165" s="278">
        <v>4.7569380240854144</v>
      </c>
      <c r="O1165" s="278">
        <f>SUM(L1165:N1165)</f>
        <v>39.567671942062496</v>
      </c>
    </row>
    <row r="1166" spans="1:15" s="212" customFormat="1">
      <c r="A1166" s="213" t="str">
        <f>name!E$5</f>
        <v>Professional occupations</v>
      </c>
      <c r="B1166" s="278">
        <v>139.98444624834806</v>
      </c>
      <c r="C1166" s="278">
        <v>87.559937270787486</v>
      </c>
      <c r="D1166" s="278">
        <v>22.8783419754383</v>
      </c>
      <c r="E1166" s="278">
        <f t="shared" ref="E1166:E1173" si="497">SUM(B1166:D1166)</f>
        <v>250.42272549457385</v>
      </c>
      <c r="F1166" s="279"/>
      <c r="G1166" s="278">
        <v>145.13550709622578</v>
      </c>
      <c r="H1166" s="278">
        <v>94.00550525612833</v>
      </c>
      <c r="I1166" s="278">
        <v>22.913775214726648</v>
      </c>
      <c r="J1166" s="278">
        <f t="shared" ref="J1166:J1168" si="498">SUM(G1166:I1166)</f>
        <v>262.05478756708072</v>
      </c>
      <c r="K1166" s="279"/>
      <c r="L1166" s="278">
        <v>166.44207472658215</v>
      </c>
      <c r="M1166" s="278">
        <v>96.202888516069976</v>
      </c>
      <c r="N1166" s="278">
        <v>26.207476514049798</v>
      </c>
      <c r="O1166" s="278">
        <f t="shared" ref="O1166:O1173" si="499">SUM(L1166:N1166)</f>
        <v>288.85243975670193</v>
      </c>
    </row>
    <row r="1167" spans="1:15" s="212" customFormat="1">
      <c r="A1167" s="213" t="str">
        <f>name!E$6</f>
        <v>Associate professional occupations</v>
      </c>
      <c r="B1167" s="278">
        <v>55.881188149934495</v>
      </c>
      <c r="C1167" s="278">
        <v>45.589299728415476</v>
      </c>
      <c r="D1167" s="278">
        <v>10.78280133806094</v>
      </c>
      <c r="E1167" s="278">
        <f t="shared" si="497"/>
        <v>112.25328921641091</v>
      </c>
      <c r="F1167" s="279"/>
      <c r="G1167" s="278">
        <v>56.419335295566363</v>
      </c>
      <c r="H1167" s="278">
        <v>48.364689017278465</v>
      </c>
      <c r="I1167" s="278">
        <v>8.5155845455692063</v>
      </c>
      <c r="J1167" s="278">
        <f t="shared" si="498"/>
        <v>113.29960885841403</v>
      </c>
      <c r="K1167" s="279"/>
      <c r="L1167" s="278">
        <v>102.52067657595981</v>
      </c>
      <c r="M1167" s="278">
        <v>70.099060644132237</v>
      </c>
      <c r="N1167" s="278">
        <v>11.952565474792671</v>
      </c>
      <c r="O1167" s="278">
        <f t="shared" si="499"/>
        <v>184.57230269488471</v>
      </c>
    </row>
    <row r="1168" spans="1:15" s="212" customFormat="1">
      <c r="A1168" s="213" t="str">
        <f>name!E$7</f>
        <v>Administrative and secretarial occupations</v>
      </c>
      <c r="B1168" s="278">
        <v>32.595302692300031</v>
      </c>
      <c r="C1168" s="278">
        <v>48.59371224310118</v>
      </c>
      <c r="D1168" s="278">
        <v>2.6022409296726163</v>
      </c>
      <c r="E1168" s="278">
        <f t="shared" si="497"/>
        <v>83.791255865073836</v>
      </c>
      <c r="F1168" s="279"/>
      <c r="G1168" s="278">
        <v>27.609740679175179</v>
      </c>
      <c r="H1168" s="278">
        <v>41.40241274432006</v>
      </c>
      <c r="I1168" s="278">
        <v>1.5980805022108158</v>
      </c>
      <c r="J1168" s="278">
        <f t="shared" si="498"/>
        <v>70.610233925706055</v>
      </c>
      <c r="K1168" s="279"/>
      <c r="L1168" s="278">
        <v>24.96574652174019</v>
      </c>
      <c r="M1168" s="278">
        <v>23.143547189414008</v>
      </c>
      <c r="N1168" s="278">
        <v>0.93130764227137997</v>
      </c>
      <c r="O1168" s="278">
        <f t="shared" si="499"/>
        <v>49.040601353425572</v>
      </c>
    </row>
    <row r="1169" spans="1:15" s="212" customFormat="1">
      <c r="A1169" s="213" t="str">
        <f>name!E$8</f>
        <v>Skilled trades occupations</v>
      </c>
      <c r="B1169" s="278">
        <v>3.9241422569691768</v>
      </c>
      <c r="C1169" s="278">
        <v>5.1823464927897636</v>
      </c>
      <c r="D1169" s="278">
        <v>1.088990488686528</v>
      </c>
      <c r="E1169" s="278">
        <f t="shared" si="497"/>
        <v>10.195479238445468</v>
      </c>
      <c r="F1169" s="279"/>
      <c r="G1169" s="278">
        <v>2.5908248963421383</v>
      </c>
      <c r="H1169" s="278">
        <v>3.4605428313224555</v>
      </c>
      <c r="I1169" s="278">
        <v>0.87374975645663422</v>
      </c>
      <c r="J1169" s="278">
        <f>SUM(G1169:I1169)</f>
        <v>6.9251174841212286</v>
      </c>
      <c r="K1169" s="279"/>
      <c r="L1169" s="278">
        <v>1.7045464622463564</v>
      </c>
      <c r="M1169" s="278">
        <v>2.6197100714531594</v>
      </c>
      <c r="N1169" s="278">
        <v>1.0088528439222528</v>
      </c>
      <c r="O1169" s="278">
        <f t="shared" si="499"/>
        <v>5.3331093776217688</v>
      </c>
    </row>
    <row r="1170" spans="1:15" s="212" customFormat="1">
      <c r="A1170" s="213" t="str">
        <f>name!E$9</f>
        <v>Caring, leisure and other service occupations</v>
      </c>
      <c r="B1170" s="278">
        <v>134.68630754393951</v>
      </c>
      <c r="C1170" s="278">
        <v>147.19529324293137</v>
      </c>
      <c r="D1170" s="278">
        <v>24.768254043919775</v>
      </c>
      <c r="E1170" s="278">
        <f t="shared" si="497"/>
        <v>306.64985483079067</v>
      </c>
      <c r="F1170" s="279"/>
      <c r="G1170" s="278">
        <v>121.806744789259</v>
      </c>
      <c r="H1170" s="278">
        <v>132.7841539635285</v>
      </c>
      <c r="I1170" s="278">
        <v>23.059599086074716</v>
      </c>
      <c r="J1170" s="278">
        <f t="shared" ref="J1170:J1173" si="500">SUM(G1170:I1170)</f>
        <v>277.65049783886224</v>
      </c>
      <c r="K1170" s="279"/>
      <c r="L1170" s="278">
        <v>154.35759979941028</v>
      </c>
      <c r="M1170" s="278">
        <v>124.99310625547898</v>
      </c>
      <c r="N1170" s="278">
        <v>25.752678351869729</v>
      </c>
      <c r="O1170" s="278">
        <f t="shared" si="499"/>
        <v>305.10338440675901</v>
      </c>
    </row>
    <row r="1171" spans="1:15" s="212" customFormat="1">
      <c r="A1171" s="213" t="str">
        <f>name!E$10</f>
        <v>Sales and customer service occupations</v>
      </c>
      <c r="B1171" s="278">
        <v>4.7942461069046338</v>
      </c>
      <c r="C1171" s="278">
        <v>6.4132763057184965</v>
      </c>
      <c r="D1171" s="278">
        <v>0.82591371050369355</v>
      </c>
      <c r="E1171" s="278">
        <f t="shared" si="497"/>
        <v>12.033436123126824</v>
      </c>
      <c r="F1171" s="279"/>
      <c r="G1171" s="278">
        <v>4.0633547353366044</v>
      </c>
      <c r="H1171" s="278">
        <v>5.3744264510075244</v>
      </c>
      <c r="I1171" s="278">
        <v>0.45627673914498007</v>
      </c>
      <c r="J1171" s="278">
        <f t="shared" si="500"/>
        <v>9.8940579254891095</v>
      </c>
      <c r="K1171" s="279"/>
      <c r="L1171" s="278">
        <v>4.6112936954777686</v>
      </c>
      <c r="M1171" s="278">
        <v>5.371551569246038</v>
      </c>
      <c r="N1171" s="278">
        <v>0.55826185158022079</v>
      </c>
      <c r="O1171" s="278">
        <f t="shared" si="499"/>
        <v>10.541107116304028</v>
      </c>
    </row>
    <row r="1172" spans="1:15" s="212" customFormat="1">
      <c r="A1172" s="213" t="str">
        <f>name!E$11</f>
        <v>Process, plant and machine operatives</v>
      </c>
      <c r="B1172" s="278">
        <v>1.2394465564827053</v>
      </c>
      <c r="C1172" s="278">
        <v>3.9536283629726867</v>
      </c>
      <c r="D1172" s="278">
        <v>0.19577897801266081</v>
      </c>
      <c r="E1172" s="278">
        <f t="shared" si="497"/>
        <v>5.3888538974680529</v>
      </c>
      <c r="F1172" s="279"/>
      <c r="G1172" s="278">
        <v>0.80665574457623501</v>
      </c>
      <c r="H1172" s="278">
        <v>2.9984517646002615</v>
      </c>
      <c r="I1172" s="278">
        <v>0.18185789970104782</v>
      </c>
      <c r="J1172" s="278">
        <f t="shared" si="500"/>
        <v>3.9869654088775444</v>
      </c>
      <c r="K1172" s="279"/>
      <c r="L1172" s="278">
        <v>0.44123438679785076</v>
      </c>
      <c r="M1172" s="278">
        <v>2.0122352336884854</v>
      </c>
      <c r="N1172" s="278">
        <v>0.21996690179989703</v>
      </c>
      <c r="O1172" s="278">
        <f t="shared" si="499"/>
        <v>2.6734365222862331</v>
      </c>
    </row>
    <row r="1173" spans="1:15" s="212" customFormat="1">
      <c r="A1173" s="213" t="str">
        <f>name!E$12</f>
        <v>Elementary occupations</v>
      </c>
      <c r="B1173" s="278">
        <v>5.5470381308114831</v>
      </c>
      <c r="C1173" s="278">
        <v>21.073492804168701</v>
      </c>
      <c r="D1173" s="278">
        <v>0.88147565509008818</v>
      </c>
      <c r="E1173" s="278">
        <f t="shared" si="497"/>
        <v>27.502006590070273</v>
      </c>
      <c r="F1173" s="279"/>
      <c r="G1173" s="278">
        <v>3.9611312987266776</v>
      </c>
      <c r="H1173" s="278">
        <v>14.142061938134976</v>
      </c>
      <c r="I1173" s="278">
        <v>0.43630096303750182</v>
      </c>
      <c r="J1173" s="278">
        <f t="shared" si="500"/>
        <v>18.539494199899156</v>
      </c>
      <c r="K1173" s="279"/>
      <c r="L1173" s="278">
        <v>3.1861133355377027</v>
      </c>
      <c r="M1173" s="278">
        <v>8.0468810821186878</v>
      </c>
      <c r="N1173" s="278">
        <v>0.59895239641902054</v>
      </c>
      <c r="O1173" s="278">
        <f t="shared" si="499"/>
        <v>11.831946814075412</v>
      </c>
    </row>
    <row r="1174" spans="1:15" s="212" customFormat="1">
      <c r="A1174" s="213"/>
      <c r="B1174" s="278"/>
      <c r="C1174" s="278"/>
      <c r="D1174" s="278"/>
      <c r="E1174" s="278"/>
      <c r="F1174" s="279"/>
      <c r="G1174" s="278"/>
      <c r="H1174" s="278"/>
      <c r="I1174" s="278"/>
      <c r="J1174" s="278"/>
      <c r="K1174" s="279"/>
      <c r="L1174" s="278"/>
      <c r="M1174" s="278"/>
      <c r="N1174" s="278"/>
      <c r="O1174" s="278"/>
    </row>
    <row r="1175" spans="1:15" s="212" customFormat="1">
      <c r="A1175" s="220" t="s">
        <v>119</v>
      </c>
      <c r="B1175" s="282">
        <f>SUM(B1165:B1173)</f>
        <v>400.58599999726096</v>
      </c>
      <c r="C1175" s="282">
        <f t="shared" ref="C1175:E1175" si="501">SUM(C1165:C1173)</f>
        <v>374.30999999361438</v>
      </c>
      <c r="D1175" s="282">
        <f t="shared" si="501"/>
        <v>67.67399999620406</v>
      </c>
      <c r="E1175" s="282">
        <f t="shared" si="501"/>
        <v>842.56999998707943</v>
      </c>
      <c r="F1175" s="282"/>
      <c r="G1175" s="282">
        <f t="shared" ref="G1175:J1175" si="502">SUM(G1165:G1173)</f>
        <v>383.97999999915584</v>
      </c>
      <c r="H1175" s="282">
        <f t="shared" si="502"/>
        <v>353.4689999956218</v>
      </c>
      <c r="I1175" s="282">
        <f t="shared" si="502"/>
        <v>61.535000004004488</v>
      </c>
      <c r="J1175" s="282">
        <f t="shared" si="502"/>
        <v>798.98399999878234</v>
      </c>
      <c r="K1175" s="282"/>
      <c r="L1175" s="282">
        <f t="shared" ref="L1175:O1175" si="503">SUM(L1165:L1173)</f>
        <v>480.6339999962442</v>
      </c>
      <c r="M1175" s="282">
        <f t="shared" si="503"/>
        <v>344.89499998708663</v>
      </c>
      <c r="N1175" s="282">
        <f t="shared" si="503"/>
        <v>71.987000000790388</v>
      </c>
      <c r="O1175" s="282">
        <f t="shared" si="503"/>
        <v>897.51599998412121</v>
      </c>
    </row>
    <row r="1176" spans="1:15" s="212" customFormat="1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3"/>
      <c r="M1176" s="213"/>
      <c r="N1176" s="216"/>
    </row>
    <row r="1177" spans="1:15" s="212" customFormat="1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13"/>
      <c r="M1177" s="213"/>
      <c r="N1177" s="216"/>
      <c r="O1177" s="227" t="s">
        <v>114</v>
      </c>
    </row>
    <row r="1178" spans="1:15" s="212" customFormat="1" ht="12.95">
      <c r="A1178" s="218"/>
      <c r="B1178" s="218"/>
      <c r="C1178" s="218"/>
      <c r="D1178" s="218"/>
      <c r="E1178" s="218"/>
      <c r="F1178" s="218"/>
      <c r="G1178" s="218"/>
      <c r="H1178" s="218"/>
      <c r="I1178" s="218"/>
      <c r="J1178" s="218"/>
      <c r="K1178" s="218"/>
      <c r="L1178" s="218"/>
      <c r="M1178" s="218"/>
      <c r="N1178" s="218"/>
      <c r="O1178" s="218"/>
    </row>
    <row r="1179" spans="1:15" s="212" customFormat="1" ht="12.95">
      <c r="A1179" s="217" t="str">
        <f>name!A72</f>
        <v>Arts and entertainment</v>
      </c>
      <c r="B1179" s="369">
        <f>$B$6</f>
        <v>2015</v>
      </c>
      <c r="C1179" s="369"/>
      <c r="D1179" s="369"/>
      <c r="E1179" s="369"/>
      <c r="F1179" s="239"/>
      <c r="G1179" s="369">
        <f>$G$6</f>
        <v>2020</v>
      </c>
      <c r="H1179" s="369"/>
      <c r="I1179" s="369"/>
      <c r="J1179" s="369"/>
      <c r="K1179" s="239"/>
      <c r="L1179" s="369">
        <f>$L$6</f>
        <v>2035</v>
      </c>
      <c r="M1179" s="369"/>
      <c r="N1179" s="369"/>
      <c r="O1179" s="369"/>
    </row>
    <row r="1180" spans="1:15" s="212" customFormat="1" ht="12.95">
      <c r="A1180" s="230"/>
      <c r="B1180" s="244" t="str">
        <f>$B$7</f>
        <v>FT</v>
      </c>
      <c r="C1180" s="244" t="str">
        <f>$C$7</f>
        <v>PT</v>
      </c>
      <c r="D1180" s="244" t="str">
        <f>$D$7</f>
        <v>SE</v>
      </c>
      <c r="E1180" s="244" t="str">
        <f>$E$7</f>
        <v>Total</v>
      </c>
      <c r="F1180" s="244"/>
      <c r="G1180" s="244" t="str">
        <f>$G$7</f>
        <v>FT</v>
      </c>
      <c r="H1180" s="244" t="str">
        <f>$H$7</f>
        <v>PT</v>
      </c>
      <c r="I1180" s="244" t="str">
        <f>$I$7</f>
        <v>SE</v>
      </c>
      <c r="J1180" s="244" t="str">
        <f>$J$7</f>
        <v>Total</v>
      </c>
      <c r="K1180" s="244"/>
      <c r="L1180" s="244" t="str">
        <f>$L$7</f>
        <v>FT</v>
      </c>
      <c r="M1180" s="244" t="str">
        <f>$M$7</f>
        <v>PT</v>
      </c>
      <c r="N1180" s="244" t="str">
        <f>$N$7</f>
        <v>SE</v>
      </c>
      <c r="O1180" s="244" t="str">
        <f>$O$7</f>
        <v>Total</v>
      </c>
    </row>
    <row r="1181" spans="1:15" s="212" customFormat="1" ht="12.95">
      <c r="A1181" s="234"/>
      <c r="B1181" s="215"/>
      <c r="C1181" s="215"/>
      <c r="D1181" s="215"/>
      <c r="E1181" s="215"/>
      <c r="F1181" s="215"/>
      <c r="G1181" s="215"/>
      <c r="H1181" s="215"/>
      <c r="I1181" s="215"/>
      <c r="J1181" s="215"/>
      <c r="K1181" s="215"/>
      <c r="L1181" s="215"/>
      <c r="M1181" s="215"/>
      <c r="N1181" s="215"/>
      <c r="O1181" s="215"/>
    </row>
    <row r="1182" spans="1:15" s="212" customFormat="1">
      <c r="A1182" s="213" t="str">
        <f>name!E$4</f>
        <v>Managers, directors and senior officials</v>
      </c>
      <c r="B1182" s="278">
        <v>7.1412048789135385</v>
      </c>
      <c r="C1182" s="278">
        <v>1.5510743139338705</v>
      </c>
      <c r="D1182" s="278">
        <v>5.1779542181114921</v>
      </c>
      <c r="E1182" s="278">
        <f>SUM(B1182:D1182)</f>
        <v>13.8702334109589</v>
      </c>
      <c r="F1182" s="279"/>
      <c r="G1182" s="278">
        <v>8.2493239823326832</v>
      </c>
      <c r="H1182" s="278">
        <v>2.6649303312550137</v>
      </c>
      <c r="I1182" s="278">
        <v>7.1669531310674826</v>
      </c>
      <c r="J1182" s="278">
        <f>SUM(G1182:I1182)</f>
        <v>18.081207444655181</v>
      </c>
      <c r="K1182" s="279"/>
      <c r="L1182" s="278">
        <v>7.6768907996063849</v>
      </c>
      <c r="M1182" s="278">
        <v>3.369153211225949</v>
      </c>
      <c r="N1182" s="278">
        <v>8.1387409627179572</v>
      </c>
      <c r="O1182" s="278">
        <f>SUM(L1182:N1182)</f>
        <v>19.184784973550293</v>
      </c>
    </row>
    <row r="1183" spans="1:15" s="212" customFormat="1">
      <c r="A1183" s="213" t="str">
        <f>name!E$5</f>
        <v>Professional occupations</v>
      </c>
      <c r="B1183" s="278">
        <v>9.9369548335000619</v>
      </c>
      <c r="C1183" s="278">
        <v>3.3604009449650802</v>
      </c>
      <c r="D1183" s="278">
        <v>15.046939928616506</v>
      </c>
      <c r="E1183" s="278">
        <f t="shared" ref="E1183:E1190" si="504">SUM(B1183:D1183)</f>
        <v>28.344295707081649</v>
      </c>
      <c r="F1183" s="279"/>
      <c r="G1183" s="278">
        <v>13.058701206505678</v>
      </c>
      <c r="H1183" s="278">
        <v>5.4991107499724237</v>
      </c>
      <c r="I1183" s="278">
        <v>17.230040244140685</v>
      </c>
      <c r="J1183" s="278">
        <f t="shared" ref="J1183:J1185" si="505">SUM(G1183:I1183)</f>
        <v>35.787852200618786</v>
      </c>
      <c r="K1183" s="279"/>
      <c r="L1183" s="278">
        <v>15.007545038002684</v>
      </c>
      <c r="M1183" s="278">
        <v>8.1839694805025083</v>
      </c>
      <c r="N1183" s="278">
        <v>16.303259633422925</v>
      </c>
      <c r="O1183" s="278">
        <f t="shared" ref="O1183:O1190" si="506">SUM(L1183:N1183)</f>
        <v>39.494774151928119</v>
      </c>
    </row>
    <row r="1184" spans="1:15" s="212" customFormat="1">
      <c r="A1184" s="213" t="str">
        <f>name!E$6</f>
        <v>Associate professional occupations</v>
      </c>
      <c r="B1184" s="278">
        <v>12.129384659007838</v>
      </c>
      <c r="C1184" s="278">
        <v>6.013225868790494</v>
      </c>
      <c r="D1184" s="278">
        <v>43.506328327608301</v>
      </c>
      <c r="E1184" s="278">
        <f t="shared" si="504"/>
        <v>61.648938855406634</v>
      </c>
      <c r="F1184" s="279"/>
      <c r="G1184" s="278">
        <v>13.274242944907755</v>
      </c>
      <c r="H1184" s="278">
        <v>7.8500605496605225</v>
      </c>
      <c r="I1184" s="278">
        <v>55.550011891504035</v>
      </c>
      <c r="J1184" s="278">
        <f t="shared" si="505"/>
        <v>76.674315386072308</v>
      </c>
      <c r="K1184" s="279"/>
      <c r="L1184" s="278">
        <v>12.735196941881094</v>
      </c>
      <c r="M1184" s="278">
        <v>8.2747011672952446</v>
      </c>
      <c r="N1184" s="278">
        <v>53.724515784354821</v>
      </c>
      <c r="O1184" s="278">
        <f t="shared" si="506"/>
        <v>74.734413893531155</v>
      </c>
    </row>
    <row r="1185" spans="1:15" s="212" customFormat="1">
      <c r="A1185" s="213" t="str">
        <f>name!E$7</f>
        <v>Administrative and secretarial occupations</v>
      </c>
      <c r="B1185" s="278">
        <v>5.1812185303842915</v>
      </c>
      <c r="C1185" s="278">
        <v>6.2571039959859123</v>
      </c>
      <c r="D1185" s="278">
        <v>0.96296864260171156</v>
      </c>
      <c r="E1185" s="278">
        <f t="shared" si="504"/>
        <v>12.401291168971916</v>
      </c>
      <c r="F1185" s="279"/>
      <c r="G1185" s="278">
        <v>5.6419982748327984</v>
      </c>
      <c r="H1185" s="278">
        <v>7.8443543193400158</v>
      </c>
      <c r="I1185" s="278">
        <v>1.3413660255135844</v>
      </c>
      <c r="J1185" s="278">
        <f t="shared" si="505"/>
        <v>14.827718619686399</v>
      </c>
      <c r="K1185" s="279"/>
      <c r="L1185" s="278">
        <v>4.9668605125250114</v>
      </c>
      <c r="M1185" s="278">
        <v>7.0314139554628659</v>
      </c>
      <c r="N1185" s="278">
        <v>0.91901082634042064</v>
      </c>
      <c r="O1185" s="278">
        <f t="shared" si="506"/>
        <v>12.917285294328297</v>
      </c>
    </row>
    <row r="1186" spans="1:15" s="212" customFormat="1">
      <c r="A1186" s="213" t="str">
        <f>name!E$8</f>
        <v>Skilled trades occupations</v>
      </c>
      <c r="B1186" s="278">
        <v>4.1917567213018794</v>
      </c>
      <c r="C1186" s="278">
        <v>1.1122466104778224</v>
      </c>
      <c r="D1186" s="278">
        <v>6.0996041475801359</v>
      </c>
      <c r="E1186" s="278">
        <f t="shared" si="504"/>
        <v>11.403607479359838</v>
      </c>
      <c r="F1186" s="279"/>
      <c r="G1186" s="278">
        <v>3.5814012080182502</v>
      </c>
      <c r="H1186" s="278">
        <v>1.3552131177361073</v>
      </c>
      <c r="I1186" s="278">
        <v>7.7962343715799332</v>
      </c>
      <c r="J1186" s="278">
        <f>SUM(G1186:I1186)</f>
        <v>12.73284869733429</v>
      </c>
      <c r="K1186" s="279"/>
      <c r="L1186" s="278">
        <v>3.0746755877653187</v>
      </c>
      <c r="M1186" s="278">
        <v>1.888278284356949</v>
      </c>
      <c r="N1186" s="278">
        <v>8.8083450832879162</v>
      </c>
      <c r="O1186" s="278">
        <f t="shared" si="506"/>
        <v>13.771298955410185</v>
      </c>
    </row>
    <row r="1187" spans="1:15" s="212" customFormat="1">
      <c r="A1187" s="213" t="str">
        <f>name!E$9</f>
        <v>Caring, leisure and other service occupations</v>
      </c>
      <c r="B1187" s="278">
        <v>3.1545968580335728</v>
      </c>
      <c r="C1187" s="278">
        <v>3.6063908051017952</v>
      </c>
      <c r="D1187" s="278">
        <v>1.0676594188703941</v>
      </c>
      <c r="E1187" s="278">
        <f t="shared" si="504"/>
        <v>7.8286470820057623</v>
      </c>
      <c r="F1187" s="279"/>
      <c r="G1187" s="278">
        <v>3.0707700052591913</v>
      </c>
      <c r="H1187" s="278">
        <v>4.3349294564700216</v>
      </c>
      <c r="I1187" s="278">
        <v>1.8031462034712544</v>
      </c>
      <c r="J1187" s="278">
        <f t="shared" ref="J1187:J1190" si="507">SUM(G1187:I1187)</f>
        <v>9.2088456652004673</v>
      </c>
      <c r="K1187" s="279"/>
      <c r="L1187" s="278">
        <v>2.3422812091489469</v>
      </c>
      <c r="M1187" s="278">
        <v>4.3018346981336304</v>
      </c>
      <c r="N1187" s="278">
        <v>1.9485315735430708</v>
      </c>
      <c r="O1187" s="278">
        <f t="shared" si="506"/>
        <v>8.5926474808256472</v>
      </c>
    </row>
    <row r="1188" spans="1:15" s="212" customFormat="1">
      <c r="A1188" s="213" t="str">
        <f>name!E$10</f>
        <v>Sales and customer service occupations</v>
      </c>
      <c r="B1188" s="278">
        <v>2.4384366988120365</v>
      </c>
      <c r="C1188" s="278">
        <v>2.373997080394818</v>
      </c>
      <c r="D1188" s="278">
        <v>1.1194844083728035</v>
      </c>
      <c r="E1188" s="278">
        <f t="shared" si="504"/>
        <v>5.9319181875796581</v>
      </c>
      <c r="F1188" s="279"/>
      <c r="G1188" s="278">
        <v>2.637375935977281</v>
      </c>
      <c r="H1188" s="278">
        <v>3.2596788574962803</v>
      </c>
      <c r="I1188" s="278">
        <v>1.098467207353869</v>
      </c>
      <c r="J1188" s="278">
        <f t="shared" si="507"/>
        <v>6.9955220008274299</v>
      </c>
      <c r="K1188" s="279"/>
      <c r="L1188" s="278">
        <v>2.4114178085360596</v>
      </c>
      <c r="M1188" s="278">
        <v>3.5008773023637727</v>
      </c>
      <c r="N1188" s="278">
        <v>0.95708664784533792</v>
      </c>
      <c r="O1188" s="278">
        <f t="shared" si="506"/>
        <v>6.8693817587451695</v>
      </c>
    </row>
    <row r="1189" spans="1:15" s="212" customFormat="1">
      <c r="A1189" s="213" t="str">
        <f>name!E$11</f>
        <v>Process, plant and machine operatives</v>
      </c>
      <c r="B1189" s="278">
        <v>0.40845536723189729</v>
      </c>
      <c r="C1189" s="278">
        <v>0.23628827390617602</v>
      </c>
      <c r="D1189" s="278">
        <v>0.28164435637203089</v>
      </c>
      <c r="E1189" s="278">
        <f t="shared" si="504"/>
        <v>0.92638799751010426</v>
      </c>
      <c r="F1189" s="279"/>
      <c r="G1189" s="278">
        <v>0.30292122531799065</v>
      </c>
      <c r="H1189" s="278">
        <v>0.3682401824284175</v>
      </c>
      <c r="I1189" s="278">
        <v>0.36872006447173739</v>
      </c>
      <c r="J1189" s="278">
        <f t="shared" si="507"/>
        <v>1.0398814722181455</v>
      </c>
      <c r="K1189" s="279"/>
      <c r="L1189" s="278">
        <v>0.21928023807252517</v>
      </c>
      <c r="M1189" s="278">
        <v>0.40695383671951074</v>
      </c>
      <c r="N1189" s="278">
        <v>0.39393877548758482</v>
      </c>
      <c r="O1189" s="278">
        <f t="shared" si="506"/>
        <v>1.0201728502796206</v>
      </c>
    </row>
    <row r="1190" spans="1:15" s="212" customFormat="1">
      <c r="A1190" s="213" t="str">
        <f>name!E$12</f>
        <v>Elementary occupations</v>
      </c>
      <c r="B1190" s="278">
        <v>1.6939914524914534</v>
      </c>
      <c r="C1190" s="278">
        <v>6.1182721065998926</v>
      </c>
      <c r="D1190" s="278">
        <v>0.64841655350873184</v>
      </c>
      <c r="E1190" s="278">
        <f t="shared" si="504"/>
        <v>8.4606801126000786</v>
      </c>
      <c r="F1190" s="279"/>
      <c r="G1190" s="278">
        <v>1.3842652168026968</v>
      </c>
      <c r="H1190" s="278">
        <v>6.3884824356987195</v>
      </c>
      <c r="I1190" s="278">
        <v>0.65206086176472433</v>
      </c>
      <c r="J1190" s="278">
        <f t="shared" si="507"/>
        <v>8.4248085142661413</v>
      </c>
      <c r="K1190" s="279"/>
      <c r="L1190" s="278">
        <v>1.1218518649738738</v>
      </c>
      <c r="M1190" s="278">
        <v>3.9868180640435096</v>
      </c>
      <c r="N1190" s="278">
        <v>0.91057071630913244</v>
      </c>
      <c r="O1190" s="278">
        <f t="shared" si="506"/>
        <v>6.0192406453265157</v>
      </c>
    </row>
    <row r="1191" spans="1:15" s="212" customFormat="1">
      <c r="A1191" s="213"/>
      <c r="B1191" s="278"/>
      <c r="C1191" s="278"/>
      <c r="D1191" s="278"/>
      <c r="E1191" s="278"/>
      <c r="F1191" s="279"/>
      <c r="G1191" s="278"/>
      <c r="H1191" s="278"/>
      <c r="I1191" s="278"/>
      <c r="J1191" s="278"/>
      <c r="K1191" s="279"/>
      <c r="L1191" s="278"/>
      <c r="M1191" s="278"/>
      <c r="N1191" s="278"/>
      <c r="O1191" s="278"/>
    </row>
    <row r="1192" spans="1:15" s="212" customFormat="1">
      <c r="A1192" s="220" t="s">
        <v>119</v>
      </c>
      <c r="B1192" s="282">
        <f>SUM(B1182:B1190)</f>
        <v>46.275999999676564</v>
      </c>
      <c r="C1192" s="282">
        <f t="shared" ref="C1192:E1192" si="508">SUM(C1182:C1190)</f>
        <v>30.629000000155862</v>
      </c>
      <c r="D1192" s="282">
        <f t="shared" si="508"/>
        <v>73.911000001642108</v>
      </c>
      <c r="E1192" s="282">
        <f t="shared" si="508"/>
        <v>150.81600000147452</v>
      </c>
      <c r="F1192" s="282"/>
      <c r="G1192" s="282">
        <f t="shared" ref="G1192:J1192" si="509">SUM(G1182:G1190)</f>
        <v>51.20099999995432</v>
      </c>
      <c r="H1192" s="282">
        <f t="shared" si="509"/>
        <v>39.565000000057523</v>
      </c>
      <c r="I1192" s="282">
        <f t="shared" si="509"/>
        <v>93.007000000867293</v>
      </c>
      <c r="J1192" s="282">
        <f t="shared" si="509"/>
        <v>183.77300000087916</v>
      </c>
      <c r="K1192" s="282"/>
      <c r="L1192" s="282">
        <f t="shared" ref="L1192:O1192" si="510">SUM(L1182:L1190)</f>
        <v>49.556000000511901</v>
      </c>
      <c r="M1192" s="282">
        <f t="shared" si="510"/>
        <v>40.944000000103948</v>
      </c>
      <c r="N1192" s="282">
        <f t="shared" si="510"/>
        <v>92.104000003309181</v>
      </c>
      <c r="O1192" s="282">
        <f t="shared" si="510"/>
        <v>182.60400000392497</v>
      </c>
    </row>
    <row r="1193" spans="1:15" s="212" customFormat="1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3"/>
      <c r="M1193" s="213"/>
      <c r="N1193" s="216"/>
    </row>
    <row r="1194" spans="1:15" s="212" customFormat="1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13"/>
      <c r="M1194" s="213"/>
      <c r="N1194" s="216"/>
      <c r="O1194" s="227" t="s">
        <v>114</v>
      </c>
    </row>
    <row r="1195" spans="1:15" s="212" customFormat="1" ht="12.95">
      <c r="A1195" s="218"/>
      <c r="B1195" s="218"/>
      <c r="C1195" s="218"/>
      <c r="D1195" s="218"/>
      <c r="E1195" s="218"/>
      <c r="F1195" s="218"/>
      <c r="G1195" s="218"/>
      <c r="H1195" s="218"/>
      <c r="I1195" s="218"/>
      <c r="J1195" s="218"/>
      <c r="K1195" s="218"/>
      <c r="L1195" s="218"/>
      <c r="M1195" s="218"/>
      <c r="N1195" s="218"/>
      <c r="O1195" s="218"/>
    </row>
    <row r="1196" spans="1:15" s="212" customFormat="1" ht="12.95">
      <c r="A1196" s="217" t="str">
        <f>name!A73</f>
        <v>Libraries, etc</v>
      </c>
      <c r="B1196" s="369">
        <f>$B$6</f>
        <v>2015</v>
      </c>
      <c r="C1196" s="369"/>
      <c r="D1196" s="369"/>
      <c r="E1196" s="369"/>
      <c r="F1196" s="239"/>
      <c r="G1196" s="369">
        <f>$G$6</f>
        <v>2020</v>
      </c>
      <c r="H1196" s="369"/>
      <c r="I1196" s="369"/>
      <c r="J1196" s="369"/>
      <c r="K1196" s="239"/>
      <c r="L1196" s="369">
        <f>$L$6</f>
        <v>2035</v>
      </c>
      <c r="M1196" s="369"/>
      <c r="N1196" s="369"/>
      <c r="O1196" s="369"/>
    </row>
    <row r="1197" spans="1:15" s="212" customFormat="1" ht="12.95">
      <c r="A1197" s="230"/>
      <c r="B1197" s="244" t="str">
        <f>$B$7</f>
        <v>FT</v>
      </c>
      <c r="C1197" s="244" t="str">
        <f>$C$7</f>
        <v>PT</v>
      </c>
      <c r="D1197" s="244" t="str">
        <f>$D$7</f>
        <v>SE</v>
      </c>
      <c r="E1197" s="244" t="str">
        <f>$E$7</f>
        <v>Total</v>
      </c>
      <c r="F1197" s="244"/>
      <c r="G1197" s="244" t="str">
        <f>$G$7</f>
        <v>FT</v>
      </c>
      <c r="H1197" s="244" t="str">
        <f>$H$7</f>
        <v>PT</v>
      </c>
      <c r="I1197" s="244" t="str">
        <f>$I$7</f>
        <v>SE</v>
      </c>
      <c r="J1197" s="244" t="str">
        <f>$J$7</f>
        <v>Total</v>
      </c>
      <c r="K1197" s="244"/>
      <c r="L1197" s="244" t="str">
        <f>$L$7</f>
        <v>FT</v>
      </c>
      <c r="M1197" s="244" t="str">
        <f>$M$7</f>
        <v>PT</v>
      </c>
      <c r="N1197" s="244" t="str">
        <f>$N$7</f>
        <v>SE</v>
      </c>
      <c r="O1197" s="244" t="str">
        <f>$O$7</f>
        <v>Total</v>
      </c>
    </row>
    <row r="1198" spans="1:15" s="212" customFormat="1" ht="12.95">
      <c r="A1198" s="234"/>
      <c r="B1198" s="215"/>
      <c r="C1198" s="215"/>
      <c r="D1198" s="215"/>
      <c r="E1198" s="215"/>
      <c r="F1198" s="215"/>
      <c r="G1198" s="215"/>
      <c r="H1198" s="215"/>
      <c r="I1198" s="215"/>
      <c r="J1198" s="215"/>
      <c r="K1198" s="215"/>
      <c r="L1198" s="215"/>
      <c r="M1198" s="215"/>
      <c r="N1198" s="215"/>
      <c r="O1198" s="215"/>
    </row>
    <row r="1199" spans="1:15" s="212" customFormat="1">
      <c r="A1199" s="213" t="str">
        <f>name!E$4</f>
        <v>Managers, directors and senior officials</v>
      </c>
      <c r="B1199" s="278">
        <v>7.8365644351816659</v>
      </c>
      <c r="C1199" s="278">
        <v>2.5920721973475227</v>
      </c>
      <c r="D1199" s="278">
        <v>4.850394423533908</v>
      </c>
      <c r="E1199" s="278">
        <f>SUM(B1199:D1199)</f>
        <v>15.279031056063097</v>
      </c>
      <c r="F1199" s="279"/>
      <c r="G1199" s="278">
        <v>6.5528687129869594</v>
      </c>
      <c r="H1199" s="278">
        <v>4.1135309307832451</v>
      </c>
      <c r="I1199" s="278">
        <v>5.9282512076110923</v>
      </c>
      <c r="J1199" s="278">
        <f>SUM(G1199:I1199)</f>
        <v>16.594650851381296</v>
      </c>
      <c r="K1199" s="279"/>
      <c r="L1199" s="278">
        <v>6.2812112171866445</v>
      </c>
      <c r="M1199" s="278">
        <v>5.4226502163906813</v>
      </c>
      <c r="N1199" s="278">
        <v>6.5369128825833345</v>
      </c>
      <c r="O1199" s="278">
        <f>SUM(L1199:N1199)</f>
        <v>18.24077431616066</v>
      </c>
    </row>
    <row r="1200" spans="1:15" s="212" customFormat="1">
      <c r="A1200" s="213" t="str">
        <f>name!E$5</f>
        <v>Professional occupations</v>
      </c>
      <c r="B1200" s="278">
        <v>9.0479203322098982</v>
      </c>
      <c r="C1200" s="278">
        <v>3.5081921365716955</v>
      </c>
      <c r="D1200" s="278">
        <v>14.304829907835334</v>
      </c>
      <c r="E1200" s="278">
        <f t="shared" ref="E1200:E1207" si="511">SUM(B1200:D1200)</f>
        <v>26.860942376616926</v>
      </c>
      <c r="F1200" s="279"/>
      <c r="G1200" s="278">
        <v>9.3083306980875857</v>
      </c>
      <c r="H1200" s="278">
        <v>5.5248770225873791</v>
      </c>
      <c r="I1200" s="278">
        <v>14.642752337667233</v>
      </c>
      <c r="J1200" s="278">
        <f t="shared" ref="J1200:J1202" si="512">SUM(G1200:I1200)</f>
        <v>29.475960058342196</v>
      </c>
      <c r="K1200" s="279"/>
      <c r="L1200" s="278">
        <v>10.648174340503614</v>
      </c>
      <c r="M1200" s="278">
        <v>7.5432450940960623</v>
      </c>
      <c r="N1200" s="278">
        <v>14.044217830454876</v>
      </c>
      <c r="O1200" s="278">
        <f t="shared" ref="O1200:O1207" si="513">SUM(L1200:N1200)</f>
        <v>32.23563726505455</v>
      </c>
    </row>
    <row r="1201" spans="1:15" s="212" customFormat="1">
      <c r="A1201" s="213" t="str">
        <f>name!E$6</f>
        <v>Associate professional occupations</v>
      </c>
      <c r="B1201" s="278">
        <v>11.080357588991864</v>
      </c>
      <c r="C1201" s="278">
        <v>5.9293431105081194</v>
      </c>
      <c r="D1201" s="278">
        <v>42.976867582606623</v>
      </c>
      <c r="E1201" s="278">
        <f t="shared" si="511"/>
        <v>59.986568282106603</v>
      </c>
      <c r="F1201" s="279"/>
      <c r="G1201" s="278">
        <v>9.4757277713792458</v>
      </c>
      <c r="H1201" s="278">
        <v>7.4672148605184647</v>
      </c>
      <c r="I1201" s="278">
        <v>48.765232856173085</v>
      </c>
      <c r="J1201" s="278">
        <f t="shared" si="512"/>
        <v>65.708175488070793</v>
      </c>
      <c r="K1201" s="279"/>
      <c r="L1201" s="278">
        <v>8.918039621403782</v>
      </c>
      <c r="M1201" s="278">
        <v>7.5031085296903068</v>
      </c>
      <c r="N1201" s="278">
        <v>47.254376216177874</v>
      </c>
      <c r="O1201" s="278">
        <f t="shared" si="513"/>
        <v>63.675524367271962</v>
      </c>
    </row>
    <row r="1202" spans="1:15" s="212" customFormat="1">
      <c r="A1202" s="213" t="str">
        <f>name!E$7</f>
        <v>Administrative and secretarial occupations</v>
      </c>
      <c r="B1202" s="278">
        <v>5.5164677547994483</v>
      </c>
      <c r="C1202" s="278">
        <v>9.1527817177876933</v>
      </c>
      <c r="D1202" s="278">
        <v>1.2032907295093034</v>
      </c>
      <c r="E1202" s="278">
        <f t="shared" si="511"/>
        <v>15.872540202096445</v>
      </c>
      <c r="F1202" s="279"/>
      <c r="G1202" s="278">
        <v>4.1214738268414077</v>
      </c>
      <c r="H1202" s="278">
        <v>10.274851308035528</v>
      </c>
      <c r="I1202" s="278">
        <v>1.369818250903915</v>
      </c>
      <c r="J1202" s="278">
        <f t="shared" si="512"/>
        <v>15.76614338578085</v>
      </c>
      <c r="K1202" s="279"/>
      <c r="L1202" s="278">
        <v>3.6290149013733632</v>
      </c>
      <c r="M1202" s="278">
        <v>8.9459893224440581</v>
      </c>
      <c r="N1202" s="278">
        <v>0.87311524768207305</v>
      </c>
      <c r="O1202" s="278">
        <f t="shared" si="513"/>
        <v>13.448119471499494</v>
      </c>
    </row>
    <row r="1203" spans="1:15" s="212" customFormat="1">
      <c r="A1203" s="213" t="str">
        <f>name!E$8</f>
        <v>Skilled trades occupations</v>
      </c>
      <c r="B1203" s="278">
        <v>5.1146438186921754</v>
      </c>
      <c r="C1203" s="278">
        <v>1.4648648366896462</v>
      </c>
      <c r="D1203" s="278">
        <v>6.7202143688483451</v>
      </c>
      <c r="E1203" s="278">
        <f t="shared" si="511"/>
        <v>13.299723024230167</v>
      </c>
      <c r="F1203" s="279"/>
      <c r="G1203" s="278">
        <v>2.9775479084558234</v>
      </c>
      <c r="H1203" s="278">
        <v>1.6593055139125499</v>
      </c>
      <c r="I1203" s="278">
        <v>7.5133590394239613</v>
      </c>
      <c r="J1203" s="278">
        <f>SUM(G1203:I1203)</f>
        <v>12.150212461792336</v>
      </c>
      <c r="K1203" s="279"/>
      <c r="L1203" s="278">
        <v>2.6287075558300983</v>
      </c>
      <c r="M1203" s="278">
        <v>2.5676827520797971</v>
      </c>
      <c r="N1203" s="278">
        <v>8.4312580168548923</v>
      </c>
      <c r="O1203" s="278">
        <f t="shared" si="513"/>
        <v>13.627648324764788</v>
      </c>
    </row>
    <row r="1204" spans="1:15" s="212" customFormat="1">
      <c r="A1204" s="213" t="str">
        <f>name!E$9</f>
        <v>Caring, leisure and other service occupations</v>
      </c>
      <c r="B1204" s="278">
        <v>3.5376092709741642</v>
      </c>
      <c r="C1204" s="278">
        <v>5.1539157925656589</v>
      </c>
      <c r="D1204" s="278">
        <v>1.2852252105577679</v>
      </c>
      <c r="E1204" s="278">
        <f t="shared" si="511"/>
        <v>9.97675027409759</v>
      </c>
      <c r="F1204" s="279"/>
      <c r="G1204" s="278">
        <v>2.3808107454816132</v>
      </c>
      <c r="H1204" s="278">
        <v>5.5313114773112497</v>
      </c>
      <c r="I1204" s="278">
        <v>1.8306104405688133</v>
      </c>
      <c r="J1204" s="278">
        <f t="shared" ref="J1204:J1207" si="514">SUM(G1204:I1204)</f>
        <v>9.7427326633616769</v>
      </c>
      <c r="K1204" s="279"/>
      <c r="L1204" s="278">
        <v>1.8242795760371306</v>
      </c>
      <c r="M1204" s="278">
        <v>5.1447548780054628</v>
      </c>
      <c r="N1204" s="278">
        <v>1.8642600448027851</v>
      </c>
      <c r="O1204" s="278">
        <f t="shared" si="513"/>
        <v>8.8332944988453779</v>
      </c>
    </row>
    <row r="1205" spans="1:15" s="212" customFormat="1">
      <c r="A1205" s="213" t="str">
        <f>name!E$10</f>
        <v>Sales and customer service occupations</v>
      </c>
      <c r="B1205" s="278">
        <v>2.7519893622223823</v>
      </c>
      <c r="C1205" s="278">
        <v>3.2715395175737005</v>
      </c>
      <c r="D1205" s="278">
        <v>1.0813719441479432</v>
      </c>
      <c r="E1205" s="278">
        <f t="shared" si="511"/>
        <v>7.1049008239440266</v>
      </c>
      <c r="F1205" s="279"/>
      <c r="G1205" s="278">
        <v>1.9682140328729747</v>
      </c>
      <c r="H1205" s="278">
        <v>3.93585427624773</v>
      </c>
      <c r="I1205" s="278">
        <v>0.91385913914762329</v>
      </c>
      <c r="J1205" s="278">
        <f t="shared" si="514"/>
        <v>6.8179274482683283</v>
      </c>
      <c r="K1205" s="279"/>
      <c r="L1205" s="278">
        <v>1.9036869876134956</v>
      </c>
      <c r="M1205" s="278">
        <v>4.2745574063128826</v>
      </c>
      <c r="N1205" s="278">
        <v>0.77065907174595827</v>
      </c>
      <c r="O1205" s="278">
        <f t="shared" si="513"/>
        <v>6.9489034656723359</v>
      </c>
    </row>
    <row r="1206" spans="1:15" s="212" customFormat="1">
      <c r="A1206" s="213" t="str">
        <f>name!E$11</f>
        <v>Process, plant and machine operatives</v>
      </c>
      <c r="B1206" s="278">
        <v>0.60088014891659014</v>
      </c>
      <c r="C1206" s="278">
        <v>0.30275851846983332</v>
      </c>
      <c r="D1206" s="278">
        <v>0.31295601290121855</v>
      </c>
      <c r="E1206" s="278">
        <f t="shared" si="511"/>
        <v>1.2165946802876419</v>
      </c>
      <c r="F1206" s="279"/>
      <c r="G1206" s="278">
        <v>0.27770652651513689</v>
      </c>
      <c r="H1206" s="278">
        <v>0.40947138268433281</v>
      </c>
      <c r="I1206" s="278">
        <v>0.34893053594900025</v>
      </c>
      <c r="J1206" s="278">
        <f t="shared" si="514"/>
        <v>1.0361084451484699</v>
      </c>
      <c r="K1206" s="279"/>
      <c r="L1206" s="278">
        <v>0.20204801700210509</v>
      </c>
      <c r="M1206" s="278">
        <v>0.49188896398156839</v>
      </c>
      <c r="N1206" s="278">
        <v>0.37702967064007015</v>
      </c>
      <c r="O1206" s="278">
        <f t="shared" si="513"/>
        <v>1.0709666516237437</v>
      </c>
    </row>
    <row r="1207" spans="1:15" s="212" customFormat="1">
      <c r="A1207" s="213" t="str">
        <f>name!E$12</f>
        <v>Elementary occupations</v>
      </c>
      <c r="B1207" s="278">
        <v>2.27956728770517</v>
      </c>
      <c r="C1207" s="278">
        <v>8.4505321726997042</v>
      </c>
      <c r="D1207" s="278">
        <v>0.86484982153984136</v>
      </c>
      <c r="E1207" s="278">
        <f t="shared" si="511"/>
        <v>11.594949281944716</v>
      </c>
      <c r="F1207" s="279"/>
      <c r="G1207" s="278">
        <v>1.1563197773216807</v>
      </c>
      <c r="H1207" s="278">
        <v>8.0805832280836132</v>
      </c>
      <c r="I1207" s="278">
        <v>0.65818619263404432</v>
      </c>
      <c r="J1207" s="278">
        <f t="shared" si="514"/>
        <v>9.8950891980393383</v>
      </c>
      <c r="K1207" s="279"/>
      <c r="L1207" s="278">
        <v>0.9588377834194084</v>
      </c>
      <c r="M1207" s="278">
        <v>5.2671228373073866</v>
      </c>
      <c r="N1207" s="278">
        <v>0.98017102151475299</v>
      </c>
      <c r="O1207" s="278">
        <f t="shared" si="513"/>
        <v>7.206131642241548</v>
      </c>
    </row>
    <row r="1208" spans="1:15" s="212" customFormat="1">
      <c r="A1208" s="213"/>
      <c r="B1208" s="278"/>
      <c r="C1208" s="278"/>
      <c r="D1208" s="278"/>
      <c r="E1208" s="278"/>
      <c r="F1208" s="279"/>
      <c r="G1208" s="278"/>
      <c r="H1208" s="278"/>
      <c r="I1208" s="278"/>
      <c r="J1208" s="278"/>
      <c r="K1208" s="279"/>
      <c r="L1208" s="278"/>
      <c r="M1208" s="278"/>
      <c r="N1208" s="278"/>
      <c r="O1208" s="278"/>
    </row>
    <row r="1209" spans="1:15" s="212" customFormat="1">
      <c r="A1209" s="220" t="s">
        <v>119</v>
      </c>
      <c r="B1209" s="282">
        <f>SUM(B1199:B1207)</f>
        <v>47.765999999693356</v>
      </c>
      <c r="C1209" s="282">
        <f t="shared" ref="C1209:E1209" si="515">SUM(C1199:C1207)</f>
        <v>39.826000000213575</v>
      </c>
      <c r="D1209" s="282">
        <f t="shared" si="515"/>
        <v>73.600000001480282</v>
      </c>
      <c r="E1209" s="282">
        <f t="shared" si="515"/>
        <v>161.19200000138721</v>
      </c>
      <c r="F1209" s="282"/>
      <c r="G1209" s="282">
        <f t="shared" ref="G1209:J1209" si="516">SUM(G1199:G1207)</f>
        <v>38.218999999942426</v>
      </c>
      <c r="H1209" s="282">
        <f t="shared" si="516"/>
        <v>46.997000000164086</v>
      </c>
      <c r="I1209" s="282">
        <f t="shared" si="516"/>
        <v>81.97100000007876</v>
      </c>
      <c r="J1209" s="282">
        <f t="shared" si="516"/>
        <v>167.18700000018526</v>
      </c>
      <c r="K1209" s="282"/>
      <c r="L1209" s="282">
        <f t="shared" ref="L1209:O1209" si="517">SUM(L1199:L1207)</f>
        <v>36.994000000369638</v>
      </c>
      <c r="M1209" s="282">
        <f t="shared" si="517"/>
        <v>47.161000000308206</v>
      </c>
      <c r="N1209" s="282">
        <f t="shared" si="517"/>
        <v>81.132000002456621</v>
      </c>
      <c r="O1209" s="282">
        <f t="shared" si="517"/>
        <v>165.28700000313447</v>
      </c>
    </row>
    <row r="1210" spans="1:15" s="212" customFormat="1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3"/>
      <c r="M1210" s="213"/>
      <c r="N1210" s="216"/>
    </row>
    <row r="1211" spans="1:15" s="212" customFormat="1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13"/>
      <c r="M1211" s="213"/>
      <c r="N1211" s="216"/>
      <c r="O1211" s="227" t="s">
        <v>114</v>
      </c>
    </row>
    <row r="1212" spans="1:15" s="212" customFormat="1" ht="12.95">
      <c r="A1212" s="218"/>
      <c r="B1212" s="218"/>
      <c r="C1212" s="218"/>
      <c r="D1212" s="218"/>
      <c r="E1212" s="218"/>
      <c r="F1212" s="218"/>
      <c r="G1212" s="218"/>
      <c r="H1212" s="218"/>
      <c r="I1212" s="218"/>
      <c r="J1212" s="218"/>
      <c r="K1212" s="218"/>
      <c r="L1212" s="218"/>
      <c r="M1212" s="218"/>
      <c r="N1212" s="218"/>
      <c r="O1212" s="218"/>
    </row>
    <row r="1213" spans="1:15" s="212" customFormat="1" ht="12.95">
      <c r="A1213" s="217" t="str">
        <f>name!A74</f>
        <v>Gambling and betting</v>
      </c>
      <c r="B1213" s="369">
        <f>$B$6</f>
        <v>2015</v>
      </c>
      <c r="C1213" s="369"/>
      <c r="D1213" s="369"/>
      <c r="E1213" s="369"/>
      <c r="F1213" s="239"/>
      <c r="G1213" s="369">
        <f>$G$6</f>
        <v>2020</v>
      </c>
      <c r="H1213" s="369"/>
      <c r="I1213" s="369"/>
      <c r="J1213" s="369"/>
      <c r="K1213" s="239"/>
      <c r="L1213" s="369">
        <f>$L$6</f>
        <v>2035</v>
      </c>
      <c r="M1213" s="369"/>
      <c r="N1213" s="369"/>
      <c r="O1213" s="369"/>
    </row>
    <row r="1214" spans="1:15" s="212" customFormat="1" ht="12.95">
      <c r="A1214" s="230"/>
      <c r="B1214" s="244" t="str">
        <f>$B$7</f>
        <v>FT</v>
      </c>
      <c r="C1214" s="244" t="str">
        <f>$C$7</f>
        <v>PT</v>
      </c>
      <c r="D1214" s="244" t="str">
        <f>$D$7</f>
        <v>SE</v>
      </c>
      <c r="E1214" s="244" t="str">
        <f>$E$7</f>
        <v>Total</v>
      </c>
      <c r="F1214" s="244"/>
      <c r="G1214" s="244" t="str">
        <f>$G$7</f>
        <v>FT</v>
      </c>
      <c r="H1214" s="244" t="str">
        <f>$H$7</f>
        <v>PT</v>
      </c>
      <c r="I1214" s="244" t="str">
        <f>$I$7</f>
        <v>SE</v>
      </c>
      <c r="J1214" s="244" t="str">
        <f>$J$7</f>
        <v>Total</v>
      </c>
      <c r="K1214" s="244"/>
      <c r="L1214" s="244" t="str">
        <f>$L$7</f>
        <v>FT</v>
      </c>
      <c r="M1214" s="244" t="str">
        <f>$M$7</f>
        <v>PT</v>
      </c>
      <c r="N1214" s="244" t="str">
        <f>$N$7</f>
        <v>SE</v>
      </c>
      <c r="O1214" s="244" t="str">
        <f>$O$7</f>
        <v>Total</v>
      </c>
    </row>
    <row r="1215" spans="1:15" s="212" customFormat="1" ht="12.95">
      <c r="A1215" s="234"/>
      <c r="B1215" s="215"/>
      <c r="C1215" s="215"/>
      <c r="D1215" s="215"/>
      <c r="E1215" s="215"/>
      <c r="F1215" s="215"/>
      <c r="G1215" s="215"/>
      <c r="H1215" s="215"/>
      <c r="I1215" s="215"/>
      <c r="J1215" s="215"/>
      <c r="K1215" s="215"/>
      <c r="L1215" s="215"/>
      <c r="M1215" s="215"/>
      <c r="N1215" s="215"/>
      <c r="O1215" s="215"/>
    </row>
    <row r="1216" spans="1:15" s="212" customFormat="1">
      <c r="A1216" s="213" t="str">
        <f>name!E$4</f>
        <v>Managers, directors and senior officials</v>
      </c>
      <c r="B1216" s="278">
        <v>7.8900239384450739</v>
      </c>
      <c r="C1216" s="278">
        <v>1.4625806600083979</v>
      </c>
      <c r="D1216" s="278">
        <v>0.86754057044076605</v>
      </c>
      <c r="E1216" s="278">
        <f>SUM(B1216:D1216)</f>
        <v>10.220145168894238</v>
      </c>
      <c r="F1216" s="279"/>
      <c r="G1216" s="278">
        <v>6.750856841808929</v>
      </c>
      <c r="H1216" s="278">
        <v>1.8861985720010825</v>
      </c>
      <c r="I1216" s="278">
        <v>0.83184082963669848</v>
      </c>
      <c r="J1216" s="278">
        <f>SUM(G1216:I1216)</f>
        <v>9.4688962434467108</v>
      </c>
      <c r="K1216" s="279"/>
      <c r="L1216" s="278">
        <v>7.6696738749904814</v>
      </c>
      <c r="M1216" s="278">
        <v>2.679494654762435</v>
      </c>
      <c r="N1216" s="278">
        <v>1.148607899026822</v>
      </c>
      <c r="O1216" s="278">
        <f>SUM(L1216:N1216)</f>
        <v>11.497776428779737</v>
      </c>
    </row>
    <row r="1217" spans="1:15" s="212" customFormat="1">
      <c r="A1217" s="213" t="str">
        <f>name!E$5</f>
        <v>Professional occupations</v>
      </c>
      <c r="B1217" s="278">
        <v>8.7326919072586904</v>
      </c>
      <c r="C1217" s="278">
        <v>2.7110016234267489</v>
      </c>
      <c r="D1217" s="278">
        <v>2.4917123868697137</v>
      </c>
      <c r="E1217" s="278">
        <f t="shared" ref="E1217:E1224" si="518">SUM(B1217:D1217)</f>
        <v>13.935405917555155</v>
      </c>
      <c r="F1217" s="279"/>
      <c r="G1217" s="278">
        <v>8.7288488675671321</v>
      </c>
      <c r="H1217" s="278">
        <v>3.7401572065471251</v>
      </c>
      <c r="I1217" s="278">
        <v>2.1953175512413976</v>
      </c>
      <c r="J1217" s="278">
        <f t="shared" ref="J1217:J1219" si="519">SUM(G1217:I1217)</f>
        <v>14.664323625355657</v>
      </c>
      <c r="K1217" s="279"/>
      <c r="L1217" s="278">
        <v>12.399724881132656</v>
      </c>
      <c r="M1217" s="278">
        <v>6.5765527104790058</v>
      </c>
      <c r="N1217" s="278">
        <v>2.9049211903912857</v>
      </c>
      <c r="O1217" s="278">
        <f t="shared" ref="O1217:O1224" si="520">SUM(L1217:N1217)</f>
        <v>21.881198782002947</v>
      </c>
    </row>
    <row r="1218" spans="1:15" s="212" customFormat="1">
      <c r="A1218" s="213" t="str">
        <f>name!E$6</f>
        <v>Associate professional occupations</v>
      </c>
      <c r="B1218" s="278">
        <v>12.366377119842879</v>
      </c>
      <c r="C1218" s="278">
        <v>5.1510415819085535</v>
      </c>
      <c r="D1218" s="278">
        <v>7.7624936202130179</v>
      </c>
      <c r="E1218" s="278">
        <f t="shared" si="518"/>
        <v>25.279912321964449</v>
      </c>
      <c r="F1218" s="279"/>
      <c r="G1218" s="278">
        <v>11.232636116334998</v>
      </c>
      <c r="H1218" s="278">
        <v>5.3757045295310233</v>
      </c>
      <c r="I1218" s="278">
        <v>6.8907141501531344</v>
      </c>
      <c r="J1218" s="278">
        <f t="shared" si="519"/>
        <v>23.499054796019156</v>
      </c>
      <c r="K1218" s="279"/>
      <c r="L1218" s="278">
        <v>11.855768383224405</v>
      </c>
      <c r="M1218" s="278">
        <v>6.2135384808763607</v>
      </c>
      <c r="N1218" s="278">
        <v>9.0992328797733091</v>
      </c>
      <c r="O1218" s="278">
        <f t="shared" si="520"/>
        <v>27.168539743874078</v>
      </c>
    </row>
    <row r="1219" spans="1:15" s="212" customFormat="1">
      <c r="A1219" s="213" t="str">
        <f>name!E$7</f>
        <v>Administrative and secretarial occupations</v>
      </c>
      <c r="B1219" s="278">
        <v>4.8645840334123509</v>
      </c>
      <c r="C1219" s="278">
        <v>5.9570636944759308</v>
      </c>
      <c r="D1219" s="278">
        <v>0.2231845247653525</v>
      </c>
      <c r="E1219" s="278">
        <f t="shared" si="518"/>
        <v>11.044832252653634</v>
      </c>
      <c r="F1219" s="279"/>
      <c r="G1219" s="278">
        <v>3.9436785967860479</v>
      </c>
      <c r="H1219" s="278">
        <v>5.8449814977121548</v>
      </c>
      <c r="I1219" s="278">
        <v>0.15057377831010926</v>
      </c>
      <c r="J1219" s="278">
        <f t="shared" si="519"/>
        <v>9.9392338728083125</v>
      </c>
      <c r="K1219" s="279"/>
      <c r="L1219" s="278">
        <v>4.7485926792103008</v>
      </c>
      <c r="M1219" s="278">
        <v>6.0289473757501675</v>
      </c>
      <c r="N1219" s="278">
        <v>0.14535077105013411</v>
      </c>
      <c r="O1219" s="278">
        <f t="shared" si="520"/>
        <v>10.922890826010603</v>
      </c>
    </row>
    <row r="1220" spans="1:15" s="212" customFormat="1">
      <c r="A1220" s="213" t="str">
        <f>name!E$8</f>
        <v>Skilled trades occupations</v>
      </c>
      <c r="B1220" s="278">
        <v>6.0848345981094116</v>
      </c>
      <c r="C1220" s="278">
        <v>2.0436529475383658</v>
      </c>
      <c r="D1220" s="278">
        <v>1.1303704771347589</v>
      </c>
      <c r="E1220" s="278">
        <f t="shared" si="518"/>
        <v>9.2588580227825368</v>
      </c>
      <c r="F1220" s="279"/>
      <c r="G1220" s="278">
        <v>4.3064219870275773</v>
      </c>
      <c r="H1220" s="278">
        <v>1.4254832633684225</v>
      </c>
      <c r="I1220" s="278">
        <v>0.91798875076306485</v>
      </c>
      <c r="J1220" s="278">
        <f>SUM(G1220:I1220)</f>
        <v>6.6498940011590655</v>
      </c>
      <c r="K1220" s="279"/>
      <c r="L1220" s="278">
        <v>3.9283413473791424</v>
      </c>
      <c r="M1220" s="278">
        <v>2.2256226661006155</v>
      </c>
      <c r="N1220" s="278">
        <v>1.2987999047398446</v>
      </c>
      <c r="O1220" s="278">
        <f t="shared" si="520"/>
        <v>7.4527639182196026</v>
      </c>
    </row>
    <row r="1221" spans="1:15" s="212" customFormat="1">
      <c r="A1221" s="213" t="str">
        <f>name!E$9</f>
        <v>Caring, leisure and other service occupations</v>
      </c>
      <c r="B1221" s="278">
        <v>3.3815006574165078</v>
      </c>
      <c r="C1221" s="278">
        <v>4.5413430832645973</v>
      </c>
      <c r="D1221" s="278">
        <v>0.24037041329656403</v>
      </c>
      <c r="E1221" s="278">
        <f t="shared" si="518"/>
        <v>8.1632141539776697</v>
      </c>
      <c r="F1221" s="279"/>
      <c r="G1221" s="278">
        <v>2.5855982408382889</v>
      </c>
      <c r="H1221" s="278">
        <v>3.8045352121184108</v>
      </c>
      <c r="I1221" s="278">
        <v>0.20500428979319843</v>
      </c>
      <c r="J1221" s="278">
        <f t="shared" ref="J1221:J1224" si="521">SUM(G1221:I1221)</f>
        <v>6.5951377427498983</v>
      </c>
      <c r="K1221" s="279"/>
      <c r="L1221" s="278">
        <v>2.5048376939223904</v>
      </c>
      <c r="M1221" s="278">
        <v>4.9291129546706944</v>
      </c>
      <c r="N1221" s="278">
        <v>0.26536832295169477</v>
      </c>
      <c r="O1221" s="278">
        <f t="shared" si="520"/>
        <v>7.6993189715447787</v>
      </c>
    </row>
    <row r="1222" spans="1:15" s="212" customFormat="1">
      <c r="A1222" s="213" t="str">
        <f>name!E$10</f>
        <v>Sales and customer service occupations</v>
      </c>
      <c r="B1222" s="278">
        <v>2.6273119805840177</v>
      </c>
      <c r="C1222" s="278">
        <v>3.4857853765851634</v>
      </c>
      <c r="D1222" s="278">
        <v>0.19874657227061446</v>
      </c>
      <c r="E1222" s="278">
        <f t="shared" si="518"/>
        <v>6.3118439294397959</v>
      </c>
      <c r="F1222" s="279"/>
      <c r="G1222" s="278">
        <v>2.040743845924764</v>
      </c>
      <c r="H1222" s="278">
        <v>3.127808888105351</v>
      </c>
      <c r="I1222" s="278">
        <v>0.1291667852356003</v>
      </c>
      <c r="J1222" s="278">
        <f t="shared" si="521"/>
        <v>5.2977195192657156</v>
      </c>
      <c r="K1222" s="279"/>
      <c r="L1222" s="278">
        <v>2.4942733482613182</v>
      </c>
      <c r="M1222" s="278">
        <v>4.2532489711162924</v>
      </c>
      <c r="N1222" s="278">
        <v>0.14789566663457898</v>
      </c>
      <c r="O1222" s="278">
        <f t="shared" si="520"/>
        <v>6.8954179860121894</v>
      </c>
    </row>
    <row r="1223" spans="1:15" s="212" customFormat="1">
      <c r="A1223" s="213" t="str">
        <f>name!E$11</f>
        <v>Process, plant and machine operatives</v>
      </c>
      <c r="B1223" s="278">
        <v>0.72482705159156158</v>
      </c>
      <c r="C1223" s="278">
        <v>0.49314760019333859</v>
      </c>
      <c r="D1223" s="278">
        <v>5.007948538306245E-2</v>
      </c>
      <c r="E1223" s="278">
        <f t="shared" si="518"/>
        <v>1.2680541371679626</v>
      </c>
      <c r="F1223" s="279"/>
      <c r="G1223" s="278">
        <v>0.49450213549202926</v>
      </c>
      <c r="H1223" s="278">
        <v>0.42686082975454598</v>
      </c>
      <c r="I1223" s="278">
        <v>4.7753624107103231E-2</v>
      </c>
      <c r="J1223" s="278">
        <f t="shared" si="521"/>
        <v>0.9691165893536785</v>
      </c>
      <c r="K1223" s="279"/>
      <c r="L1223" s="278">
        <v>0.41087411015313935</v>
      </c>
      <c r="M1223" s="278">
        <v>0.56044919097093227</v>
      </c>
      <c r="N1223" s="278">
        <v>7.5144256845847135E-2</v>
      </c>
      <c r="O1223" s="278">
        <f t="shared" si="520"/>
        <v>1.0464675579699187</v>
      </c>
    </row>
    <row r="1224" spans="1:15" s="212" customFormat="1">
      <c r="A1224" s="213" t="str">
        <f>name!E$12</f>
        <v>Elementary occupations</v>
      </c>
      <c r="B1224" s="278">
        <v>2.6488487130598459</v>
      </c>
      <c r="C1224" s="278">
        <v>7.8603834328214051</v>
      </c>
      <c r="D1224" s="278">
        <v>0.14950194986370768</v>
      </c>
      <c r="E1224" s="278">
        <f t="shared" si="518"/>
        <v>10.658734095744959</v>
      </c>
      <c r="F1224" s="279"/>
      <c r="G1224" s="278">
        <v>1.8697133681761382</v>
      </c>
      <c r="H1224" s="278">
        <v>5.6452700009316041</v>
      </c>
      <c r="I1224" s="278">
        <v>8.0640240906436345E-2</v>
      </c>
      <c r="J1224" s="278">
        <f t="shared" si="521"/>
        <v>7.5956236100141785</v>
      </c>
      <c r="K1224" s="279"/>
      <c r="L1224" s="278">
        <v>1.9299136820025755</v>
      </c>
      <c r="M1224" s="278">
        <v>4.4000329954507889</v>
      </c>
      <c r="N1224" s="278">
        <v>0.13567910937435018</v>
      </c>
      <c r="O1224" s="278">
        <f t="shared" si="520"/>
        <v>6.4656257868277143</v>
      </c>
    </row>
    <row r="1225" spans="1:15" s="212" customFormat="1">
      <c r="A1225" s="213"/>
      <c r="B1225" s="278"/>
      <c r="C1225" s="278"/>
      <c r="D1225" s="278"/>
      <c r="E1225" s="278"/>
      <c r="F1225" s="279"/>
      <c r="G1225" s="278"/>
      <c r="H1225" s="278"/>
      <c r="I1225" s="278"/>
      <c r="J1225" s="278"/>
      <c r="K1225" s="279"/>
      <c r="L1225" s="278"/>
      <c r="M1225" s="278"/>
      <c r="N1225" s="278"/>
      <c r="O1225" s="278"/>
    </row>
    <row r="1226" spans="1:15" s="212" customFormat="1">
      <c r="A1226" s="220" t="s">
        <v>119</v>
      </c>
      <c r="B1226" s="282">
        <f>SUM(B1216:B1224)</f>
        <v>49.320999999720343</v>
      </c>
      <c r="C1226" s="282">
        <f t="shared" ref="C1226:E1226" si="522">SUM(C1216:C1224)</f>
        <v>33.706000000222502</v>
      </c>
      <c r="D1226" s="282">
        <f t="shared" si="522"/>
        <v>13.114000000237558</v>
      </c>
      <c r="E1226" s="282">
        <f t="shared" si="522"/>
        <v>96.141000000180398</v>
      </c>
      <c r="F1226" s="282"/>
      <c r="G1226" s="282">
        <f t="shared" ref="G1226:J1226" si="523">SUM(G1216:G1224)</f>
        <v>41.9529999999559</v>
      </c>
      <c r="H1226" s="282">
        <f t="shared" si="523"/>
        <v>31.277000000069719</v>
      </c>
      <c r="I1226" s="282">
        <f t="shared" si="523"/>
        <v>11.449000000146745</v>
      </c>
      <c r="J1226" s="282">
        <f t="shared" si="523"/>
        <v>84.679000000172366</v>
      </c>
      <c r="K1226" s="282"/>
      <c r="L1226" s="282">
        <f t="shared" ref="L1226:O1226" si="524">SUM(L1216:L1224)</f>
        <v>47.942000000276408</v>
      </c>
      <c r="M1226" s="282">
        <f t="shared" si="524"/>
        <v>37.867000000177292</v>
      </c>
      <c r="N1226" s="282">
        <f t="shared" si="524"/>
        <v>15.221000000787868</v>
      </c>
      <c r="O1226" s="282">
        <f t="shared" si="524"/>
        <v>101.03000000124158</v>
      </c>
    </row>
    <row r="1227" spans="1:15" s="212" customFormat="1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3"/>
      <c r="M1227" s="213"/>
      <c r="N1227" s="216"/>
    </row>
    <row r="1228" spans="1:15" s="212" customFormat="1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13"/>
      <c r="M1228" s="213"/>
      <c r="N1228" s="216"/>
      <c r="O1228" s="227" t="s">
        <v>114</v>
      </c>
    </row>
    <row r="1229" spans="1:15" s="212" customFormat="1" ht="12.95">
      <c r="A1229" s="218"/>
      <c r="B1229" s="218"/>
      <c r="C1229" s="218"/>
      <c r="D1229" s="218"/>
      <c r="E1229" s="218"/>
      <c r="F1229" s="218"/>
      <c r="G1229" s="218"/>
      <c r="H1229" s="218"/>
      <c r="I1229" s="218"/>
      <c r="J1229" s="218"/>
      <c r="K1229" s="218"/>
      <c r="L1229" s="218"/>
      <c r="M1229" s="218"/>
      <c r="N1229" s="218"/>
      <c r="O1229" s="218"/>
    </row>
    <row r="1230" spans="1:15" s="212" customFormat="1" ht="12.95">
      <c r="A1230" s="217" t="str">
        <f>name!A75</f>
        <v>Sport and recreation</v>
      </c>
      <c r="B1230" s="369">
        <f>$B$6</f>
        <v>2015</v>
      </c>
      <c r="C1230" s="369"/>
      <c r="D1230" s="369"/>
      <c r="E1230" s="369"/>
      <c r="F1230" s="239"/>
      <c r="G1230" s="369">
        <f>$G$6</f>
        <v>2020</v>
      </c>
      <c r="H1230" s="369"/>
      <c r="I1230" s="369"/>
      <c r="J1230" s="369"/>
      <c r="K1230" s="239"/>
      <c r="L1230" s="369">
        <f>$L$6</f>
        <v>2035</v>
      </c>
      <c r="M1230" s="369"/>
      <c r="N1230" s="369"/>
      <c r="O1230" s="369"/>
    </row>
    <row r="1231" spans="1:15" s="212" customFormat="1" ht="12.95">
      <c r="A1231" s="230"/>
      <c r="B1231" s="244" t="str">
        <f>$B$7</f>
        <v>FT</v>
      </c>
      <c r="C1231" s="244" t="str">
        <f>$C$7</f>
        <v>PT</v>
      </c>
      <c r="D1231" s="244" t="str">
        <f>$D$7</f>
        <v>SE</v>
      </c>
      <c r="E1231" s="244" t="str">
        <f>$E$7</f>
        <v>Total</v>
      </c>
      <c r="F1231" s="244"/>
      <c r="G1231" s="244" t="str">
        <f>$G$7</f>
        <v>FT</v>
      </c>
      <c r="H1231" s="244" t="str">
        <f>$H$7</f>
        <v>PT</v>
      </c>
      <c r="I1231" s="244" t="str">
        <f>$I$7</f>
        <v>SE</v>
      </c>
      <c r="J1231" s="244" t="str">
        <f>$J$7</f>
        <v>Total</v>
      </c>
      <c r="K1231" s="244"/>
      <c r="L1231" s="244" t="str">
        <f>$L$7</f>
        <v>FT</v>
      </c>
      <c r="M1231" s="244" t="str">
        <f>$M$7</f>
        <v>PT</v>
      </c>
      <c r="N1231" s="244" t="str">
        <f>$N$7</f>
        <v>SE</v>
      </c>
      <c r="O1231" s="244" t="str">
        <f>$O$7</f>
        <v>Total</v>
      </c>
    </row>
    <row r="1232" spans="1:15" s="212" customFormat="1" ht="12.95">
      <c r="A1232" s="234"/>
      <c r="B1232" s="215"/>
      <c r="C1232" s="215"/>
      <c r="D1232" s="215"/>
      <c r="E1232" s="215"/>
      <c r="F1232" s="215"/>
      <c r="G1232" s="215"/>
      <c r="H1232" s="215"/>
      <c r="I1232" s="215"/>
      <c r="J1232" s="215"/>
      <c r="K1232" s="215"/>
      <c r="L1232" s="215"/>
      <c r="M1232" s="215"/>
      <c r="N1232" s="215"/>
      <c r="O1232" s="215"/>
    </row>
    <row r="1233" spans="1:15" s="212" customFormat="1">
      <c r="A1233" s="213" t="str">
        <f>name!E$4</f>
        <v>Managers, directors and senior officials</v>
      </c>
      <c r="B1233" s="278">
        <v>25.09667503307281</v>
      </c>
      <c r="C1233" s="278">
        <v>12.271707282579548</v>
      </c>
      <c r="D1233" s="278">
        <v>4.802143578761993</v>
      </c>
      <c r="E1233" s="278">
        <f>SUM(B1233:D1233)</f>
        <v>42.170525894414347</v>
      </c>
      <c r="F1233" s="279"/>
      <c r="G1233" s="278">
        <v>26.95850502397721</v>
      </c>
      <c r="H1233" s="278">
        <v>16.932193607770284</v>
      </c>
      <c r="I1233" s="278">
        <v>5.0374348298913016</v>
      </c>
      <c r="J1233" s="278">
        <f>SUM(G1233:I1233)</f>
        <v>48.928133461638801</v>
      </c>
      <c r="K1233" s="279"/>
      <c r="L1233" s="278">
        <v>30.612035720849569</v>
      </c>
      <c r="M1233" s="278">
        <v>25.058549470893244</v>
      </c>
      <c r="N1233" s="278">
        <v>6.9709587355057625</v>
      </c>
      <c r="O1233" s="278">
        <f>SUM(L1233:N1233)</f>
        <v>62.641543927248577</v>
      </c>
    </row>
    <row r="1234" spans="1:15" s="212" customFormat="1">
      <c r="A1234" s="213" t="str">
        <f>name!E$5</f>
        <v>Professional occupations</v>
      </c>
      <c r="B1234" s="278">
        <v>25.896661929286722</v>
      </c>
      <c r="C1234" s="278">
        <v>16.964272514855104</v>
      </c>
      <c r="D1234" s="278">
        <v>12.866524477473021</v>
      </c>
      <c r="E1234" s="278">
        <f t="shared" ref="E1234:E1241" si="525">SUM(B1234:D1234)</f>
        <v>55.727458921614847</v>
      </c>
      <c r="F1234" s="279"/>
      <c r="G1234" s="278">
        <v>32.125545580651668</v>
      </c>
      <c r="H1234" s="278">
        <v>23.026282806583499</v>
      </c>
      <c r="I1234" s="278">
        <v>12.75401432734043</v>
      </c>
      <c r="J1234" s="278">
        <f t="shared" ref="J1234:J1236" si="526">SUM(G1234:I1234)</f>
        <v>67.905842714575599</v>
      </c>
      <c r="K1234" s="279"/>
      <c r="L1234" s="278">
        <v>43.380991796167386</v>
      </c>
      <c r="M1234" s="278">
        <v>37.80377992743086</v>
      </c>
      <c r="N1234" s="278">
        <v>16.874556237994376</v>
      </c>
      <c r="O1234" s="278">
        <f t="shared" ref="O1234:O1241" si="527">SUM(L1234:N1234)</f>
        <v>98.059327961592629</v>
      </c>
    </row>
    <row r="1235" spans="1:15" s="212" customFormat="1">
      <c r="A1235" s="213" t="str">
        <f>name!E$6</f>
        <v>Associate professional occupations</v>
      </c>
      <c r="B1235" s="278">
        <v>30.870114295040857</v>
      </c>
      <c r="C1235" s="278">
        <v>29.997658963084007</v>
      </c>
      <c r="D1235" s="278">
        <v>38.96455971428874</v>
      </c>
      <c r="E1235" s="278">
        <f t="shared" si="525"/>
        <v>99.83233297241361</v>
      </c>
      <c r="F1235" s="279"/>
      <c r="G1235" s="278">
        <v>34.330455306864899</v>
      </c>
      <c r="H1235" s="278">
        <v>31.637418428707512</v>
      </c>
      <c r="I1235" s="278">
        <v>39.376706531063434</v>
      </c>
      <c r="J1235" s="278">
        <f t="shared" si="526"/>
        <v>105.34458026663584</v>
      </c>
      <c r="K1235" s="279"/>
      <c r="L1235" s="278">
        <v>35.904385210686058</v>
      </c>
      <c r="M1235" s="278">
        <v>36.732459066443091</v>
      </c>
      <c r="N1235" s="278">
        <v>52.046771105959863</v>
      </c>
      <c r="O1235" s="278">
        <f t="shared" si="527"/>
        <v>124.68361538308901</v>
      </c>
    </row>
    <row r="1236" spans="1:15" s="212" customFormat="1">
      <c r="A1236" s="213" t="str">
        <f>name!E$7</f>
        <v>Administrative and secretarial occupations</v>
      </c>
      <c r="B1236" s="278">
        <v>16.036550577604832</v>
      </c>
      <c r="C1236" s="278">
        <v>41.07345653495117</v>
      </c>
      <c r="D1236" s="278">
        <v>1.1042601165798738</v>
      </c>
      <c r="E1236" s="278">
        <f t="shared" si="525"/>
        <v>58.214267229135878</v>
      </c>
      <c r="F1236" s="279"/>
      <c r="G1236" s="278">
        <v>15.214093085510784</v>
      </c>
      <c r="H1236" s="278">
        <v>41.668506396802591</v>
      </c>
      <c r="I1236" s="278">
        <v>0.87390797564616041</v>
      </c>
      <c r="J1236" s="278">
        <f t="shared" si="526"/>
        <v>57.756507457959536</v>
      </c>
      <c r="K1236" s="279"/>
      <c r="L1236" s="278">
        <v>16.816559768481763</v>
      </c>
      <c r="M1236" s="278">
        <v>42.4598711686344</v>
      </c>
      <c r="N1236" s="278">
        <v>0.9111136825204299</v>
      </c>
      <c r="O1236" s="278">
        <f t="shared" si="527"/>
        <v>60.18754461963659</v>
      </c>
    </row>
    <row r="1237" spans="1:15" s="212" customFormat="1">
      <c r="A1237" s="213" t="str">
        <f>name!E$8</f>
        <v>Skilled trades occupations</v>
      </c>
      <c r="B1237" s="278">
        <v>15.630926250519151</v>
      </c>
      <c r="C1237" s="278">
        <v>10.096283831363014</v>
      </c>
      <c r="D1237" s="278">
        <v>6.0286531954517946</v>
      </c>
      <c r="E1237" s="278">
        <f t="shared" si="525"/>
        <v>31.755863277333958</v>
      </c>
      <c r="F1237" s="279"/>
      <c r="G1237" s="278">
        <v>14.652562537330546</v>
      </c>
      <c r="H1237" s="278">
        <v>8.1118830168430467</v>
      </c>
      <c r="I1237" s="278">
        <v>5.5344382984965961</v>
      </c>
      <c r="J1237" s="278">
        <f>SUM(G1237:I1237)</f>
        <v>28.298883852670187</v>
      </c>
      <c r="K1237" s="279"/>
      <c r="L1237" s="278">
        <v>14.557892660325619</v>
      </c>
      <c r="M1237" s="278">
        <v>14.392925199401448</v>
      </c>
      <c r="N1237" s="278">
        <v>7.9134171979446428</v>
      </c>
      <c r="O1237" s="278">
        <f t="shared" si="527"/>
        <v>36.864235057671706</v>
      </c>
    </row>
    <row r="1238" spans="1:15" s="212" customFormat="1">
      <c r="A1238" s="213" t="str">
        <f>name!E$9</f>
        <v>Caring, leisure and other service occupations</v>
      </c>
      <c r="B1238" s="278">
        <v>16.535630554477201</v>
      </c>
      <c r="C1238" s="278">
        <v>31.592302370614014</v>
      </c>
      <c r="D1238" s="278">
        <v>3.8998796692915931</v>
      </c>
      <c r="E1238" s="278">
        <f t="shared" si="525"/>
        <v>52.027812594382809</v>
      </c>
      <c r="F1238" s="279"/>
      <c r="G1238" s="278">
        <v>14.772393182425983</v>
      </c>
      <c r="H1238" s="278">
        <v>27.312897712909322</v>
      </c>
      <c r="I1238" s="278">
        <v>3.7630501438121673</v>
      </c>
      <c r="J1238" s="278">
        <f t="shared" ref="J1238:J1241" si="528">SUM(G1238:I1238)</f>
        <v>45.848341039147471</v>
      </c>
      <c r="K1238" s="279"/>
      <c r="L1238" s="278">
        <v>13.736717955600273</v>
      </c>
      <c r="M1238" s="278">
        <v>30.557531099675991</v>
      </c>
      <c r="N1238" s="278">
        <v>4.4007384006597947</v>
      </c>
      <c r="O1238" s="278">
        <f t="shared" si="527"/>
        <v>48.694987455936065</v>
      </c>
    </row>
    <row r="1239" spans="1:15" s="212" customFormat="1">
      <c r="A1239" s="213" t="str">
        <f>name!E$10</f>
        <v>Sales and customer service occupations</v>
      </c>
      <c r="B1239" s="278">
        <v>8.3577115381340956</v>
      </c>
      <c r="C1239" s="278">
        <v>18.871503475937921</v>
      </c>
      <c r="D1239" s="278">
        <v>1.1033930699581391</v>
      </c>
      <c r="E1239" s="278">
        <f t="shared" si="525"/>
        <v>28.332608084030156</v>
      </c>
      <c r="F1239" s="279"/>
      <c r="G1239" s="278">
        <v>7.8763683572639964</v>
      </c>
      <c r="H1239" s="278">
        <v>18.390028839118816</v>
      </c>
      <c r="I1239" s="278">
        <v>0.83373410731612263</v>
      </c>
      <c r="J1239" s="278">
        <f t="shared" si="528"/>
        <v>27.100131303698934</v>
      </c>
      <c r="K1239" s="279"/>
      <c r="L1239" s="278">
        <v>9.6115659333233783</v>
      </c>
      <c r="M1239" s="278">
        <v>24.520313142778697</v>
      </c>
      <c r="N1239" s="278">
        <v>0.97222419135232185</v>
      </c>
      <c r="O1239" s="278">
        <f t="shared" si="527"/>
        <v>35.104103267454398</v>
      </c>
    </row>
    <row r="1240" spans="1:15" s="212" customFormat="1">
      <c r="A1240" s="213" t="str">
        <f>name!E$11</f>
        <v>Process, plant and machine operatives</v>
      </c>
      <c r="B1240" s="278">
        <v>2.3679091082513515</v>
      </c>
      <c r="C1240" s="278">
        <v>2.6150207469309028</v>
      </c>
      <c r="D1240" s="278">
        <v>0.31982372695933853</v>
      </c>
      <c r="E1240" s="278">
        <f t="shared" si="525"/>
        <v>5.3027535821415928</v>
      </c>
      <c r="F1240" s="279"/>
      <c r="G1240" s="278">
        <v>2.0711799995014015</v>
      </c>
      <c r="H1240" s="278">
        <v>2.3629136027615587</v>
      </c>
      <c r="I1240" s="278">
        <v>0.34126750660903116</v>
      </c>
      <c r="J1240" s="278">
        <f t="shared" si="528"/>
        <v>4.7753611088719916</v>
      </c>
      <c r="K1240" s="279"/>
      <c r="L1240" s="278">
        <v>1.9274073748433884</v>
      </c>
      <c r="M1240" s="278">
        <v>2.9748503914906435</v>
      </c>
      <c r="N1240" s="278">
        <v>0.51533124890371851</v>
      </c>
      <c r="O1240" s="278">
        <f t="shared" si="527"/>
        <v>5.4175890152377502</v>
      </c>
    </row>
    <row r="1241" spans="1:15" s="212" customFormat="1">
      <c r="A1241" s="213" t="str">
        <f>name!E$12</f>
        <v>Elementary occupations</v>
      </c>
      <c r="B1241" s="278">
        <v>7.5908207127257352</v>
      </c>
      <c r="C1241" s="278">
        <v>45.578794280934495</v>
      </c>
      <c r="D1241" s="278">
        <v>1.0047624527249504</v>
      </c>
      <c r="E1241" s="278">
        <f t="shared" si="525"/>
        <v>54.174377446385179</v>
      </c>
      <c r="F1241" s="279"/>
      <c r="G1241" s="278">
        <v>6.6258969259924108</v>
      </c>
      <c r="H1241" s="278">
        <v>35.833875589368652</v>
      </c>
      <c r="I1241" s="278">
        <v>0.68144628042346633</v>
      </c>
      <c r="J1241" s="278">
        <f t="shared" si="528"/>
        <v>43.141218795784532</v>
      </c>
      <c r="K1241" s="279"/>
      <c r="L1241" s="278">
        <v>7.0624435809177131</v>
      </c>
      <c r="M1241" s="278">
        <v>28.914720535216478</v>
      </c>
      <c r="N1241" s="278">
        <v>1.02388920348724</v>
      </c>
      <c r="O1241" s="278">
        <f t="shared" si="527"/>
        <v>37.001053319621434</v>
      </c>
    </row>
    <row r="1242" spans="1:15" s="212" customFormat="1">
      <c r="A1242" s="213"/>
      <c r="B1242" s="278"/>
      <c r="C1242" s="278"/>
      <c r="D1242" s="278"/>
      <c r="E1242" s="278"/>
      <c r="F1242" s="279"/>
      <c r="G1242" s="278"/>
      <c r="H1242" s="278"/>
      <c r="I1242" s="278"/>
      <c r="J1242" s="278"/>
      <c r="K1242" s="279"/>
      <c r="L1242" s="278"/>
      <c r="M1242" s="278"/>
      <c r="N1242" s="278"/>
      <c r="O1242" s="278"/>
    </row>
    <row r="1243" spans="1:15" s="212" customFormat="1">
      <c r="A1243" s="220" t="s">
        <v>119</v>
      </c>
      <c r="B1243" s="282">
        <f>SUM(B1233:B1241)</f>
        <v>148.38299999911274</v>
      </c>
      <c r="C1243" s="282">
        <f t="shared" ref="C1243:E1243" si="529">SUM(C1233:C1241)</f>
        <v>209.06100000125014</v>
      </c>
      <c r="D1243" s="282">
        <f t="shared" si="529"/>
        <v>70.094000001489448</v>
      </c>
      <c r="E1243" s="282">
        <f t="shared" si="529"/>
        <v>427.53800000185231</v>
      </c>
      <c r="F1243" s="282"/>
      <c r="G1243" s="282">
        <f t="shared" ref="G1243:J1243" si="530">SUM(G1233:G1241)</f>
        <v>154.62699999951889</v>
      </c>
      <c r="H1243" s="282">
        <f t="shared" si="530"/>
        <v>205.27600000086531</v>
      </c>
      <c r="I1243" s="282">
        <f t="shared" si="530"/>
        <v>69.196000000598715</v>
      </c>
      <c r="J1243" s="282">
        <f t="shared" si="530"/>
        <v>429.09900000098293</v>
      </c>
      <c r="K1243" s="282"/>
      <c r="L1243" s="282">
        <f t="shared" ref="L1243:O1243" si="531">SUM(L1233:L1241)</f>
        <v>173.61000000119517</v>
      </c>
      <c r="M1243" s="282">
        <f t="shared" si="531"/>
        <v>243.41500000196484</v>
      </c>
      <c r="N1243" s="282">
        <f t="shared" si="531"/>
        <v>91.629000004328162</v>
      </c>
      <c r="O1243" s="282">
        <f t="shared" si="531"/>
        <v>508.65400000748809</v>
      </c>
    </row>
    <row r="1244" spans="1:15" s="212" customFormat="1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3"/>
      <c r="M1244" s="213"/>
      <c r="N1244" s="216"/>
    </row>
    <row r="1245" spans="1:15" s="212" customFormat="1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13"/>
      <c r="M1245" s="213"/>
      <c r="N1245" s="216"/>
      <c r="O1245" s="227" t="s">
        <v>114</v>
      </c>
    </row>
    <row r="1246" spans="1:15" s="212" customFormat="1" ht="12.95">
      <c r="A1246" s="218"/>
      <c r="B1246" s="218"/>
      <c r="C1246" s="218"/>
      <c r="D1246" s="218"/>
      <c r="E1246" s="218"/>
      <c r="F1246" s="218"/>
      <c r="G1246" s="218"/>
      <c r="H1246" s="218"/>
      <c r="I1246" s="218"/>
      <c r="J1246" s="218"/>
      <c r="K1246" s="218"/>
      <c r="L1246" s="218"/>
      <c r="M1246" s="218"/>
      <c r="N1246" s="218"/>
      <c r="O1246" s="218"/>
    </row>
    <row r="1247" spans="1:15" s="212" customFormat="1" ht="12.95">
      <c r="A1247" s="217" t="str">
        <f>name!A76</f>
        <v>Membership organisations</v>
      </c>
      <c r="B1247" s="369">
        <f>$B$6</f>
        <v>2015</v>
      </c>
      <c r="C1247" s="369"/>
      <c r="D1247" s="369"/>
      <c r="E1247" s="369"/>
      <c r="F1247" s="239"/>
      <c r="G1247" s="369">
        <f>$G$6</f>
        <v>2020</v>
      </c>
      <c r="H1247" s="369"/>
      <c r="I1247" s="369"/>
      <c r="J1247" s="369"/>
      <c r="K1247" s="239"/>
      <c r="L1247" s="369">
        <f>$L$6</f>
        <v>2035</v>
      </c>
      <c r="M1247" s="369"/>
      <c r="N1247" s="369"/>
      <c r="O1247" s="369"/>
    </row>
    <row r="1248" spans="1:15" s="212" customFormat="1" ht="12.95">
      <c r="A1248" s="230"/>
      <c r="B1248" s="244" t="str">
        <f>$B$7</f>
        <v>FT</v>
      </c>
      <c r="C1248" s="244" t="str">
        <f>$C$7</f>
        <v>PT</v>
      </c>
      <c r="D1248" s="244" t="str">
        <f>$D$7</f>
        <v>SE</v>
      </c>
      <c r="E1248" s="244" t="str">
        <f>$E$7</f>
        <v>Total</v>
      </c>
      <c r="F1248" s="244"/>
      <c r="G1248" s="244" t="str">
        <f>$G$7</f>
        <v>FT</v>
      </c>
      <c r="H1248" s="244" t="str">
        <f>$H$7</f>
        <v>PT</v>
      </c>
      <c r="I1248" s="244" t="str">
        <f>$I$7</f>
        <v>SE</v>
      </c>
      <c r="J1248" s="244" t="str">
        <f>$J$7</f>
        <v>Total</v>
      </c>
      <c r="K1248" s="244"/>
      <c r="L1248" s="244" t="str">
        <f>$L$7</f>
        <v>FT</v>
      </c>
      <c r="M1248" s="244" t="str">
        <f>$M$7</f>
        <v>PT</v>
      </c>
      <c r="N1248" s="244" t="str">
        <f>$N$7</f>
        <v>SE</v>
      </c>
      <c r="O1248" s="244" t="str">
        <f>$O$7</f>
        <v>Total</v>
      </c>
    </row>
    <row r="1249" spans="1:15" s="212" customFormat="1" ht="12.95">
      <c r="A1249" s="234"/>
      <c r="B1249" s="215"/>
      <c r="C1249" s="215"/>
      <c r="D1249" s="215"/>
      <c r="E1249" s="215"/>
      <c r="F1249" s="215"/>
      <c r="G1249" s="215"/>
      <c r="H1249" s="215"/>
      <c r="I1249" s="215"/>
      <c r="J1249" s="215"/>
      <c r="K1249" s="215"/>
      <c r="L1249" s="215"/>
      <c r="M1249" s="215"/>
      <c r="N1249" s="215"/>
      <c r="O1249" s="215"/>
    </row>
    <row r="1250" spans="1:15" s="212" customFormat="1">
      <c r="A1250" s="213" t="str">
        <f>name!E$4</f>
        <v>Managers, directors and senior officials</v>
      </c>
      <c r="B1250" s="278">
        <v>19.505894304529793</v>
      </c>
      <c r="C1250" s="278">
        <v>6.0313672234687292</v>
      </c>
      <c r="D1250" s="278">
        <v>7.021473993525345</v>
      </c>
      <c r="E1250" s="278">
        <f>SUM(B1250:D1250)</f>
        <v>32.558735521523872</v>
      </c>
      <c r="F1250" s="279"/>
      <c r="G1250" s="278">
        <v>18.029447330575138</v>
      </c>
      <c r="H1250" s="278">
        <v>8.1705890508075942</v>
      </c>
      <c r="I1250" s="278">
        <v>7.9906215552583708</v>
      </c>
      <c r="J1250" s="278">
        <f>SUM(G1250:I1250)</f>
        <v>34.190657936641102</v>
      </c>
      <c r="K1250" s="279"/>
      <c r="L1250" s="278">
        <v>16.994257250250062</v>
      </c>
      <c r="M1250" s="278">
        <v>10.2014447383578</v>
      </c>
      <c r="N1250" s="278">
        <v>7.7895773883461699</v>
      </c>
      <c r="O1250" s="278">
        <f>SUM(L1250:N1250)</f>
        <v>34.985279376954033</v>
      </c>
    </row>
    <row r="1251" spans="1:15" s="212" customFormat="1">
      <c r="A1251" s="213" t="str">
        <f>name!E$5</f>
        <v>Professional occupations</v>
      </c>
      <c r="B1251" s="278">
        <v>66.07877120841647</v>
      </c>
      <c r="C1251" s="278">
        <v>21.444154980740809</v>
      </c>
      <c r="D1251" s="278">
        <v>41.290265288919478</v>
      </c>
      <c r="E1251" s="278">
        <f t="shared" ref="E1251:E1258" si="532">SUM(B1251:D1251)</f>
        <v>128.81319147807676</v>
      </c>
      <c r="F1251" s="279"/>
      <c r="G1251" s="278">
        <v>67.821139317123993</v>
      </c>
      <c r="H1251" s="278">
        <v>24.873925675854132</v>
      </c>
      <c r="I1251" s="278">
        <v>38.315227541438183</v>
      </c>
      <c r="J1251" s="278">
        <f t="shared" ref="J1251:J1253" si="533">SUM(G1251:I1251)</f>
        <v>131.01029253441632</v>
      </c>
      <c r="K1251" s="279"/>
      <c r="L1251" s="278">
        <v>73.286503782143058</v>
      </c>
      <c r="M1251" s="278">
        <v>28.597666578999274</v>
      </c>
      <c r="N1251" s="278">
        <v>41.203080605481126</v>
      </c>
      <c r="O1251" s="278">
        <f t="shared" ref="O1251:O1258" si="534">SUM(L1251:N1251)</f>
        <v>143.08725096662346</v>
      </c>
    </row>
    <row r="1252" spans="1:15" s="212" customFormat="1">
      <c r="A1252" s="213" t="str">
        <f>name!E$6</f>
        <v>Associate professional occupations</v>
      </c>
      <c r="B1252" s="278">
        <v>24.3859233814322</v>
      </c>
      <c r="C1252" s="278">
        <v>15.63521343451953</v>
      </c>
      <c r="D1252" s="278">
        <v>19.836791489115679</v>
      </c>
      <c r="E1252" s="278">
        <f t="shared" si="532"/>
        <v>59.857928305067404</v>
      </c>
      <c r="F1252" s="279"/>
      <c r="G1252" s="278">
        <v>23.607010210091737</v>
      </c>
      <c r="H1252" s="278">
        <v>15.388913838245669</v>
      </c>
      <c r="I1252" s="278">
        <v>21.151494672652795</v>
      </c>
      <c r="J1252" s="278">
        <f t="shared" si="533"/>
        <v>60.147418720990203</v>
      </c>
      <c r="K1252" s="279"/>
      <c r="L1252" s="278">
        <v>26.726931377562572</v>
      </c>
      <c r="M1252" s="278">
        <v>16.653054492379372</v>
      </c>
      <c r="N1252" s="278">
        <v>19.748022923660141</v>
      </c>
      <c r="O1252" s="278">
        <f t="shared" si="534"/>
        <v>63.128008793602092</v>
      </c>
    </row>
    <row r="1253" spans="1:15" s="212" customFormat="1">
      <c r="A1253" s="213" t="str">
        <f>name!E$7</f>
        <v>Administrative and secretarial occupations</v>
      </c>
      <c r="B1253" s="278">
        <v>25.400141784669536</v>
      </c>
      <c r="C1253" s="278">
        <v>25.637304050292137</v>
      </c>
      <c r="D1253" s="278">
        <v>10.0221617172077</v>
      </c>
      <c r="E1253" s="278">
        <f t="shared" si="532"/>
        <v>61.059607552169375</v>
      </c>
      <c r="F1253" s="279"/>
      <c r="G1253" s="278">
        <v>21.083478619775057</v>
      </c>
      <c r="H1253" s="278">
        <v>21.432509652674256</v>
      </c>
      <c r="I1253" s="278">
        <v>9.9041633538438614</v>
      </c>
      <c r="J1253" s="278">
        <f t="shared" si="533"/>
        <v>52.420151626293176</v>
      </c>
      <c r="K1253" s="279"/>
      <c r="L1253" s="278">
        <v>16.756710882267566</v>
      </c>
      <c r="M1253" s="278">
        <v>18.687070504031816</v>
      </c>
      <c r="N1253" s="278">
        <v>9.0047581891389701</v>
      </c>
      <c r="O1253" s="278">
        <f t="shared" si="534"/>
        <v>44.448539575438346</v>
      </c>
    </row>
    <row r="1254" spans="1:15" s="212" customFormat="1">
      <c r="A1254" s="213" t="str">
        <f>name!E$8</f>
        <v>Skilled trades occupations</v>
      </c>
      <c r="B1254" s="278">
        <v>3.0641375433675475</v>
      </c>
      <c r="C1254" s="278">
        <v>3.4557598048950591</v>
      </c>
      <c r="D1254" s="278">
        <v>4.8074625304457603</v>
      </c>
      <c r="E1254" s="278">
        <f t="shared" si="532"/>
        <v>11.327359878708368</v>
      </c>
      <c r="F1254" s="279"/>
      <c r="G1254" s="278">
        <v>2.1171249722329968</v>
      </c>
      <c r="H1254" s="278">
        <v>2.3979333701198846</v>
      </c>
      <c r="I1254" s="278">
        <v>2.9944649594162764</v>
      </c>
      <c r="J1254" s="278">
        <f>SUM(G1254:I1254)</f>
        <v>7.5095233017691587</v>
      </c>
      <c r="K1254" s="279"/>
      <c r="L1254" s="278">
        <v>2.1222807261534853</v>
      </c>
      <c r="M1254" s="278">
        <v>3.1802936819818139</v>
      </c>
      <c r="N1254" s="278">
        <v>4.1307062320635071</v>
      </c>
      <c r="O1254" s="278">
        <f t="shared" si="534"/>
        <v>9.4332806401988059</v>
      </c>
    </row>
    <row r="1255" spans="1:15" s="212" customFormat="1">
      <c r="A1255" s="213" t="str">
        <f>name!E$9</f>
        <v>Caring, leisure and other service occupations</v>
      </c>
      <c r="B1255" s="278">
        <v>11.096690692027693</v>
      </c>
      <c r="C1255" s="278">
        <v>9.6135922773298592</v>
      </c>
      <c r="D1255" s="278">
        <v>6.1888238795317427</v>
      </c>
      <c r="E1255" s="278">
        <f t="shared" si="532"/>
        <v>26.899106848889293</v>
      </c>
      <c r="F1255" s="279"/>
      <c r="G1255" s="278">
        <v>9.5169706861389631</v>
      </c>
      <c r="H1255" s="278">
        <v>7.5874495532371835</v>
      </c>
      <c r="I1255" s="278">
        <v>6.8543737722695388</v>
      </c>
      <c r="J1255" s="278">
        <f t="shared" ref="J1255:J1258" si="535">SUM(G1255:I1255)</f>
        <v>23.958794011645686</v>
      </c>
      <c r="K1255" s="279"/>
      <c r="L1255" s="278">
        <v>8.7313758595786801</v>
      </c>
      <c r="M1255" s="278">
        <v>6.0903968488732554</v>
      </c>
      <c r="N1255" s="278">
        <v>8.0417248234503766</v>
      </c>
      <c r="O1255" s="278">
        <f t="shared" si="534"/>
        <v>22.863497531902311</v>
      </c>
    </row>
    <row r="1256" spans="1:15" s="212" customFormat="1">
      <c r="A1256" s="213" t="str">
        <f>name!E$10</f>
        <v>Sales and customer service occupations</v>
      </c>
      <c r="B1256" s="278">
        <v>3.3487503193318617</v>
      </c>
      <c r="C1256" s="278">
        <v>3.2675883421480032</v>
      </c>
      <c r="D1256" s="278">
        <v>2.1707649201045855</v>
      </c>
      <c r="E1256" s="278">
        <f t="shared" si="532"/>
        <v>8.78710358158445</v>
      </c>
      <c r="F1256" s="279"/>
      <c r="G1256" s="278">
        <v>2.7006139622860972</v>
      </c>
      <c r="H1256" s="278">
        <v>3.0306970154473034</v>
      </c>
      <c r="I1256" s="278">
        <v>1.5584494526349881</v>
      </c>
      <c r="J1256" s="278">
        <f t="shared" si="535"/>
        <v>7.2897604303683892</v>
      </c>
      <c r="K1256" s="279"/>
      <c r="L1256" s="278">
        <v>2.7584323889043909</v>
      </c>
      <c r="M1256" s="278">
        <v>3.3819578582341423</v>
      </c>
      <c r="N1256" s="278">
        <v>1.1822919122590569</v>
      </c>
      <c r="O1256" s="278">
        <f t="shared" si="534"/>
        <v>7.3226821593975906</v>
      </c>
    </row>
    <row r="1257" spans="1:15" s="212" customFormat="1">
      <c r="A1257" s="213" t="str">
        <f>name!E$11</f>
        <v>Process, plant and machine operatives</v>
      </c>
      <c r="B1257" s="278">
        <v>1.1608314990535353</v>
      </c>
      <c r="C1257" s="278">
        <v>2.6704517991546459</v>
      </c>
      <c r="D1257" s="278">
        <v>1.9071022672905806</v>
      </c>
      <c r="E1257" s="278">
        <f t="shared" si="532"/>
        <v>5.7383855654987617</v>
      </c>
      <c r="F1257" s="279"/>
      <c r="G1257" s="278">
        <v>0.76225978936759475</v>
      </c>
      <c r="H1257" s="278">
        <v>2.1914716389181228</v>
      </c>
      <c r="I1257" s="278">
        <v>1.971657063678697</v>
      </c>
      <c r="J1257" s="278">
        <f t="shared" si="535"/>
        <v>4.925388491964414</v>
      </c>
      <c r="K1257" s="279"/>
      <c r="L1257" s="278">
        <v>0.56182329517888818</v>
      </c>
      <c r="M1257" s="278">
        <v>3.9491275747657415</v>
      </c>
      <c r="N1257" s="278">
        <v>1.5612037960497904</v>
      </c>
      <c r="O1257" s="278">
        <f t="shared" si="534"/>
        <v>6.0721546659944199</v>
      </c>
    </row>
    <row r="1258" spans="1:15" s="212" customFormat="1">
      <c r="A1258" s="213" t="str">
        <f>name!E$12</f>
        <v>Elementary occupations</v>
      </c>
      <c r="B1258" s="278">
        <v>2.4538592645576758</v>
      </c>
      <c r="C1258" s="278">
        <v>18.899568087256146</v>
      </c>
      <c r="D1258" s="278">
        <v>7.3141539144568313</v>
      </c>
      <c r="E1258" s="278">
        <f t="shared" si="532"/>
        <v>28.667581266270652</v>
      </c>
      <c r="F1258" s="279"/>
      <c r="G1258" s="278">
        <v>1.7699551117729402</v>
      </c>
      <c r="H1258" s="278">
        <v>12.824510204799491</v>
      </c>
      <c r="I1258" s="278">
        <v>5.4515476279813493</v>
      </c>
      <c r="J1258" s="278">
        <f t="shared" si="535"/>
        <v>20.04601294455378</v>
      </c>
      <c r="K1258" s="279"/>
      <c r="L1258" s="278">
        <v>1.5726844393465664</v>
      </c>
      <c r="M1258" s="278">
        <v>4.7429877222202084</v>
      </c>
      <c r="N1258" s="278">
        <v>3.8216341322889185</v>
      </c>
      <c r="O1258" s="278">
        <f t="shared" si="534"/>
        <v>10.137306293855694</v>
      </c>
    </row>
    <row r="1259" spans="1:15" s="212" customFormat="1">
      <c r="A1259" s="213"/>
      <c r="B1259" s="278"/>
      <c r="C1259" s="278"/>
      <c r="D1259" s="278"/>
      <c r="E1259" s="278"/>
      <c r="F1259" s="279"/>
      <c r="G1259" s="278"/>
      <c r="H1259" s="278"/>
      <c r="I1259" s="278"/>
      <c r="J1259" s="278"/>
      <c r="K1259" s="279"/>
      <c r="L1259" s="278"/>
      <c r="M1259" s="278"/>
      <c r="N1259" s="278"/>
      <c r="O1259" s="278"/>
    </row>
    <row r="1260" spans="1:15" s="212" customFormat="1">
      <c r="A1260" s="220" t="s">
        <v>119</v>
      </c>
      <c r="B1260" s="282">
        <f>SUM(B1250:B1258)</f>
        <v>156.49499999738629</v>
      </c>
      <c r="C1260" s="282">
        <f t="shared" ref="C1260:E1260" si="536">SUM(C1250:C1258)</f>
        <v>106.6549999998049</v>
      </c>
      <c r="D1260" s="282">
        <f t="shared" si="536"/>
        <v>100.55900000059771</v>
      </c>
      <c r="E1260" s="282">
        <f t="shared" si="536"/>
        <v>363.70899999778896</v>
      </c>
      <c r="F1260" s="282"/>
      <c r="G1260" s="282">
        <f t="shared" ref="G1260:J1260" si="537">SUM(G1250:G1258)</f>
        <v>147.40799999936451</v>
      </c>
      <c r="H1260" s="282">
        <f t="shared" si="537"/>
        <v>97.898000000103636</v>
      </c>
      <c r="I1260" s="282">
        <f t="shared" si="537"/>
        <v>96.191999999174058</v>
      </c>
      <c r="J1260" s="282">
        <f t="shared" si="537"/>
        <v>341.49799999864229</v>
      </c>
      <c r="K1260" s="282"/>
      <c r="L1260" s="282">
        <f t="shared" ref="L1260:O1260" si="538">SUM(L1250:L1258)</f>
        <v>149.5110000013853</v>
      </c>
      <c r="M1260" s="282">
        <f t="shared" si="538"/>
        <v>95.483999999843419</v>
      </c>
      <c r="N1260" s="282">
        <f t="shared" si="538"/>
        <v>96.483000002738066</v>
      </c>
      <c r="O1260" s="282">
        <f t="shared" si="538"/>
        <v>341.47800000396683</v>
      </c>
    </row>
    <row r="1261" spans="1:15" s="212" customFormat="1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3"/>
      <c r="M1261" s="213"/>
      <c r="N1261" s="216"/>
    </row>
    <row r="1262" spans="1:15" s="212" customFormat="1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13"/>
      <c r="M1262" s="213"/>
      <c r="N1262" s="216"/>
      <c r="O1262" s="227" t="s">
        <v>114</v>
      </c>
    </row>
    <row r="1263" spans="1:15" s="212" customFormat="1" ht="12.95">
      <c r="A1263" s="218"/>
      <c r="B1263" s="218"/>
      <c r="C1263" s="218"/>
      <c r="D1263" s="218"/>
      <c r="E1263" s="218"/>
      <c r="F1263" s="218"/>
      <c r="G1263" s="218"/>
      <c r="H1263" s="218"/>
      <c r="I1263" s="218"/>
      <c r="J1263" s="218"/>
      <c r="K1263" s="218"/>
      <c r="L1263" s="218"/>
      <c r="M1263" s="218"/>
      <c r="N1263" s="218"/>
      <c r="O1263" s="218"/>
    </row>
    <row r="1264" spans="1:15" s="212" customFormat="1" ht="12.95">
      <c r="A1264" s="217" t="str">
        <f>name!A77</f>
        <v>Repair of goods</v>
      </c>
      <c r="B1264" s="369">
        <f>$B$6</f>
        <v>2015</v>
      </c>
      <c r="C1264" s="369"/>
      <c r="D1264" s="369"/>
      <c r="E1264" s="369"/>
      <c r="F1264" s="239"/>
      <c r="G1264" s="369">
        <f>$G$6</f>
        <v>2020</v>
      </c>
      <c r="H1264" s="369"/>
      <c r="I1264" s="369"/>
      <c r="J1264" s="369"/>
      <c r="K1264" s="239"/>
      <c r="L1264" s="369">
        <f>$L$6</f>
        <v>2035</v>
      </c>
      <c r="M1264" s="369"/>
      <c r="N1264" s="369"/>
      <c r="O1264" s="369"/>
    </row>
    <row r="1265" spans="1:15" s="212" customFormat="1" ht="12.95">
      <c r="A1265" s="230"/>
      <c r="B1265" s="244" t="str">
        <f>$B$7</f>
        <v>FT</v>
      </c>
      <c r="C1265" s="244" t="str">
        <f>$C$7</f>
        <v>PT</v>
      </c>
      <c r="D1265" s="244" t="str">
        <f>$D$7</f>
        <v>SE</v>
      </c>
      <c r="E1265" s="244" t="str">
        <f>$E$7</f>
        <v>Total</v>
      </c>
      <c r="F1265" s="244"/>
      <c r="G1265" s="244" t="str">
        <f>$G$7</f>
        <v>FT</v>
      </c>
      <c r="H1265" s="244" t="str">
        <f>$H$7</f>
        <v>PT</v>
      </c>
      <c r="I1265" s="244" t="str">
        <f>$I$7</f>
        <v>SE</v>
      </c>
      <c r="J1265" s="244" t="str">
        <f>$J$7</f>
        <v>Total</v>
      </c>
      <c r="K1265" s="244"/>
      <c r="L1265" s="244" t="str">
        <f>$L$7</f>
        <v>FT</v>
      </c>
      <c r="M1265" s="244" t="str">
        <f>$M$7</f>
        <v>PT</v>
      </c>
      <c r="N1265" s="244" t="str">
        <f>$N$7</f>
        <v>SE</v>
      </c>
      <c r="O1265" s="244" t="str">
        <f>$O$7</f>
        <v>Total</v>
      </c>
    </row>
    <row r="1266" spans="1:15" s="212" customFormat="1" ht="12.95">
      <c r="A1266" s="234"/>
      <c r="B1266" s="215"/>
      <c r="C1266" s="215"/>
      <c r="D1266" s="215"/>
      <c r="E1266" s="215"/>
      <c r="F1266" s="215"/>
      <c r="G1266" s="215"/>
      <c r="H1266" s="215"/>
      <c r="I1266" s="215"/>
      <c r="J1266" s="215"/>
      <c r="K1266" s="215"/>
      <c r="L1266" s="215"/>
      <c r="M1266" s="215"/>
      <c r="N1266" s="215"/>
      <c r="O1266" s="215"/>
    </row>
    <row r="1267" spans="1:15" s="212" customFormat="1">
      <c r="A1267" s="213" t="str">
        <f>name!E$4</f>
        <v>Managers, directors and senior officials</v>
      </c>
      <c r="B1267" s="278">
        <v>6.4031728611970777</v>
      </c>
      <c r="C1267" s="278">
        <v>0.13314418538355041</v>
      </c>
      <c r="D1267" s="278">
        <v>7.073121105469971</v>
      </c>
      <c r="E1267" s="278">
        <f>SUM(B1267:D1267)</f>
        <v>13.609438152050599</v>
      </c>
      <c r="F1267" s="279"/>
      <c r="G1267" s="278">
        <v>6.3314997096826238</v>
      </c>
      <c r="H1267" s="278">
        <v>0.26740315508679513</v>
      </c>
      <c r="I1267" s="278">
        <v>12.986974655973627</v>
      </c>
      <c r="J1267" s="278">
        <f>SUM(G1267:I1267)</f>
        <v>19.585877520743047</v>
      </c>
      <c r="K1267" s="279"/>
      <c r="L1267" s="278">
        <v>6.2233397559951884</v>
      </c>
      <c r="M1267" s="278">
        <v>0.31474272159694505</v>
      </c>
      <c r="N1267" s="278">
        <v>14.16348824206951</v>
      </c>
      <c r="O1267" s="278">
        <f>SUM(L1267:N1267)</f>
        <v>20.701570719661643</v>
      </c>
    </row>
    <row r="1268" spans="1:15" s="212" customFormat="1">
      <c r="A1268" s="213" t="str">
        <f>name!E$5</f>
        <v>Professional occupations</v>
      </c>
      <c r="B1268" s="278">
        <v>8.3346418073311135</v>
      </c>
      <c r="C1268" s="278">
        <v>0.20636691098223156</v>
      </c>
      <c r="D1268" s="278">
        <v>3.4954324736367473</v>
      </c>
      <c r="E1268" s="278">
        <f t="shared" ref="E1268:E1275" si="539">SUM(B1268:D1268)</f>
        <v>12.036441191950091</v>
      </c>
      <c r="F1268" s="279"/>
      <c r="G1268" s="278">
        <v>9.0040199712832614</v>
      </c>
      <c r="H1268" s="278">
        <v>0.37764238328329364</v>
      </c>
      <c r="I1268" s="278">
        <v>5.9702389536170068</v>
      </c>
      <c r="J1268" s="278">
        <f t="shared" ref="J1268:J1270" si="540">SUM(G1268:I1268)</f>
        <v>15.35190130818356</v>
      </c>
      <c r="K1268" s="279"/>
      <c r="L1268" s="278">
        <v>11.996837299331149</v>
      </c>
      <c r="M1268" s="278">
        <v>0.4848584145514987</v>
      </c>
      <c r="N1268" s="278">
        <v>5.5551896090634596</v>
      </c>
      <c r="O1268" s="278">
        <f t="shared" ref="O1268:O1275" si="541">SUM(L1268:N1268)</f>
        <v>18.036885322946105</v>
      </c>
    </row>
    <row r="1269" spans="1:15" s="212" customFormat="1">
      <c r="A1269" s="213" t="str">
        <f>name!E$6</f>
        <v>Associate professional occupations</v>
      </c>
      <c r="B1269" s="278">
        <v>4.165778093839057</v>
      </c>
      <c r="C1269" s="278">
        <v>0.25409873875051031</v>
      </c>
      <c r="D1269" s="278">
        <v>1.9514289076324298</v>
      </c>
      <c r="E1269" s="278">
        <f t="shared" si="539"/>
        <v>6.371305740221997</v>
      </c>
      <c r="F1269" s="279"/>
      <c r="G1269" s="278">
        <v>4.2635419209938457</v>
      </c>
      <c r="H1269" s="278">
        <v>0.3922254380271139</v>
      </c>
      <c r="I1269" s="278">
        <v>3.1486613840200226</v>
      </c>
      <c r="J1269" s="278">
        <f t="shared" si="540"/>
        <v>7.8044287430409822</v>
      </c>
      <c r="K1269" s="279"/>
      <c r="L1269" s="278">
        <v>4.5099042950240911</v>
      </c>
      <c r="M1269" s="278">
        <v>0.42000094974763064</v>
      </c>
      <c r="N1269" s="278">
        <v>3.0537640559499679</v>
      </c>
      <c r="O1269" s="278">
        <f t="shared" si="541"/>
        <v>7.9836693007216901</v>
      </c>
    </row>
    <row r="1270" spans="1:15" s="212" customFormat="1">
      <c r="A1270" s="213" t="str">
        <f>name!E$7</f>
        <v>Administrative and secretarial occupations</v>
      </c>
      <c r="B1270" s="278">
        <v>2.1346987740716741</v>
      </c>
      <c r="C1270" s="278">
        <v>0.33056385147521294</v>
      </c>
      <c r="D1270" s="278">
        <v>0.4113798823745527</v>
      </c>
      <c r="E1270" s="278">
        <f t="shared" si="539"/>
        <v>2.8766425079214399</v>
      </c>
      <c r="F1270" s="279"/>
      <c r="G1270" s="278">
        <v>2.1197646209634868</v>
      </c>
      <c r="H1270" s="278">
        <v>0.44238131007706399</v>
      </c>
      <c r="I1270" s="278">
        <v>0.62927249230443749</v>
      </c>
      <c r="J1270" s="278">
        <f t="shared" si="540"/>
        <v>3.1914184233449885</v>
      </c>
      <c r="K1270" s="279"/>
      <c r="L1270" s="278">
        <v>2.3401093085599545</v>
      </c>
      <c r="M1270" s="278">
        <v>0.42372387258202349</v>
      </c>
      <c r="N1270" s="278">
        <v>1.3934759075366947</v>
      </c>
      <c r="O1270" s="278">
        <f t="shared" si="541"/>
        <v>4.157309088678673</v>
      </c>
    </row>
    <row r="1271" spans="1:15" s="212" customFormat="1">
      <c r="A1271" s="213" t="str">
        <f>name!E$8</f>
        <v>Skilled trades occupations</v>
      </c>
      <c r="B1271" s="278">
        <v>2.2449627801777843</v>
      </c>
      <c r="C1271" s="278">
        <v>0.1391878614215207</v>
      </c>
      <c r="D1271" s="278">
        <v>3.5067495732130856</v>
      </c>
      <c r="E1271" s="278">
        <f t="shared" si="539"/>
        <v>5.8909002148123903</v>
      </c>
      <c r="F1271" s="279"/>
      <c r="G1271" s="278">
        <v>1.5545954616008275</v>
      </c>
      <c r="H1271" s="278">
        <v>0.11990449982299299</v>
      </c>
      <c r="I1271" s="278">
        <v>5.6303048543031053</v>
      </c>
      <c r="J1271" s="278">
        <f>SUM(G1271:I1271)</f>
        <v>7.3048048157269259</v>
      </c>
      <c r="K1271" s="279"/>
      <c r="L1271" s="278">
        <v>1.4008819446970271</v>
      </c>
      <c r="M1271" s="278">
        <v>0.11907705831893678</v>
      </c>
      <c r="N1271" s="278">
        <v>7.3022622650088689</v>
      </c>
      <c r="O1271" s="278">
        <f t="shared" si="541"/>
        <v>8.8222212680248333</v>
      </c>
    </row>
    <row r="1272" spans="1:15" s="212" customFormat="1">
      <c r="A1272" s="213" t="str">
        <f>name!E$9</f>
        <v>Caring, leisure and other service occupations</v>
      </c>
      <c r="B1272" s="278">
        <v>0.27823779568845203</v>
      </c>
      <c r="C1272" s="278">
        <v>4.2526516307392827E-2</v>
      </c>
      <c r="D1272" s="278">
        <v>0.31136313973114138</v>
      </c>
      <c r="E1272" s="278">
        <f t="shared" si="539"/>
        <v>0.63212745172698626</v>
      </c>
      <c r="F1272" s="279"/>
      <c r="G1272" s="278">
        <v>0.26236219862413029</v>
      </c>
      <c r="H1272" s="278">
        <v>4.7022609739524608E-2</v>
      </c>
      <c r="I1272" s="278">
        <v>0.58191622324291403</v>
      </c>
      <c r="J1272" s="278">
        <f t="shared" ref="J1272:J1275" si="542">SUM(G1272:I1272)</f>
        <v>0.89130103160656893</v>
      </c>
      <c r="K1272" s="279"/>
      <c r="L1272" s="278">
        <v>0.29509289777994424</v>
      </c>
      <c r="M1272" s="278">
        <v>3.7635527116912877E-2</v>
      </c>
      <c r="N1272" s="278">
        <v>0.95156535831921674</v>
      </c>
      <c r="O1272" s="278">
        <f t="shared" si="541"/>
        <v>1.2842937832160739</v>
      </c>
    </row>
    <row r="1273" spans="1:15" s="212" customFormat="1">
      <c r="A1273" s="213" t="str">
        <f>name!E$10</f>
        <v>Sales and customer service occupations</v>
      </c>
      <c r="B1273" s="278">
        <v>5.5497004107140926</v>
      </c>
      <c r="C1273" s="278">
        <v>4.0923124015494654</v>
      </c>
      <c r="D1273" s="278">
        <v>3.93977370314078</v>
      </c>
      <c r="E1273" s="278">
        <f t="shared" si="539"/>
        <v>13.581786515404339</v>
      </c>
      <c r="F1273" s="279"/>
      <c r="G1273" s="278">
        <v>4.4841333342592113</v>
      </c>
      <c r="H1273" s="278">
        <v>5.1556948489511782</v>
      </c>
      <c r="I1273" s="278">
        <v>4.7234122805427416</v>
      </c>
      <c r="J1273" s="278">
        <f t="shared" si="542"/>
        <v>14.363240463753133</v>
      </c>
      <c r="K1273" s="279"/>
      <c r="L1273" s="278">
        <v>3.0701879034395034</v>
      </c>
      <c r="M1273" s="278">
        <v>5.0870548698479796</v>
      </c>
      <c r="N1273" s="278">
        <v>2.9177041978152349</v>
      </c>
      <c r="O1273" s="278">
        <f t="shared" si="541"/>
        <v>11.074946971102717</v>
      </c>
    </row>
    <row r="1274" spans="1:15" s="212" customFormat="1">
      <c r="A1274" s="213" t="str">
        <f>name!E$11</f>
        <v>Process, plant and machine operatives</v>
      </c>
      <c r="B1274" s="278">
        <v>1.747670202866437</v>
      </c>
      <c r="C1274" s="278">
        <v>0.14430564379204538</v>
      </c>
      <c r="D1274" s="278">
        <v>0.66885271809753044</v>
      </c>
      <c r="E1274" s="278">
        <f t="shared" si="539"/>
        <v>2.5608285647560129</v>
      </c>
      <c r="F1274" s="279"/>
      <c r="G1274" s="278">
        <v>1.1783803779115529</v>
      </c>
      <c r="H1274" s="278">
        <v>0.18464848539508946</v>
      </c>
      <c r="I1274" s="278">
        <v>1.0273426026961314</v>
      </c>
      <c r="J1274" s="278">
        <f t="shared" si="542"/>
        <v>2.3903714660027737</v>
      </c>
      <c r="K1274" s="279"/>
      <c r="L1274" s="278">
        <v>0.72297433145730794</v>
      </c>
      <c r="M1274" s="278">
        <v>0.23510762830388485</v>
      </c>
      <c r="N1274" s="278">
        <v>1.3748076585621578</v>
      </c>
      <c r="O1274" s="278">
        <f t="shared" si="541"/>
        <v>2.3328896183233505</v>
      </c>
    </row>
    <row r="1275" spans="1:15" s="212" customFormat="1">
      <c r="A1275" s="213" t="str">
        <f>name!E$12</f>
        <v>Elementary occupations</v>
      </c>
      <c r="B1275" s="278">
        <v>3.1941372737306408</v>
      </c>
      <c r="C1275" s="278">
        <v>0.82749389057454092</v>
      </c>
      <c r="D1275" s="278">
        <v>0.22289849695195046</v>
      </c>
      <c r="E1275" s="278">
        <f t="shared" si="539"/>
        <v>4.2445296612571326</v>
      </c>
      <c r="F1275" s="279"/>
      <c r="G1275" s="278">
        <v>2.5467024043728728</v>
      </c>
      <c r="H1275" s="278">
        <v>0.81707726976506634</v>
      </c>
      <c r="I1275" s="278">
        <v>0.30087655323177909</v>
      </c>
      <c r="J1275" s="278">
        <f t="shared" si="542"/>
        <v>3.6646562273697185</v>
      </c>
      <c r="K1275" s="279"/>
      <c r="L1275" s="278">
        <v>2.6986722637057072</v>
      </c>
      <c r="M1275" s="278">
        <v>0.76179895821550603</v>
      </c>
      <c r="N1275" s="278">
        <v>0.47874270612772024</v>
      </c>
      <c r="O1275" s="278">
        <f t="shared" si="541"/>
        <v>3.9392139280489333</v>
      </c>
    </row>
    <row r="1276" spans="1:15" s="212" customFormat="1">
      <c r="A1276" s="213"/>
      <c r="B1276" s="278"/>
      <c r="C1276" s="278"/>
      <c r="D1276" s="278"/>
      <c r="E1276" s="278"/>
      <c r="F1276" s="279"/>
      <c r="G1276" s="278"/>
      <c r="H1276" s="278"/>
      <c r="I1276" s="278"/>
      <c r="J1276" s="278"/>
      <c r="K1276" s="279"/>
      <c r="L1276" s="278"/>
      <c r="M1276" s="278"/>
      <c r="N1276" s="278"/>
      <c r="O1276" s="278"/>
    </row>
    <row r="1277" spans="1:15" s="212" customFormat="1">
      <c r="A1277" s="220" t="s">
        <v>119</v>
      </c>
      <c r="B1277" s="282">
        <f>SUM(B1267:B1275)</f>
        <v>34.052999999616326</v>
      </c>
      <c r="C1277" s="282">
        <f t="shared" ref="C1277:E1277" si="543">SUM(C1267:C1275)</f>
        <v>6.1700000002364703</v>
      </c>
      <c r="D1277" s="282">
        <f t="shared" si="543"/>
        <v>21.581000000248185</v>
      </c>
      <c r="E1277" s="282">
        <f t="shared" si="543"/>
        <v>61.804000000100991</v>
      </c>
      <c r="F1277" s="282"/>
      <c r="G1277" s="282">
        <f t="shared" ref="G1277:J1277" si="544">SUM(G1267:G1275)</f>
        <v>31.74499999969181</v>
      </c>
      <c r="H1277" s="282">
        <f t="shared" si="544"/>
        <v>7.8040000001481191</v>
      </c>
      <c r="I1277" s="282">
        <f t="shared" si="544"/>
        <v>34.998999999931769</v>
      </c>
      <c r="J1277" s="282">
        <f t="shared" si="544"/>
        <v>74.547999999771704</v>
      </c>
      <c r="K1277" s="282"/>
      <c r="L1277" s="282">
        <f t="shared" ref="L1277:O1277" si="545">SUM(L1267:L1275)</f>
        <v>33.257999999989877</v>
      </c>
      <c r="M1277" s="282">
        <f t="shared" si="545"/>
        <v>7.8840000002813175</v>
      </c>
      <c r="N1277" s="282">
        <f t="shared" si="545"/>
        <v>37.191000000452824</v>
      </c>
      <c r="O1277" s="282">
        <f t="shared" si="545"/>
        <v>78.333000000724013</v>
      </c>
    </row>
    <row r="1278" spans="1:15" s="212" customFormat="1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3"/>
      <c r="M1278" s="213"/>
      <c r="N1278" s="216"/>
    </row>
    <row r="1279" spans="1:15" s="212" customFormat="1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13"/>
      <c r="M1279" s="213"/>
      <c r="N1279" s="216"/>
      <c r="O1279" s="227" t="s">
        <v>114</v>
      </c>
    </row>
    <row r="1280" spans="1:15" s="212" customFormat="1" ht="12.95">
      <c r="A1280" s="218"/>
      <c r="B1280" s="218"/>
      <c r="C1280" s="218"/>
      <c r="D1280" s="218"/>
      <c r="E1280" s="218"/>
      <c r="F1280" s="218"/>
      <c r="G1280" s="218"/>
      <c r="H1280" s="218"/>
      <c r="I1280" s="218"/>
      <c r="J1280" s="218"/>
      <c r="K1280" s="218"/>
      <c r="L1280" s="218"/>
      <c r="M1280" s="218"/>
      <c r="N1280" s="218"/>
      <c r="O1280" s="218"/>
    </row>
    <row r="1281" spans="1:15" s="212" customFormat="1" ht="12.95">
      <c r="A1281" s="217" t="str">
        <f>name!A78</f>
        <v>Other personal service</v>
      </c>
      <c r="B1281" s="369">
        <f>$B$6</f>
        <v>2015</v>
      </c>
      <c r="C1281" s="369"/>
      <c r="D1281" s="369"/>
      <c r="E1281" s="369"/>
      <c r="F1281" s="239"/>
      <c r="G1281" s="369">
        <f>$G$6</f>
        <v>2020</v>
      </c>
      <c r="H1281" s="369"/>
      <c r="I1281" s="369"/>
      <c r="J1281" s="369"/>
      <c r="K1281" s="239"/>
      <c r="L1281" s="369">
        <f>$L$6</f>
        <v>2035</v>
      </c>
      <c r="M1281" s="369"/>
      <c r="N1281" s="369"/>
      <c r="O1281" s="369"/>
    </row>
    <row r="1282" spans="1:15" s="212" customFormat="1" ht="12.95">
      <c r="A1282" s="230"/>
      <c r="B1282" s="244" t="str">
        <f>$B$7</f>
        <v>FT</v>
      </c>
      <c r="C1282" s="244" t="str">
        <f>$C$7</f>
        <v>PT</v>
      </c>
      <c r="D1282" s="244" t="str">
        <f>$D$7</f>
        <v>SE</v>
      </c>
      <c r="E1282" s="244" t="str">
        <f>$E$7</f>
        <v>Total</v>
      </c>
      <c r="F1282" s="244"/>
      <c r="G1282" s="244" t="str">
        <f>$G$7</f>
        <v>FT</v>
      </c>
      <c r="H1282" s="244" t="str">
        <f>$H$7</f>
        <v>PT</v>
      </c>
      <c r="I1282" s="244" t="str">
        <f>$I$7</f>
        <v>SE</v>
      </c>
      <c r="J1282" s="244" t="str">
        <f>$J$7</f>
        <v>Total</v>
      </c>
      <c r="K1282" s="244"/>
      <c r="L1282" s="244" t="str">
        <f>$L$7</f>
        <v>FT</v>
      </c>
      <c r="M1282" s="244" t="str">
        <f>$M$7</f>
        <v>PT</v>
      </c>
      <c r="N1282" s="244" t="str">
        <f>$N$7</f>
        <v>SE</v>
      </c>
      <c r="O1282" s="244" t="str">
        <f>$O$7</f>
        <v>Total</v>
      </c>
    </row>
    <row r="1283" spans="1:15" s="212" customFormat="1" ht="12.95">
      <c r="A1283" s="234"/>
      <c r="B1283" s="215"/>
      <c r="C1283" s="215"/>
      <c r="D1283" s="215"/>
      <c r="E1283" s="215"/>
      <c r="F1283" s="215"/>
      <c r="G1283" s="215"/>
      <c r="H1283" s="215"/>
      <c r="I1283" s="215"/>
      <c r="J1283" s="215"/>
      <c r="K1283" s="215"/>
      <c r="L1283" s="215"/>
      <c r="M1283" s="215"/>
      <c r="N1283" s="215"/>
      <c r="O1283" s="215"/>
    </row>
    <row r="1284" spans="1:15" s="212" customFormat="1">
      <c r="A1284" s="213" t="str">
        <f>name!E$4</f>
        <v>Managers, directors and senior officials</v>
      </c>
      <c r="B1284" s="278">
        <v>19.505226464769422</v>
      </c>
      <c r="C1284" s="278">
        <v>4.1394012736751886</v>
      </c>
      <c r="D1284" s="278">
        <v>12.198951489310017</v>
      </c>
      <c r="E1284" s="278">
        <f>SUM(B1284:D1284)</f>
        <v>35.843579227754631</v>
      </c>
      <c r="F1284" s="279"/>
      <c r="G1284" s="278">
        <v>20.613161767895289</v>
      </c>
      <c r="H1284" s="278">
        <v>6.9222664306550401</v>
      </c>
      <c r="I1284" s="278">
        <v>12.634728008421009</v>
      </c>
      <c r="J1284" s="278">
        <f>SUM(G1284:I1284)</f>
        <v>40.170156206971335</v>
      </c>
      <c r="K1284" s="279"/>
      <c r="L1284" s="278">
        <v>22.978990768128227</v>
      </c>
      <c r="M1284" s="278">
        <v>9.5172383948798629</v>
      </c>
      <c r="N1284" s="278">
        <v>12.250892133691481</v>
      </c>
      <c r="O1284" s="278">
        <f>SUM(L1284:N1284)</f>
        <v>44.747121296699568</v>
      </c>
    </row>
    <row r="1285" spans="1:15" s="212" customFormat="1">
      <c r="A1285" s="213" t="str">
        <f>name!E$5</f>
        <v>Professional occupations</v>
      </c>
      <c r="B1285" s="278">
        <v>17.530435971650167</v>
      </c>
      <c r="C1285" s="278">
        <v>5.1089715314534772</v>
      </c>
      <c r="D1285" s="278">
        <v>9.822805709095304</v>
      </c>
      <c r="E1285" s="278">
        <f t="shared" ref="E1285:E1292" si="546">SUM(B1285:D1285)</f>
        <v>32.462213212198947</v>
      </c>
      <c r="F1285" s="279"/>
      <c r="G1285" s="278">
        <v>21.005963858929704</v>
      </c>
      <c r="H1285" s="278">
        <v>8.8329765490311392</v>
      </c>
      <c r="I1285" s="278">
        <v>12.169474793095723</v>
      </c>
      <c r="J1285" s="278">
        <f t="shared" ref="J1285:J1287" si="547">SUM(G1285:I1285)</f>
        <v>42.008415201056565</v>
      </c>
      <c r="K1285" s="279"/>
      <c r="L1285" s="278">
        <v>27.600373337990241</v>
      </c>
      <c r="M1285" s="278">
        <v>11.962972188273429</v>
      </c>
      <c r="N1285" s="278">
        <v>10.410238559689454</v>
      </c>
      <c r="O1285" s="278">
        <f t="shared" ref="O1285:O1292" si="548">SUM(L1285:N1285)</f>
        <v>49.973584085953128</v>
      </c>
    </row>
    <row r="1286" spans="1:15" s="212" customFormat="1">
      <c r="A1286" s="213" t="str">
        <f>name!E$6</f>
        <v>Associate professional occupations</v>
      </c>
      <c r="B1286" s="278">
        <v>14.663070666335051</v>
      </c>
      <c r="C1286" s="278">
        <v>6.3947142551430867</v>
      </c>
      <c r="D1286" s="278">
        <v>18.659147948609942</v>
      </c>
      <c r="E1286" s="278">
        <f t="shared" si="546"/>
        <v>39.71693287008808</v>
      </c>
      <c r="F1286" s="279"/>
      <c r="G1286" s="278">
        <v>15.826148129446901</v>
      </c>
      <c r="H1286" s="278">
        <v>9.1199263908782839</v>
      </c>
      <c r="I1286" s="278">
        <v>23.080626192250723</v>
      </c>
      <c r="J1286" s="278">
        <f t="shared" si="547"/>
        <v>48.026700712575902</v>
      </c>
      <c r="K1286" s="279"/>
      <c r="L1286" s="278">
        <v>18.847641189452354</v>
      </c>
      <c r="M1286" s="278">
        <v>10.040219955191365</v>
      </c>
      <c r="N1286" s="278">
        <v>20.577674825058125</v>
      </c>
      <c r="O1286" s="278">
        <f t="shared" si="548"/>
        <v>49.465535969701847</v>
      </c>
    </row>
    <row r="1287" spans="1:15" s="212" customFormat="1">
      <c r="A1287" s="213" t="str">
        <f>name!E$7</f>
        <v>Administrative and secretarial occupations</v>
      </c>
      <c r="B1287" s="278">
        <v>9.4646564808652318</v>
      </c>
      <c r="C1287" s="278">
        <v>10.716677134602017</v>
      </c>
      <c r="D1287" s="278">
        <v>1.1497777700645047</v>
      </c>
      <c r="E1287" s="278">
        <f t="shared" si="546"/>
        <v>21.331111385531752</v>
      </c>
      <c r="F1287" s="279"/>
      <c r="G1287" s="278">
        <v>10.050955104645656</v>
      </c>
      <c r="H1287" s="278">
        <v>13.386450398911238</v>
      </c>
      <c r="I1287" s="278">
        <v>1.2199935457985556</v>
      </c>
      <c r="J1287" s="278">
        <f t="shared" si="547"/>
        <v>24.657399049355451</v>
      </c>
      <c r="K1287" s="279"/>
      <c r="L1287" s="278">
        <v>11.655876972173099</v>
      </c>
      <c r="M1287" s="278">
        <v>16.789916199988575</v>
      </c>
      <c r="N1287" s="278">
        <v>3.0911005170410926</v>
      </c>
      <c r="O1287" s="278">
        <f t="shared" si="548"/>
        <v>31.536893689202763</v>
      </c>
    </row>
    <row r="1288" spans="1:15" s="212" customFormat="1">
      <c r="A1288" s="213" t="str">
        <f>name!E$8</f>
        <v>Skilled trades occupations</v>
      </c>
      <c r="B1288" s="278">
        <v>10.138797311193489</v>
      </c>
      <c r="C1288" s="278">
        <v>2.8405148193378045</v>
      </c>
      <c r="D1288" s="278">
        <v>7.4909443128947846</v>
      </c>
      <c r="E1288" s="278">
        <f t="shared" si="546"/>
        <v>20.470256443426081</v>
      </c>
      <c r="F1288" s="279"/>
      <c r="G1288" s="278">
        <v>8.3671799875649526</v>
      </c>
      <c r="H1288" s="278">
        <v>2.9539534337814461</v>
      </c>
      <c r="I1288" s="278">
        <v>7.6717571929722048</v>
      </c>
      <c r="J1288" s="278">
        <f>SUM(G1288:I1288)</f>
        <v>18.992890614318604</v>
      </c>
      <c r="K1288" s="279"/>
      <c r="L1288" s="278">
        <v>9.8541264321482842</v>
      </c>
      <c r="M1288" s="278">
        <v>4.6530757487603944</v>
      </c>
      <c r="N1288" s="278">
        <v>10.221721547967791</v>
      </c>
      <c r="O1288" s="278">
        <f t="shared" si="548"/>
        <v>24.728923728876467</v>
      </c>
    </row>
    <row r="1289" spans="1:15" s="212" customFormat="1">
      <c r="A1289" s="213" t="str">
        <f>name!E$9</f>
        <v>Caring, leisure and other service occupations</v>
      </c>
      <c r="B1289" s="278">
        <v>73.163813543142112</v>
      </c>
      <c r="C1289" s="278">
        <v>50.15431083504928</v>
      </c>
      <c r="D1289" s="278">
        <v>72.731775449605848</v>
      </c>
      <c r="E1289" s="278">
        <f t="shared" si="546"/>
        <v>196.04989982779722</v>
      </c>
      <c r="F1289" s="279"/>
      <c r="G1289" s="278">
        <v>67.599908406417995</v>
      </c>
      <c r="H1289" s="278">
        <v>46.111405211594388</v>
      </c>
      <c r="I1289" s="278">
        <v>93.204147039152446</v>
      </c>
      <c r="J1289" s="278">
        <f t="shared" ref="J1289:J1292" si="549">SUM(G1289:I1289)</f>
        <v>206.91546065716483</v>
      </c>
      <c r="K1289" s="279"/>
      <c r="L1289" s="278">
        <v>51.341684873523796</v>
      </c>
      <c r="M1289" s="278">
        <v>33.355602366373603</v>
      </c>
      <c r="N1289" s="278">
        <v>92.12130537426961</v>
      </c>
      <c r="O1289" s="278">
        <f t="shared" si="548"/>
        <v>176.81859261416702</v>
      </c>
    </row>
    <row r="1290" spans="1:15" s="212" customFormat="1">
      <c r="A1290" s="213" t="str">
        <f>name!E$10</f>
        <v>Sales and customer service occupations</v>
      </c>
      <c r="B1290" s="278">
        <v>5.4967735003072411</v>
      </c>
      <c r="C1290" s="278">
        <v>7.5004928371571875</v>
      </c>
      <c r="D1290" s="278">
        <v>3.7680743634795237</v>
      </c>
      <c r="E1290" s="278">
        <f t="shared" si="546"/>
        <v>16.765340700943952</v>
      </c>
      <c r="F1290" s="279"/>
      <c r="G1290" s="278">
        <v>5.2918923831523674</v>
      </c>
      <c r="H1290" s="278">
        <v>8.7413584887384221</v>
      </c>
      <c r="I1290" s="278">
        <v>3.0368201396419972</v>
      </c>
      <c r="J1290" s="278">
        <f t="shared" si="549"/>
        <v>17.070071011532786</v>
      </c>
      <c r="K1290" s="279"/>
      <c r="L1290" s="278">
        <v>6.931751361612192</v>
      </c>
      <c r="M1290" s="278">
        <v>10.363350746559597</v>
      </c>
      <c r="N1290" s="278">
        <v>2.1532819367141438</v>
      </c>
      <c r="O1290" s="278">
        <f t="shared" si="548"/>
        <v>19.448384044885934</v>
      </c>
    </row>
    <row r="1291" spans="1:15" s="212" customFormat="1">
      <c r="A1291" s="213" t="str">
        <f>name!E$11</f>
        <v>Process, plant and machine operatives</v>
      </c>
      <c r="B1291" s="278">
        <v>7.8416071320877991</v>
      </c>
      <c r="C1291" s="278">
        <v>3.5105551463840277</v>
      </c>
      <c r="D1291" s="278">
        <v>1.1777235805026094</v>
      </c>
      <c r="E1291" s="278">
        <f t="shared" si="546"/>
        <v>12.529885858974437</v>
      </c>
      <c r="F1291" s="279"/>
      <c r="G1291" s="278">
        <v>6.5079537001250864</v>
      </c>
      <c r="H1291" s="278">
        <v>3.8589556693893901</v>
      </c>
      <c r="I1291" s="278">
        <v>1.4025047797426555</v>
      </c>
      <c r="J1291" s="278">
        <f t="shared" si="549"/>
        <v>11.769414149257132</v>
      </c>
      <c r="K1291" s="279"/>
      <c r="L1291" s="278">
        <v>5.5615420483871434</v>
      </c>
      <c r="M1291" s="278">
        <v>3.400638137076351</v>
      </c>
      <c r="N1291" s="278">
        <v>1.3258430103177896</v>
      </c>
      <c r="O1291" s="278">
        <f t="shared" si="548"/>
        <v>10.288023195781285</v>
      </c>
    </row>
    <row r="1292" spans="1:15" s="212" customFormat="1">
      <c r="A1292" s="213" t="str">
        <f>name!E$12</f>
        <v>Elementary occupations</v>
      </c>
      <c r="B1292" s="278">
        <v>14.390618929514163</v>
      </c>
      <c r="C1292" s="278">
        <v>13.674362168543851</v>
      </c>
      <c r="D1292" s="278">
        <v>6.6787993798468577</v>
      </c>
      <c r="E1292" s="278">
        <f t="shared" si="546"/>
        <v>34.74378047790487</v>
      </c>
      <c r="F1292" s="279"/>
      <c r="G1292" s="278">
        <v>12.389836661682741</v>
      </c>
      <c r="H1292" s="278">
        <v>13.417707428017341</v>
      </c>
      <c r="I1292" s="278">
        <v>4.8439483072818135</v>
      </c>
      <c r="J1292" s="278">
        <f t="shared" si="549"/>
        <v>30.651492396981894</v>
      </c>
      <c r="K1292" s="279"/>
      <c r="L1292" s="278">
        <v>14.510013017894225</v>
      </c>
      <c r="M1292" s="278">
        <v>9.8789862642141202</v>
      </c>
      <c r="N1292" s="278">
        <v>4.8769420969337336</v>
      </c>
      <c r="O1292" s="278">
        <f t="shared" si="548"/>
        <v>29.265941379042076</v>
      </c>
    </row>
    <row r="1293" spans="1:15" s="212" customFormat="1">
      <c r="A1293" s="213"/>
      <c r="B1293" s="278"/>
      <c r="C1293" s="278"/>
      <c r="D1293" s="278"/>
      <c r="E1293" s="278"/>
      <c r="F1293" s="279"/>
      <c r="G1293" s="278"/>
      <c r="H1293" s="278"/>
      <c r="I1293" s="278"/>
      <c r="J1293" s="278"/>
      <c r="K1293" s="279"/>
      <c r="L1293" s="278"/>
      <c r="M1293" s="278"/>
      <c r="N1293" s="278"/>
      <c r="O1293" s="278"/>
    </row>
    <row r="1294" spans="1:15" s="212" customFormat="1">
      <c r="A1294" s="220" t="s">
        <v>119</v>
      </c>
      <c r="B1294" s="282">
        <f>SUM(B1284:B1292)</f>
        <v>172.19499999986468</v>
      </c>
      <c r="C1294" s="282">
        <f t="shared" ref="C1294:E1294" si="550">SUM(C1284:C1292)</f>
        <v>104.04000000134592</v>
      </c>
      <c r="D1294" s="282">
        <f t="shared" si="550"/>
        <v>133.67800000340941</v>
      </c>
      <c r="E1294" s="282">
        <f t="shared" si="550"/>
        <v>409.91300000461996</v>
      </c>
      <c r="F1294" s="282"/>
      <c r="G1294" s="282">
        <f t="shared" ref="G1294:J1294" si="551">SUM(G1284:G1292)</f>
        <v>167.65299999986073</v>
      </c>
      <c r="H1294" s="282">
        <f t="shared" si="551"/>
        <v>113.34500000099669</v>
      </c>
      <c r="I1294" s="282">
        <f t="shared" si="551"/>
        <v>159.26399999835715</v>
      </c>
      <c r="J1294" s="282">
        <f t="shared" si="551"/>
        <v>440.26199999921454</v>
      </c>
      <c r="K1294" s="282"/>
      <c r="L1294" s="282">
        <f t="shared" ref="L1294:O1294" si="552">SUM(L1284:L1292)</f>
        <v>169.28200000130957</v>
      </c>
      <c r="M1294" s="282">
        <f t="shared" si="552"/>
        <v>109.96200000131731</v>
      </c>
      <c r="N1294" s="282">
        <f t="shared" si="552"/>
        <v>157.02900000168319</v>
      </c>
      <c r="O1294" s="282">
        <f t="shared" si="552"/>
        <v>436.27300000431012</v>
      </c>
    </row>
    <row r="1295" spans="1:15" s="212" customFormat="1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3"/>
      <c r="M1295" s="213"/>
      <c r="N1295" s="216"/>
    </row>
  </sheetData>
  <mergeCells count="228"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6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6">
      <c r="A1" s="17" t="str">
        <f>CONCATENATE("Occupation Table 1  Employment Change by Occupation Group (SOC 2020) and Replacement Demand, ",B$6,"-",F$6,", ",Info!B5)</f>
        <v>Occupation Table 1  Employment Change by Occupation Group (SOC 2020) and Replacement Demand, 2015-2035, England</v>
      </c>
      <c r="L1" s="17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England</v>
      </c>
      <c r="W1" s="17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England</v>
      </c>
    </row>
    <row r="2" spans="1:32" ht="12.95">
      <c r="A2" s="1" t="s">
        <v>175</v>
      </c>
    </row>
    <row r="3" spans="1:32">
      <c r="F3" s="15" t="s">
        <v>114</v>
      </c>
      <c r="J3" s="15" t="s">
        <v>114</v>
      </c>
      <c r="Q3" s="15" t="s">
        <v>114</v>
      </c>
      <c r="U3" s="15" t="s">
        <v>114</v>
      </c>
      <c r="AB3" s="15" t="s">
        <v>114</v>
      </c>
      <c r="AF3" s="15" t="s">
        <v>114</v>
      </c>
    </row>
    <row r="4" spans="1:32" ht="12.95">
      <c r="A4" s="28"/>
      <c r="B4" s="28"/>
      <c r="C4" s="28"/>
      <c r="D4" s="28"/>
      <c r="E4" s="28"/>
      <c r="F4" s="28"/>
      <c r="H4" s="23" t="str">
        <f>CONCATENATE(D6,"-",F6)</f>
        <v>2020-2035</v>
      </c>
      <c r="I4" s="28"/>
      <c r="J4" s="28"/>
      <c r="L4" s="23" t="s">
        <v>176</v>
      </c>
      <c r="M4" s="28"/>
      <c r="N4" s="28"/>
      <c r="O4" s="28"/>
      <c r="P4" s="28"/>
      <c r="Q4" s="28"/>
      <c r="S4" s="23" t="str">
        <f>CONCATENATE(O6,"-",Q6)</f>
        <v>2020-2035</v>
      </c>
      <c r="T4" s="28"/>
      <c r="U4" s="28"/>
      <c r="W4" s="23" t="s">
        <v>177</v>
      </c>
      <c r="X4" s="28"/>
      <c r="Y4" s="28"/>
      <c r="Z4" s="28"/>
      <c r="AA4" s="28"/>
      <c r="AB4" s="28"/>
      <c r="AD4" s="23" t="str">
        <f>CONCATENATE(Z6,"-",AB6)</f>
        <v>2020-2035</v>
      </c>
      <c r="AE4" s="28"/>
      <c r="AF4" s="28"/>
    </row>
    <row r="5" spans="1:32">
      <c r="H5" s="15" t="s">
        <v>117</v>
      </c>
      <c r="I5" s="15" t="s">
        <v>118</v>
      </c>
      <c r="J5" s="15" t="s">
        <v>119</v>
      </c>
      <c r="S5" s="15" t="s">
        <v>117</v>
      </c>
      <c r="T5" s="15" t="s">
        <v>118</v>
      </c>
      <c r="U5" s="15" t="s">
        <v>119</v>
      </c>
      <c r="AD5" s="15" t="s">
        <v>117</v>
      </c>
      <c r="AE5" s="15" t="s">
        <v>118</v>
      </c>
      <c r="AF5" s="15" t="s">
        <v>119</v>
      </c>
    </row>
    <row r="6" spans="1:32" ht="12.95">
      <c r="A6" s="31" t="s">
        <v>115</v>
      </c>
      <c r="B6" s="27">
        <f>'Occ T2'!B6</f>
        <v>2015</v>
      </c>
      <c r="C6" s="27">
        <f>'Occ T2'!C6</f>
        <v>2019</v>
      </c>
      <c r="D6" s="27">
        <f>'Occ T2'!D6</f>
        <v>2020</v>
      </c>
      <c r="E6" s="27">
        <f>'Occ T2'!E6</f>
        <v>2025</v>
      </c>
      <c r="F6" s="27">
        <f>'Occ T2'!F6</f>
        <v>2035</v>
      </c>
      <c r="G6" s="10"/>
      <c r="H6" s="50" t="s">
        <v>120</v>
      </c>
      <c r="I6" s="50" t="s">
        <v>121</v>
      </c>
      <c r="J6" s="50" t="s">
        <v>122</v>
      </c>
      <c r="L6" s="31" t="s">
        <v>115</v>
      </c>
      <c r="M6" s="27">
        <f>'Occ T2'!B6</f>
        <v>2015</v>
      </c>
      <c r="N6" s="27">
        <f>'Occ T2'!C6</f>
        <v>2019</v>
      </c>
      <c r="O6" s="27">
        <f>'Occ T2'!D6</f>
        <v>2020</v>
      </c>
      <c r="P6" s="27">
        <f>'Occ T2'!E6</f>
        <v>2025</v>
      </c>
      <c r="Q6" s="27">
        <f>'Occ T2'!F6</f>
        <v>2035</v>
      </c>
      <c r="R6" s="10"/>
      <c r="S6" s="50" t="s">
        <v>120</v>
      </c>
      <c r="T6" s="50" t="s">
        <v>121</v>
      </c>
      <c r="U6" s="50" t="s">
        <v>122</v>
      </c>
      <c r="W6" s="31" t="s">
        <v>115</v>
      </c>
      <c r="X6" s="27">
        <f>'Occ T2'!B6</f>
        <v>2015</v>
      </c>
      <c r="Y6" s="27">
        <f>'Occ T2'!C6</f>
        <v>2019</v>
      </c>
      <c r="Z6" s="27">
        <f>'Occ T2'!D6</f>
        <v>2020</v>
      </c>
      <c r="AA6" s="27">
        <f>'Occ T2'!E6</f>
        <v>2025</v>
      </c>
      <c r="AB6" s="27">
        <f>'Occ T2'!F6</f>
        <v>2035</v>
      </c>
      <c r="AC6" s="10"/>
      <c r="AD6" s="50" t="s">
        <v>120</v>
      </c>
      <c r="AE6" s="50" t="s">
        <v>121</v>
      </c>
      <c r="AF6" s="50" t="s">
        <v>122</v>
      </c>
    </row>
    <row r="7" spans="1:3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>
      <c r="A8" t="str">
        <f>name!E4</f>
        <v>Managers, directors and senior officials</v>
      </c>
      <c r="B8" s="11">
        <f t="array" ref="B8:B16">MMULT(aggregation!$B$38:$AA$46,'Occ T2'!B8:B33)</f>
        <v>2822.954966620724</v>
      </c>
      <c r="C8" s="11">
        <f t="array" ref="C8:C16">MMULT(aggregation!$B$38:$AA$46,'Occ T2'!C8:C33)</f>
        <v>3241.7877031892976</v>
      </c>
      <c r="D8" s="11">
        <f t="array" ref="D8:D16">MMULT(aggregation!$B$38:$AA$46,'Occ T2'!D8:D33)</f>
        <v>3307.5137597510793</v>
      </c>
      <c r="E8" s="11">
        <f t="array" ref="E8:E16">MMULT(aggregation!$B$38:$AA$46,'Occ T2'!E8:E33)</f>
        <v>3147.4469092280979</v>
      </c>
      <c r="F8" s="11">
        <f t="array" ref="F8:F16">MMULT(aggregation!$B$38:$AA$46,'Occ T2'!F8:F33)</f>
        <v>3452.3732221540354</v>
      </c>
      <c r="G8" s="11"/>
      <c r="H8" s="11">
        <f>F8-D8</f>
        <v>144.85946240295607</v>
      </c>
      <c r="I8" s="11">
        <f t="array" ref="I8:I16">MMULT(aggregation!$B$38:$AA$46,'Occ T2'!I8:I33)</f>
        <v>1738.3917492056905</v>
      </c>
      <c r="J8" s="11">
        <f>SUM(H8:I8)</f>
        <v>1883.2512116086466</v>
      </c>
      <c r="L8" s="10" t="str">
        <f>name!E4</f>
        <v>Managers, directors and senior officials</v>
      </c>
      <c r="M8" s="11">
        <f t="array" ref="M8:M16">MMULT(aggregation!$B$38:$AA$46,'Occ T2'!M8:M33)</f>
        <v>1873.7942274513757</v>
      </c>
      <c r="N8" s="11">
        <f t="array" ref="N8:N16">MMULT(aggregation!$B$38:$AA$46,'Occ T2'!N8:N33)</f>
        <v>2090.8482221630989</v>
      </c>
      <c r="O8" s="11">
        <f t="array" ref="O8:O16">MMULT(aggregation!$B$38:$AA$46,'Occ T2'!O8:O33)</f>
        <v>2098.4696107899317</v>
      </c>
      <c r="P8" s="11">
        <f t="array" ref="P8:P16">MMULT(aggregation!$B$38:$AA$46,'Occ T2'!P8:P33)</f>
        <v>1977.1644573016947</v>
      </c>
      <c r="Q8" s="11">
        <f t="array" ref="Q8:Q16">MMULT(aggregation!$B$38:$AA$46,'Occ T2'!Q8:Q33)</f>
        <v>2109.0833237945149</v>
      </c>
      <c r="R8" s="11"/>
      <c r="S8" s="11">
        <f>Q8-O8</f>
        <v>10.613713004583133</v>
      </c>
      <c r="T8" s="11">
        <f t="array" ref="T8:T16">MMULT(aggregation!$B$38:$AA$46,'Occ T2'!T8:T33)</f>
        <v>985.58671708415636</v>
      </c>
      <c r="U8" s="11">
        <f>SUM(S8:T8)</f>
        <v>996.20043008873949</v>
      </c>
      <c r="W8" s="10" t="str">
        <f>name!E4</f>
        <v>Managers, directors and senior officials</v>
      </c>
      <c r="X8" s="11">
        <f t="array" ref="X8:X16">MMULT(aggregation!$B$38:$AA$46,'Occ T2'!X8:X33)</f>
        <v>949.16073916934988</v>
      </c>
      <c r="Y8" s="11">
        <f t="array" ref="Y8:Y16">MMULT(aggregation!$B$38:$AA$46,'Occ T2'!Y8:Y33)</f>
        <v>1150.9394810261999</v>
      </c>
      <c r="Z8" s="11">
        <f t="array" ref="Z8:Z16">MMULT(aggregation!$B$38:$AA$46,'Occ T2'!Z8:Z33)</f>
        <v>1209.0441489611483</v>
      </c>
      <c r="AA8" s="11">
        <f t="array" ref="AA8:AA16">MMULT(aggregation!$B$38:$AA$46,'Occ T2'!AA8:AA33)</f>
        <v>1170.2824519264034</v>
      </c>
      <c r="AB8" s="11">
        <f t="array" ref="AB8:AB16">MMULT(aggregation!$B$38:$AA$46,'Occ T2'!AB8:AB33)</f>
        <v>1343.2898983595214</v>
      </c>
      <c r="AC8" s="11"/>
      <c r="AD8" s="11">
        <f>AB8-Z8</f>
        <v>134.24574939837316</v>
      </c>
      <c r="AE8" s="11">
        <f t="array" ref="AE8:AE16">MMULT(aggregation!$B$38:$AA$46,'Occ T2'!AE8:AE33)</f>
        <v>752.8050321215344</v>
      </c>
      <c r="AF8" s="11">
        <f>SUM(AD8:AE8)</f>
        <v>887.05078151990756</v>
      </c>
    </row>
    <row r="9" spans="1:32">
      <c r="A9" t="str">
        <f>name!E5</f>
        <v>Professional occupations</v>
      </c>
      <c r="B9" s="11">
        <v>5913.2437820431533</v>
      </c>
      <c r="C9" s="11">
        <v>6746.1756140652806</v>
      </c>
      <c r="D9" s="11">
        <v>7052.3788359871123</v>
      </c>
      <c r="E9" s="11">
        <v>7598.1008300975063</v>
      </c>
      <c r="F9" s="11">
        <v>8387.1585685800528</v>
      </c>
      <c r="G9" s="11"/>
      <c r="H9" s="11">
        <f t="shared" ref="H9:H16" si="0">F9-D9</f>
        <v>1334.7797325929405</v>
      </c>
      <c r="I9" s="11">
        <v>3604.6298068640658</v>
      </c>
      <c r="J9" s="11">
        <f t="shared" ref="J9:J15" si="1">SUM(H9:I9)</f>
        <v>4939.4095394570068</v>
      </c>
      <c r="L9" s="10" t="str">
        <f>name!E5</f>
        <v>Professional occupations</v>
      </c>
      <c r="M9" s="11">
        <v>3072.3892429772977</v>
      </c>
      <c r="N9" s="11">
        <v>3464.5467640447359</v>
      </c>
      <c r="O9" s="11">
        <v>3585.25480396376</v>
      </c>
      <c r="P9" s="11">
        <v>3966.758632854001</v>
      </c>
      <c r="Q9" s="11">
        <v>4331.08322324043</v>
      </c>
      <c r="R9" s="11"/>
      <c r="S9" s="11">
        <f t="shared" ref="S9:S16" si="2">Q9-O9</f>
        <v>745.82841927667005</v>
      </c>
      <c r="T9" s="11">
        <v>1531.117183311605</v>
      </c>
      <c r="U9" s="11">
        <f t="shared" ref="U9:U12" si="3">SUM(S9:T9)</f>
        <v>2276.9456025882751</v>
      </c>
      <c r="W9" s="10" t="str">
        <f>name!E5</f>
        <v>Professional occupations</v>
      </c>
      <c r="X9" s="11">
        <v>2840.8545390658555</v>
      </c>
      <c r="Y9" s="11">
        <v>3281.6288500205555</v>
      </c>
      <c r="Z9" s="11">
        <v>3467.1240320233428</v>
      </c>
      <c r="AA9" s="11">
        <v>3631.3421972435108</v>
      </c>
      <c r="AB9" s="11">
        <v>4056.0753453396214</v>
      </c>
      <c r="AC9" s="11"/>
      <c r="AD9" s="11">
        <f t="shared" ref="AD9:AD16" si="4">AB9-Z9</f>
        <v>588.95131331627863</v>
      </c>
      <c r="AE9" s="11">
        <v>2073.5126235524608</v>
      </c>
      <c r="AF9" s="11">
        <f t="shared" ref="AF9:AF12" si="5">SUM(AD9:AE9)</f>
        <v>2662.4639368687394</v>
      </c>
    </row>
    <row r="10" spans="1:32">
      <c r="A10" t="str">
        <f>name!E6</f>
        <v>Associate professional occupations</v>
      </c>
      <c r="B10" s="11">
        <v>3673.0788633877005</v>
      </c>
      <c r="C10" s="11">
        <v>3966.2899027660592</v>
      </c>
      <c r="D10" s="11">
        <v>4148.5199221357107</v>
      </c>
      <c r="E10" s="11">
        <v>4375.1721076650338</v>
      </c>
      <c r="F10" s="11">
        <v>4773.1361951546642</v>
      </c>
      <c r="G10" s="11"/>
      <c r="H10" s="11">
        <f t="shared" si="0"/>
        <v>624.61627301895351</v>
      </c>
      <c r="I10" s="11">
        <v>2123.4947790465917</v>
      </c>
      <c r="J10" s="11">
        <f t="shared" si="1"/>
        <v>2748.1110520655452</v>
      </c>
      <c r="L10" s="10" t="str">
        <f>name!E6</f>
        <v>Associate professional occupations</v>
      </c>
      <c r="M10" s="11">
        <v>1992.8277048640794</v>
      </c>
      <c r="N10" s="11">
        <v>2117.7596872654435</v>
      </c>
      <c r="O10" s="11">
        <v>2197.8339149210806</v>
      </c>
      <c r="P10" s="11">
        <v>2124.898930524429</v>
      </c>
      <c r="Q10" s="11">
        <v>2207.8284844067348</v>
      </c>
      <c r="R10" s="11"/>
      <c r="S10" s="11">
        <f t="shared" si="2"/>
        <v>9.9945694856542104</v>
      </c>
      <c r="T10" s="11">
        <v>830.53469513513255</v>
      </c>
      <c r="U10" s="11">
        <f t="shared" si="3"/>
        <v>840.52926462078676</v>
      </c>
      <c r="W10" s="10" t="str">
        <f>name!E6</f>
        <v>Associate professional occupations</v>
      </c>
      <c r="X10" s="11">
        <v>1680.2511585236171</v>
      </c>
      <c r="Y10" s="11">
        <v>1848.5302155006125</v>
      </c>
      <c r="Z10" s="11">
        <v>1950.6860072146274</v>
      </c>
      <c r="AA10" s="11">
        <v>2250.2731771406093</v>
      </c>
      <c r="AB10" s="11">
        <v>2565.3077107479307</v>
      </c>
      <c r="AC10" s="11"/>
      <c r="AD10" s="11">
        <f t="shared" si="4"/>
        <v>614.62170353330339</v>
      </c>
      <c r="AE10" s="11">
        <v>1292.9600839114594</v>
      </c>
      <c r="AF10" s="11">
        <f t="shared" si="5"/>
        <v>1907.5817874447628</v>
      </c>
    </row>
    <row r="11" spans="1:32">
      <c r="A11" t="str">
        <f>name!E7</f>
        <v>Administrative and secretarial occupations</v>
      </c>
      <c r="B11" s="11">
        <v>3149.4937606467911</v>
      </c>
      <c r="C11" s="11">
        <v>3060.9066259906567</v>
      </c>
      <c r="D11" s="11">
        <v>3139.606488630418</v>
      </c>
      <c r="E11" s="11">
        <v>3183.5304221363176</v>
      </c>
      <c r="F11" s="11">
        <v>3006.3242133196836</v>
      </c>
      <c r="G11" s="11"/>
      <c r="H11" s="11">
        <f t="shared" si="0"/>
        <v>-133.28227531073435</v>
      </c>
      <c r="I11" s="11">
        <v>1588.8090667586382</v>
      </c>
      <c r="J11" s="11">
        <f t="shared" si="1"/>
        <v>1455.5267914479039</v>
      </c>
      <c r="L11" s="10" t="str">
        <f>name!E7</f>
        <v>Administrative and secretarial occupations</v>
      </c>
      <c r="M11" s="11">
        <v>773.93002752520397</v>
      </c>
      <c r="N11" s="11">
        <v>731.0830009992651</v>
      </c>
      <c r="O11" s="11">
        <v>854.15458029007618</v>
      </c>
      <c r="P11" s="11">
        <v>907.44751295226251</v>
      </c>
      <c r="Q11" s="11">
        <v>1003.0716548953289</v>
      </c>
      <c r="R11" s="11"/>
      <c r="S11" s="11">
        <f t="shared" si="2"/>
        <v>148.91707460525276</v>
      </c>
      <c r="T11" s="11">
        <v>350.25078377153591</v>
      </c>
      <c r="U11" s="11">
        <f t="shared" si="3"/>
        <v>499.16785837678867</v>
      </c>
      <c r="W11" s="10" t="str">
        <f>name!E7</f>
        <v>Administrative and secretarial occupations</v>
      </c>
      <c r="X11" s="11">
        <v>2375.5637331215821</v>
      </c>
      <c r="Y11" s="11">
        <v>2329.8236249913871</v>
      </c>
      <c r="Z11" s="11">
        <v>2285.4519083403411</v>
      </c>
      <c r="AA11" s="11">
        <v>2276.0829091840587</v>
      </c>
      <c r="AB11" s="11">
        <v>2003.2525584243551</v>
      </c>
      <c r="AC11" s="11"/>
      <c r="AD11" s="11">
        <f t="shared" si="4"/>
        <v>-282.19934991598598</v>
      </c>
      <c r="AE11" s="11">
        <v>1238.5582829871021</v>
      </c>
      <c r="AF11" s="11">
        <f t="shared" si="5"/>
        <v>956.3589330711161</v>
      </c>
    </row>
    <row r="12" spans="1:32">
      <c r="A12" t="str">
        <f>name!E8</f>
        <v>Skilled trades occupations</v>
      </c>
      <c r="B12" s="11">
        <v>2889.6909563037434</v>
      </c>
      <c r="C12" s="11">
        <v>2850.7714544337691</v>
      </c>
      <c r="D12" s="11">
        <v>2507.3322009247049</v>
      </c>
      <c r="E12" s="11">
        <v>2537.8914948122301</v>
      </c>
      <c r="F12" s="11">
        <v>2469.75933949722</v>
      </c>
      <c r="G12" s="11"/>
      <c r="H12" s="11">
        <f t="shared" si="0"/>
        <v>-37.572861427484895</v>
      </c>
      <c r="I12" s="11">
        <v>1076.2482899774493</v>
      </c>
      <c r="J12" s="11">
        <f t="shared" si="1"/>
        <v>1038.6754285499644</v>
      </c>
      <c r="L12" s="10" t="str">
        <f>name!E8</f>
        <v>Skilled trades occupations</v>
      </c>
      <c r="M12" s="11">
        <v>2579.9320586691183</v>
      </c>
      <c r="N12" s="11">
        <v>2539.4323754248571</v>
      </c>
      <c r="O12" s="11">
        <v>2185.1108440328262</v>
      </c>
      <c r="P12" s="11">
        <v>2192.1602264734397</v>
      </c>
      <c r="Q12" s="11">
        <v>2092.1335913431531</v>
      </c>
      <c r="R12" s="11"/>
      <c r="S12" s="11">
        <f t="shared" si="2"/>
        <v>-92.977252689673151</v>
      </c>
      <c r="T12" s="11">
        <v>863.51887157341582</v>
      </c>
      <c r="U12" s="11">
        <f t="shared" si="3"/>
        <v>770.54161888374267</v>
      </c>
      <c r="W12" s="10" t="str">
        <f>name!E8</f>
        <v>Skilled trades occupations</v>
      </c>
      <c r="X12" s="11">
        <v>309.75889763462612</v>
      </c>
      <c r="Y12" s="11">
        <v>311.33907900891671</v>
      </c>
      <c r="Z12" s="11">
        <v>322.22135689187752</v>
      </c>
      <c r="AA12" s="11">
        <v>345.73126833879365</v>
      </c>
      <c r="AB12" s="11">
        <v>377.6257481540689</v>
      </c>
      <c r="AC12" s="11"/>
      <c r="AD12" s="11">
        <f t="shared" si="4"/>
        <v>55.404391262191382</v>
      </c>
      <c r="AE12" s="11">
        <v>212.72941840403342</v>
      </c>
      <c r="AF12" s="11">
        <f t="shared" si="5"/>
        <v>268.13380966622481</v>
      </c>
    </row>
    <row r="13" spans="1:32">
      <c r="A13" t="str">
        <f>name!E9</f>
        <v>Caring, leisure and other service occupations</v>
      </c>
      <c r="B13" s="11">
        <v>2686.476945366268</v>
      </c>
      <c r="C13" s="11">
        <v>2794.9761350106</v>
      </c>
      <c r="D13" s="11">
        <v>2678.5046281380878</v>
      </c>
      <c r="E13" s="11">
        <v>2732.1382307806884</v>
      </c>
      <c r="F13" s="11">
        <v>2919.9573485364526</v>
      </c>
      <c r="G13" s="11"/>
      <c r="H13" s="11">
        <f t="shared" si="0"/>
        <v>241.45272039836482</v>
      </c>
      <c r="I13" s="11">
        <v>1529.8239869629851</v>
      </c>
      <c r="J13" s="11">
        <f>SUM(H13:I13)</f>
        <v>1771.27670736135</v>
      </c>
      <c r="L13" s="10" t="str">
        <f>name!E9</f>
        <v>Caring, leisure and other service occupations</v>
      </c>
      <c r="M13" s="11">
        <v>518.23171046895402</v>
      </c>
      <c r="N13" s="11">
        <v>547.08686820136279</v>
      </c>
      <c r="O13" s="11">
        <v>534.22105051001006</v>
      </c>
      <c r="P13" s="11">
        <v>581.90553478791333</v>
      </c>
      <c r="Q13" s="11">
        <v>660.34865924745839</v>
      </c>
      <c r="R13" s="11"/>
      <c r="S13" s="11">
        <f t="shared" si="2"/>
        <v>126.12760873744833</v>
      </c>
      <c r="T13" s="11">
        <v>266.67657874009598</v>
      </c>
      <c r="U13" s="11">
        <f>SUM(S13:T13)</f>
        <v>392.8041874775443</v>
      </c>
      <c r="W13" s="10" t="str">
        <f>name!E9</f>
        <v>Caring, leisure and other service occupations</v>
      </c>
      <c r="X13" s="11">
        <v>2168.2452348973111</v>
      </c>
      <c r="Y13" s="11">
        <v>2247.889266809234</v>
      </c>
      <c r="Z13" s="11">
        <v>2144.2835776280804</v>
      </c>
      <c r="AA13" s="11">
        <v>2150.2326959927777</v>
      </c>
      <c r="AB13" s="11">
        <v>2259.6086892890025</v>
      </c>
      <c r="AC13" s="11"/>
      <c r="AD13" s="11">
        <f t="shared" si="4"/>
        <v>115.32511166092218</v>
      </c>
      <c r="AE13" s="11">
        <v>1263.1474082228892</v>
      </c>
      <c r="AF13" s="11">
        <f>SUM(AD13:AE13)</f>
        <v>1378.4725198838114</v>
      </c>
    </row>
    <row r="14" spans="1:32">
      <c r="A14" t="str">
        <f>name!E10</f>
        <v>Sales and customer service occupations</v>
      </c>
      <c r="B14" s="11">
        <v>2451.7146582710284</v>
      </c>
      <c r="C14" s="11">
        <v>2391.0620840559268</v>
      </c>
      <c r="D14" s="11">
        <v>2363.8487883943035</v>
      </c>
      <c r="E14" s="11">
        <v>2395.694328186004</v>
      </c>
      <c r="F14" s="11">
        <v>2408.2466133814305</v>
      </c>
      <c r="G14" s="11"/>
      <c r="H14" s="11">
        <f t="shared" si="0"/>
        <v>44.397824987127024</v>
      </c>
      <c r="I14" s="11">
        <v>1108.9569426601711</v>
      </c>
      <c r="J14" s="11">
        <f t="shared" si="1"/>
        <v>1153.3547676472981</v>
      </c>
      <c r="L14" s="10" t="str">
        <f>name!E10</f>
        <v>Sales and customer service occupations</v>
      </c>
      <c r="M14" s="11">
        <v>975.18046757689433</v>
      </c>
      <c r="N14" s="11">
        <v>959.59239540252463</v>
      </c>
      <c r="O14" s="11">
        <v>971.64033597539321</v>
      </c>
      <c r="P14" s="11">
        <v>1015.8332335857797</v>
      </c>
      <c r="Q14" s="11">
        <v>1054.6849651171406</v>
      </c>
      <c r="R14" s="11"/>
      <c r="S14" s="11">
        <f t="shared" si="2"/>
        <v>83.04462914174735</v>
      </c>
      <c r="T14" s="11">
        <v>349.59009063293161</v>
      </c>
      <c r="U14" s="11">
        <f t="shared" ref="U14:U15" si="6">SUM(S14:T14)</f>
        <v>432.63471977467896</v>
      </c>
      <c r="W14" s="10" t="str">
        <f>name!E10</f>
        <v>Sales and customer service occupations</v>
      </c>
      <c r="X14" s="11">
        <v>1476.5341906941371</v>
      </c>
      <c r="Y14" s="11">
        <v>1431.4696886534027</v>
      </c>
      <c r="Z14" s="11">
        <v>1392.2084524189122</v>
      </c>
      <c r="AA14" s="11">
        <v>1379.8610946002264</v>
      </c>
      <c r="AB14" s="11">
        <v>1353.5616482642881</v>
      </c>
      <c r="AC14" s="11"/>
      <c r="AD14" s="11">
        <f t="shared" si="4"/>
        <v>-38.646804154624078</v>
      </c>
      <c r="AE14" s="11">
        <v>759.36685202723947</v>
      </c>
      <c r="AF14" s="11">
        <f t="shared" ref="AF14:AF15" si="7">SUM(AD14:AE14)</f>
        <v>720.7200478726154</v>
      </c>
    </row>
    <row r="15" spans="1:32">
      <c r="A15" t="str">
        <f>name!E11</f>
        <v>Process, plant and machine operatives</v>
      </c>
      <c r="B15" s="11">
        <v>1767.3257043641233</v>
      </c>
      <c r="C15" s="11">
        <v>1870.5480838882245</v>
      </c>
      <c r="D15" s="11">
        <v>1665.7893005784094</v>
      </c>
      <c r="E15" s="11">
        <v>1724.2750720276058</v>
      </c>
      <c r="F15" s="11">
        <v>1664.9651104259572</v>
      </c>
      <c r="G15" s="11"/>
      <c r="H15" s="11">
        <f t="shared" si="0"/>
        <v>-0.82419015245227456</v>
      </c>
      <c r="I15" s="11">
        <v>821.40225146867294</v>
      </c>
      <c r="J15" s="11">
        <f t="shared" si="1"/>
        <v>820.57806131622067</v>
      </c>
      <c r="L15" s="10" t="str">
        <f>name!E11</f>
        <v>Process, plant and machine operatives</v>
      </c>
      <c r="M15" s="11">
        <v>1545.6588392032829</v>
      </c>
      <c r="N15" s="11">
        <v>1641.378003381878</v>
      </c>
      <c r="O15" s="11">
        <v>1463.4887440203811</v>
      </c>
      <c r="P15" s="11">
        <v>1477.5163335051204</v>
      </c>
      <c r="Q15" s="11">
        <v>1408.9245312107307</v>
      </c>
      <c r="R15" s="11"/>
      <c r="S15" s="11">
        <f t="shared" si="2"/>
        <v>-54.564212809650371</v>
      </c>
      <c r="T15" s="11">
        <v>688.73450213618912</v>
      </c>
      <c r="U15" s="11">
        <f t="shared" si="6"/>
        <v>634.17028932653875</v>
      </c>
      <c r="W15" s="10" t="str">
        <f>name!E11</f>
        <v>Process, plant and machine operatives</v>
      </c>
      <c r="X15" s="11">
        <v>221.66686516083928</v>
      </c>
      <c r="Y15" s="11">
        <v>229.17008050634479</v>
      </c>
      <c r="Z15" s="11">
        <v>202.30055655802715</v>
      </c>
      <c r="AA15" s="11">
        <v>246.75873852249052</v>
      </c>
      <c r="AB15" s="11">
        <v>256.04057921522775</v>
      </c>
      <c r="AC15" s="11"/>
      <c r="AD15" s="11">
        <f t="shared" si="4"/>
        <v>53.740022657200598</v>
      </c>
      <c r="AE15" s="11">
        <v>132.66774933248388</v>
      </c>
      <c r="AF15" s="11">
        <f t="shared" si="7"/>
        <v>186.40777198968448</v>
      </c>
    </row>
    <row r="16" spans="1:32">
      <c r="A16" t="str">
        <f>name!E12</f>
        <v>Elementary occupations</v>
      </c>
      <c r="B16" s="11">
        <v>3302.1923629942412</v>
      </c>
      <c r="C16" s="11">
        <v>3290.2423965940566</v>
      </c>
      <c r="D16" s="11">
        <v>2996.1870754553911</v>
      </c>
      <c r="E16" s="11">
        <v>3060.4986050772186</v>
      </c>
      <c r="F16" s="11">
        <v>2988.1703889630162</v>
      </c>
      <c r="G16" s="11"/>
      <c r="H16" s="11">
        <f t="shared" si="0"/>
        <v>-8.0166864923749017</v>
      </c>
      <c r="I16" s="11">
        <v>1468.7397920389558</v>
      </c>
      <c r="J16" s="11">
        <f>SUM(H16:I16)</f>
        <v>1460.7231055465809</v>
      </c>
      <c r="L16" s="10" t="str">
        <f>name!E12</f>
        <v>Elementary occupations</v>
      </c>
      <c r="M16" s="11">
        <v>1765.3497212648961</v>
      </c>
      <c r="N16" s="11">
        <v>1699.7166831161931</v>
      </c>
      <c r="O16" s="11">
        <v>1589.3421154967959</v>
      </c>
      <c r="P16" s="11">
        <v>1666.5031380181615</v>
      </c>
      <c r="Q16" s="11">
        <v>1616.348566746379</v>
      </c>
      <c r="R16" s="11"/>
      <c r="S16" s="11">
        <f t="shared" si="2"/>
        <v>27.006451249583051</v>
      </c>
      <c r="T16" s="11">
        <v>640.38496814357654</v>
      </c>
      <c r="U16" s="11">
        <f>SUM(S16:T16)</f>
        <v>667.39141939315959</v>
      </c>
      <c r="W16" s="10" t="str">
        <f>name!E12</f>
        <v>Elementary occupations</v>
      </c>
      <c r="X16" s="11">
        <v>1536.8426417293431</v>
      </c>
      <c r="Y16" s="11">
        <v>1590.5257134778606</v>
      </c>
      <c r="Z16" s="11">
        <v>1406.8449599585854</v>
      </c>
      <c r="AA16" s="11">
        <v>1393.9954670590512</v>
      </c>
      <c r="AB16" s="11">
        <v>1371.8218222166447</v>
      </c>
      <c r="AC16" s="11"/>
      <c r="AD16" s="11">
        <f t="shared" si="4"/>
        <v>-35.023137741940673</v>
      </c>
      <c r="AE16" s="11">
        <v>828.35482389537947</v>
      </c>
      <c r="AF16" s="11">
        <f>SUM(AD16:AE16)</f>
        <v>793.3316861534388</v>
      </c>
    </row>
    <row r="17" spans="1:3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>
      <c r="A18" s="21" t="str">
        <f>name!E3</f>
        <v>All occupations</v>
      </c>
      <c r="B18" s="26">
        <f>SUM(B8:B16)</f>
        <v>28656.171999997772</v>
      </c>
      <c r="C18" s="26">
        <f>SUM(C8:C16)</f>
        <v>30212.759999993876</v>
      </c>
      <c r="D18" s="26">
        <f>SUM(D8:D16)</f>
        <v>29859.680999995224</v>
      </c>
      <c r="E18" s="26">
        <f>SUM(E8:E16)</f>
        <v>30754.748000010703</v>
      </c>
      <c r="F18" s="26">
        <f>SUM(F8:F16)</f>
        <v>32070.091000012511</v>
      </c>
      <c r="G18" s="11"/>
      <c r="H18" s="26">
        <f>SUM(H8:H16)</f>
        <v>2210.4100000172957</v>
      </c>
      <c r="I18" s="26">
        <f>SUM(I8:I16)</f>
        <v>15060.49666498322</v>
      </c>
      <c r="J18" s="26">
        <f>SUM(H18:I18)</f>
        <v>17270.906665000515</v>
      </c>
      <c r="L18" s="208" t="str">
        <f>name!E3</f>
        <v>All occupations</v>
      </c>
      <c r="M18" s="26">
        <f>SUM(M8:M16)</f>
        <v>15097.294000001102</v>
      </c>
      <c r="N18" s="26">
        <f>SUM(N8:N16)</f>
        <v>15791.443999999359</v>
      </c>
      <c r="O18" s="26">
        <f>SUM(O8:O16)</f>
        <v>15479.516000000256</v>
      </c>
      <c r="P18" s="26">
        <f>SUM(P8:P16)</f>
        <v>15910.188000002801</v>
      </c>
      <c r="Q18" s="26">
        <f>SUM(Q8:Q16)</f>
        <v>16483.507000001871</v>
      </c>
      <c r="R18" s="11"/>
      <c r="S18" s="26">
        <f>SUM(S8:S16)</f>
        <v>1003.9910000016152</v>
      </c>
      <c r="T18" s="26">
        <f>SUM(T8:T16)</f>
        <v>6506.3943905286396</v>
      </c>
      <c r="U18" s="26">
        <f>SUM(S18:T18)</f>
        <v>7510.3853905302549</v>
      </c>
      <c r="W18" s="208" t="str">
        <f>name!E3</f>
        <v>All occupations</v>
      </c>
      <c r="X18" s="26">
        <f>SUM(X8:X16)</f>
        <v>13558.877999996663</v>
      </c>
      <c r="Y18" s="26">
        <f>SUM(Y8:Y16)</f>
        <v>14421.315999994511</v>
      </c>
      <c r="Z18" s="26">
        <f>SUM(Z8:Z16)</f>
        <v>14380.164999994944</v>
      </c>
      <c r="AA18" s="26">
        <f>SUM(AA8:AA16)</f>
        <v>14844.560000007921</v>
      </c>
      <c r="AB18" s="26">
        <f>SUM(AB8:AB16)</f>
        <v>15586.58400001066</v>
      </c>
      <c r="AC18" s="11"/>
      <c r="AD18" s="26">
        <f>SUM(AD8:AD16)</f>
        <v>1206.4190000157187</v>
      </c>
      <c r="AE18" s="26">
        <f>SUM(AE8:AE16)</f>
        <v>8554.1022744545826</v>
      </c>
      <c r="AF18" s="26">
        <f>SUM(AD18:AE18)</f>
        <v>9760.5212744703022</v>
      </c>
    </row>
    <row r="19" spans="1:3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>
      <c r="B21" s="11"/>
      <c r="C21" s="11"/>
      <c r="D21" s="11"/>
      <c r="E21" s="11"/>
      <c r="F21" s="15" t="s">
        <v>123</v>
      </c>
      <c r="G21" s="11"/>
      <c r="J21" s="15" t="s">
        <v>123</v>
      </c>
      <c r="M21" s="11"/>
      <c r="N21" s="11"/>
      <c r="O21" s="11"/>
      <c r="P21" s="11"/>
      <c r="Q21" s="15" t="s">
        <v>123</v>
      </c>
      <c r="R21" s="11"/>
      <c r="U21" s="15" t="s">
        <v>123</v>
      </c>
      <c r="X21" s="11"/>
      <c r="Y21" s="11"/>
      <c r="Z21" s="11"/>
      <c r="AA21" s="11"/>
      <c r="AB21" s="15" t="s">
        <v>123</v>
      </c>
      <c r="AC21" s="11"/>
      <c r="AF21" s="15" t="s">
        <v>123</v>
      </c>
    </row>
    <row r="22" spans="1:32" ht="12.95">
      <c r="A22" s="28"/>
      <c r="B22" s="52"/>
      <c r="C22" s="52"/>
      <c r="D22" s="52"/>
      <c r="E22" s="52"/>
      <c r="F22" s="52"/>
      <c r="G22" s="11"/>
      <c r="H22" s="23" t="str">
        <f>H4</f>
        <v>2020-2035</v>
      </c>
      <c r="I22" s="28"/>
      <c r="J22" s="28"/>
      <c r="L22" s="28"/>
      <c r="M22" s="52"/>
      <c r="N22" s="52"/>
      <c r="O22" s="52"/>
      <c r="P22" s="52"/>
      <c r="Q22" s="52"/>
      <c r="R22" s="11"/>
      <c r="S22" s="23" t="str">
        <f>S4</f>
        <v>2020-2035</v>
      </c>
      <c r="T22" s="28"/>
      <c r="U22" s="28"/>
      <c r="W22" s="28"/>
      <c r="X22" s="52"/>
      <c r="Y22" s="52"/>
      <c r="Z22" s="52"/>
      <c r="AA22" s="52"/>
      <c r="AB22" s="52"/>
      <c r="AC22" s="11"/>
      <c r="AD22" s="23" t="str">
        <f>AD4</f>
        <v>2020-2035</v>
      </c>
      <c r="AE22" s="28"/>
      <c r="AF22" s="28"/>
    </row>
    <row r="23" spans="1:3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2.95">
      <c r="A24" s="31" t="s">
        <v>124</v>
      </c>
      <c r="B24" s="27">
        <f>B$6</f>
        <v>2015</v>
      </c>
      <c r="C24" s="27">
        <f>C$6</f>
        <v>2019</v>
      </c>
      <c r="D24" s="27">
        <f>D$6</f>
        <v>2020</v>
      </c>
      <c r="E24" s="27">
        <f>E$6</f>
        <v>2025</v>
      </c>
      <c r="F24" s="27">
        <f>F$6</f>
        <v>2035</v>
      </c>
      <c r="G24" s="11"/>
      <c r="H24" s="21" t="str">
        <f>H6</f>
        <v>Change</v>
      </c>
      <c r="I24" s="21" t="str">
        <f>I6</f>
        <v>Demand</v>
      </c>
      <c r="J24" s="21" t="str">
        <f>J6</f>
        <v>Requirement</v>
      </c>
      <c r="L24" s="31" t="s">
        <v>124</v>
      </c>
      <c r="M24" s="27">
        <f>M$6</f>
        <v>2015</v>
      </c>
      <c r="N24" s="27">
        <f>N$6</f>
        <v>2019</v>
      </c>
      <c r="O24" s="27">
        <f>O$6</f>
        <v>2020</v>
      </c>
      <c r="P24" s="27">
        <f>P$6</f>
        <v>2025</v>
      </c>
      <c r="Q24" s="27">
        <f>Q$6</f>
        <v>2035</v>
      </c>
      <c r="R24" s="11"/>
      <c r="S24" s="21" t="str">
        <f>S6</f>
        <v>Change</v>
      </c>
      <c r="T24" s="21" t="str">
        <f>T6</f>
        <v>Demand</v>
      </c>
      <c r="U24" s="21" t="str">
        <f>U6</f>
        <v>Requirement</v>
      </c>
      <c r="W24" s="31" t="s">
        <v>124</v>
      </c>
      <c r="X24" s="27">
        <f>X$6</f>
        <v>2015</v>
      </c>
      <c r="Y24" s="27">
        <f>Y$6</f>
        <v>2019</v>
      </c>
      <c r="Z24" s="27">
        <f>Z$6</f>
        <v>2020</v>
      </c>
      <c r="AA24" s="27">
        <f>AA$6</f>
        <v>2025</v>
      </c>
      <c r="AB24" s="27">
        <f>AB$6</f>
        <v>2035</v>
      </c>
      <c r="AC24" s="11"/>
      <c r="AD24" s="21" t="str">
        <f>AD6</f>
        <v>Change</v>
      </c>
      <c r="AE24" s="21" t="str">
        <f>AE6</f>
        <v>Demand</v>
      </c>
      <c r="AF24" s="21" t="str">
        <f>AF6</f>
        <v>Requirement</v>
      </c>
    </row>
    <row r="25" spans="1:32" ht="12.95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>
      <c r="A26" t="str">
        <f>$A$8</f>
        <v>Managers, directors and senior officials</v>
      </c>
      <c r="B26" s="335">
        <f t="shared" ref="B26:F34" si="8">B8/B$18*100</f>
        <v>9.8511237530991345</v>
      </c>
      <c r="C26" s="335">
        <f t="shared" si="8"/>
        <v>10.729862823488999</v>
      </c>
      <c r="D26" s="335">
        <f t="shared" si="8"/>
        <v>11.076855642736467</v>
      </c>
      <c r="E26" s="335">
        <f t="shared" si="8"/>
        <v>10.234019505628861</v>
      </c>
      <c r="F26" s="335">
        <f t="shared" si="8"/>
        <v>10.765087078027587</v>
      </c>
      <c r="G26" s="11"/>
      <c r="H26" s="30">
        <f>IF(D8&gt;0,(H8/D8)*100,0)</f>
        <v>4.3797085341183299</v>
      </c>
      <c r="I26" s="30">
        <f>IF(D8&gt;0,(I8/D8)*100,0)</f>
        <v>52.558866734284436</v>
      </c>
      <c r="J26" s="30">
        <f>IF(D8&gt;0,(J8/D8)*100,0)</f>
        <v>56.938575268402772</v>
      </c>
      <c r="L26" t="str">
        <f>$A$8</f>
        <v>Managers, directors and senior officials</v>
      </c>
      <c r="M26" s="335">
        <f t="shared" ref="M26:Q26" si="9">M8/M$18*100</f>
        <v>12.411457493317934</v>
      </c>
      <c r="N26" s="335">
        <f t="shared" si="9"/>
        <v>13.240386516668037</v>
      </c>
      <c r="O26" s="335">
        <f t="shared" si="9"/>
        <v>13.55642909500463</v>
      </c>
      <c r="P26" s="335">
        <f t="shared" si="9"/>
        <v>12.427033906207436</v>
      </c>
      <c r="Q26" s="335">
        <f t="shared" si="9"/>
        <v>12.795112859140204</v>
      </c>
      <c r="R26" s="11"/>
      <c r="S26" s="30">
        <f>IF(O8&gt;0,(S8/O8)*100,0)</f>
        <v>0.50578349812689394</v>
      </c>
      <c r="T26" s="30">
        <f>IF(O8&gt;0,(T8/O8)*100,0)</f>
        <v>46.96692828032662</v>
      </c>
      <c r="U26" s="30">
        <f>IF(O8&gt;0,(U8/O8)*100,0)</f>
        <v>47.472711778453515</v>
      </c>
      <c r="W26" t="str">
        <f>$A$8</f>
        <v>Managers, directors and senior officials</v>
      </c>
      <c r="X26" s="335">
        <f t="shared" ref="X26:AB26" si="10">X8/X$18*100</f>
        <v>7.0002896933624115</v>
      </c>
      <c r="Y26" s="335">
        <f t="shared" si="10"/>
        <v>7.9808214522630108</v>
      </c>
      <c r="Z26" s="335">
        <f t="shared" si="10"/>
        <v>8.4077209751179716</v>
      </c>
      <c r="AA26" s="335">
        <f t="shared" si="10"/>
        <v>7.8835779027857944</v>
      </c>
      <c r="AB26" s="335">
        <f t="shared" si="10"/>
        <v>8.6182443719457886</v>
      </c>
      <c r="AC26" s="11"/>
      <c r="AD26" s="30">
        <f>IF(Z8&gt;0,(AD8/Z8)*100,0)</f>
        <v>11.103461318076901</v>
      </c>
      <c r="AE26" s="30">
        <f>IF(Z8&gt;0,(AE8/Z8)*100,0)</f>
        <v>62.264478329295912</v>
      </c>
      <c r="AF26" s="30">
        <f>IF(Z8&gt;0,(AF8/Z8)*100,0)</f>
        <v>73.367939647372822</v>
      </c>
    </row>
    <row r="27" spans="1:32">
      <c r="A27" t="str">
        <f>$A$9</f>
        <v>Professional occupations</v>
      </c>
      <c r="B27" s="335">
        <f t="shared" si="8"/>
        <v>20.635148972596941</v>
      </c>
      <c r="C27" s="335">
        <f t="shared" si="8"/>
        <v>22.328895519861966</v>
      </c>
      <c r="D27" s="335">
        <f t="shared" si="8"/>
        <v>23.618399794653669</v>
      </c>
      <c r="E27" s="335">
        <f t="shared" si="8"/>
        <v>24.705456309038404</v>
      </c>
      <c r="F27" s="335">
        <f t="shared" si="8"/>
        <v>26.152587370509117</v>
      </c>
      <c r="G27" s="11"/>
      <c r="H27" s="30">
        <f>IF(D9&gt;0,(H9/D9)*100,0)</f>
        <v>18.926659551834941</v>
      </c>
      <c r="I27" s="30">
        <f t="shared" ref="I27:I36" si="11">IF(D9&gt;0,(I9/D9)*100,0)</f>
        <v>51.112254328571247</v>
      </c>
      <c r="J27" s="30">
        <f t="shared" ref="J27:J36" si="12">IF(D9&gt;0,(J9/D9)*100,0)</f>
        <v>70.038913880406199</v>
      </c>
      <c r="L27" t="str">
        <f>$A$9</f>
        <v>Professional occupations</v>
      </c>
      <c r="M27" s="335">
        <f t="shared" ref="M27:Q27" si="13">M9/M$18*100</f>
        <v>20.35059556352995</v>
      </c>
      <c r="N27" s="335">
        <f t="shared" si="13"/>
        <v>21.939391762050871</v>
      </c>
      <c r="O27" s="335">
        <f t="shared" si="13"/>
        <v>23.161284913324813</v>
      </c>
      <c r="P27" s="335">
        <f t="shared" si="13"/>
        <v>24.93219208254046</v>
      </c>
      <c r="Q27" s="335">
        <f t="shared" si="13"/>
        <v>26.275253338018047</v>
      </c>
      <c r="R27" s="11"/>
      <c r="S27" s="30">
        <f t="shared" ref="S27:S34" si="14">IF(O9&gt;0,(S9/O9)*100,0)</f>
        <v>20.802661458039257</v>
      </c>
      <c r="T27" s="30">
        <f t="shared" ref="T27:T34" si="15">IF(O9&gt;0,(T9/O9)*100,0)</f>
        <v>42.705951655621341</v>
      </c>
      <c r="U27" s="30">
        <f t="shared" ref="U27:U34" si="16">IF(O9&gt;0,(U9/O9)*100,0)</f>
        <v>63.508613113660594</v>
      </c>
      <c r="W27" t="str">
        <f>$A$9</f>
        <v>Professional occupations</v>
      </c>
      <c r="X27" s="335">
        <f t="shared" ref="X27:AB27" si="17">X9/X$18*100</f>
        <v>20.951988350854361</v>
      </c>
      <c r="Y27" s="335">
        <f t="shared" si="17"/>
        <v>22.75540491604098</v>
      </c>
      <c r="Z27" s="335">
        <f t="shared" si="17"/>
        <v>24.110460707680069</v>
      </c>
      <c r="AA27" s="335">
        <f t="shared" si="17"/>
        <v>24.462444136044269</v>
      </c>
      <c r="AB27" s="335">
        <f t="shared" si="17"/>
        <v>26.022862644803041</v>
      </c>
      <c r="AC27" s="11"/>
      <c r="AD27" s="30">
        <f t="shared" ref="AD27:AD34" si="18">IF(Z9&gt;0,(AD9/Z9)*100,0)</f>
        <v>16.986739092012773</v>
      </c>
      <c r="AE27" s="30">
        <f t="shared" ref="AE27:AE34" si="19">IF(Z9&gt;0,(AE9/Z9)*100,0)</f>
        <v>59.804973932311299</v>
      </c>
      <c r="AF27" s="30">
        <f t="shared" ref="AF27:AF34" si="20">IF(Z9&gt;0,(AF9/Z9)*100,0)</f>
        <v>76.791713024324082</v>
      </c>
    </row>
    <row r="28" spans="1:32">
      <c r="A28" t="str">
        <f>$A$10</f>
        <v>Associate professional occupations</v>
      </c>
      <c r="B28" s="335">
        <f t="shared" si="8"/>
        <v>12.817758294401591</v>
      </c>
      <c r="C28" s="335">
        <f t="shared" si="8"/>
        <v>13.127863534370455</v>
      </c>
      <c r="D28" s="335">
        <f t="shared" si="8"/>
        <v>13.893383261985868</v>
      </c>
      <c r="E28" s="335">
        <f t="shared" si="8"/>
        <v>14.226005388382671</v>
      </c>
      <c r="F28" s="335">
        <f t="shared" si="8"/>
        <v>14.883450736553264</v>
      </c>
      <c r="G28" s="11"/>
      <c r="H28" s="30">
        <f t="shared" ref="H28:H34" si="21">IF(D10&gt;0,(H10/D10)*100,0)</f>
        <v>15.056364311669816</v>
      </c>
      <c r="I28" s="30">
        <f t="shared" si="11"/>
        <v>51.186804424296696</v>
      </c>
      <c r="J28" s="30">
        <f t="shared" si="12"/>
        <v>66.243168735966506</v>
      </c>
      <c r="L28" t="str">
        <f>$A$10</f>
        <v>Associate professional occupations</v>
      </c>
      <c r="M28" s="335">
        <f t="shared" ref="M28:Q28" si="22">M10/M$18*100</f>
        <v>13.199899961303885</v>
      </c>
      <c r="N28" s="335">
        <f t="shared" si="22"/>
        <v>13.410804529753767</v>
      </c>
      <c r="O28" s="335">
        <f t="shared" si="22"/>
        <v>14.198337434588035</v>
      </c>
      <c r="P28" s="335">
        <f t="shared" si="22"/>
        <v>13.355586562044742</v>
      </c>
      <c r="Q28" s="335">
        <f t="shared" si="22"/>
        <v>13.394167178176852</v>
      </c>
      <c r="R28" s="11"/>
      <c r="S28" s="30">
        <f t="shared" si="14"/>
        <v>0.45474634902124045</v>
      </c>
      <c r="T28" s="30">
        <f t="shared" si="15"/>
        <v>37.788783287792484</v>
      </c>
      <c r="U28" s="30">
        <f t="shared" si="16"/>
        <v>38.243529636813719</v>
      </c>
      <c r="W28" t="str">
        <f>$A$10</f>
        <v>Associate professional occupations</v>
      </c>
      <c r="X28" s="335">
        <f t="shared" ref="X28:AB28" si="23">X10/X$18*100</f>
        <v>12.39225810958717</v>
      </c>
      <c r="Y28" s="335">
        <f t="shared" si="23"/>
        <v>12.818041123995313</v>
      </c>
      <c r="Z28" s="335">
        <f t="shared" si="23"/>
        <v>13.565115610393297</v>
      </c>
      <c r="AA28" s="335">
        <f t="shared" si="23"/>
        <v>15.158907890428605</v>
      </c>
      <c r="AB28" s="335">
        <f t="shared" si="23"/>
        <v>16.458434450718492</v>
      </c>
      <c r="AC28" s="11"/>
      <c r="AD28" s="30">
        <f t="shared" si="18"/>
        <v>31.507977258263004</v>
      </c>
      <c r="AE28" s="30">
        <f t="shared" si="19"/>
        <v>66.282327300725825</v>
      </c>
      <c r="AF28" s="30">
        <f t="shared" si="20"/>
        <v>97.790304558988822</v>
      </c>
    </row>
    <row r="29" spans="1:32">
      <c r="A29" t="str">
        <f>$A$11</f>
        <v>Administrative and secretarial occupations</v>
      </c>
      <c r="B29" s="335">
        <f t="shared" si="8"/>
        <v>10.990629734659032</v>
      </c>
      <c r="C29" s="335">
        <f t="shared" si="8"/>
        <v>10.131171816117684</v>
      </c>
      <c r="D29" s="335">
        <f t="shared" si="8"/>
        <v>10.514534594763154</v>
      </c>
      <c r="E29" s="335">
        <f t="shared" si="8"/>
        <v>10.35134614705739</v>
      </c>
      <c r="F29" s="335">
        <f t="shared" si="8"/>
        <v>9.3742303796971171</v>
      </c>
      <c r="G29" s="11"/>
      <c r="H29" s="30">
        <f t="shared" si="21"/>
        <v>-4.2451904655374735</v>
      </c>
      <c r="I29" s="30">
        <f t="shared" si="11"/>
        <v>50.605356834120954</v>
      </c>
      <c r="J29" s="30">
        <f t="shared" si="12"/>
        <v>46.360166368583485</v>
      </c>
      <c r="L29" t="str">
        <f>$A$11</f>
        <v>Administrative and secretarial occupations</v>
      </c>
      <c r="M29" s="335">
        <f t="shared" ref="M29:Q29" si="24">M11/M$18*100</f>
        <v>5.1262830777829951</v>
      </c>
      <c r="N29" s="335">
        <f t="shared" si="24"/>
        <v>4.629614625485134</v>
      </c>
      <c r="O29" s="335">
        <f t="shared" si="24"/>
        <v>5.517966971900556</v>
      </c>
      <c r="P29" s="335">
        <f t="shared" si="24"/>
        <v>5.703562478030447</v>
      </c>
      <c r="Q29" s="335">
        <f t="shared" si="24"/>
        <v>6.0853048741097098</v>
      </c>
      <c r="R29" s="11"/>
      <c r="S29" s="30">
        <f t="shared" si="14"/>
        <v>17.434440795795954</v>
      </c>
      <c r="T29" s="30">
        <f t="shared" si="15"/>
        <v>41.005550032008095</v>
      </c>
      <c r="U29" s="30">
        <f t="shared" si="16"/>
        <v>58.439990827804046</v>
      </c>
      <c r="W29" t="str">
        <f>$A$11</f>
        <v>Administrative and secretarial occupations</v>
      </c>
      <c r="X29" s="335">
        <f t="shared" ref="X29:AB29" si="25">X11/X$18*100</f>
        <v>17.520356279643249</v>
      </c>
      <c r="Y29" s="335">
        <f t="shared" si="25"/>
        <v>16.15541622548368</v>
      </c>
      <c r="Z29" s="335">
        <f t="shared" si="25"/>
        <v>15.89308542941715</v>
      </c>
      <c r="AA29" s="335">
        <f t="shared" si="25"/>
        <v>15.332774492358443</v>
      </c>
      <c r="AB29" s="335">
        <f t="shared" si="25"/>
        <v>12.852415631436529</v>
      </c>
      <c r="AC29" s="11"/>
      <c r="AD29" s="30">
        <f t="shared" si="18"/>
        <v>-12.347638945547301</v>
      </c>
      <c r="AE29" s="30">
        <f t="shared" si="19"/>
        <v>54.193145717361581</v>
      </c>
      <c r="AF29" s="30">
        <f t="shared" si="20"/>
        <v>41.845506771814279</v>
      </c>
    </row>
    <row r="30" spans="1:32">
      <c r="A30" t="str">
        <f>$A$12</f>
        <v>Skilled trades occupations</v>
      </c>
      <c r="B30" s="335">
        <f t="shared" si="8"/>
        <v>10.084008974764556</v>
      </c>
      <c r="C30" s="335">
        <f t="shared" si="8"/>
        <v>9.4356538576228957</v>
      </c>
      <c r="D30" s="335">
        <f t="shared" si="8"/>
        <v>8.3970495228167579</v>
      </c>
      <c r="E30" s="335">
        <f t="shared" si="8"/>
        <v>8.2520315068468353</v>
      </c>
      <c r="F30" s="335">
        <f t="shared" si="8"/>
        <v>7.7011298143689597</v>
      </c>
      <c r="G30" s="11"/>
      <c r="H30" s="30">
        <f t="shared" si="21"/>
        <v>-1.4985194787363243</v>
      </c>
      <c r="I30" s="30">
        <f t="shared" si="11"/>
        <v>42.924040523251314</v>
      </c>
      <c r="J30" s="30">
        <f t="shared" si="12"/>
        <v>41.425521044514987</v>
      </c>
      <c r="L30" t="str">
        <f>$A$12</f>
        <v>Skilled trades occupations</v>
      </c>
      <c r="M30" s="335">
        <f t="shared" ref="M30:Q30" si="26">M12/M$18*100</f>
        <v>17.088705159142627</v>
      </c>
      <c r="N30" s="335">
        <f t="shared" si="26"/>
        <v>16.081065008525883</v>
      </c>
      <c r="O30" s="335">
        <f t="shared" si="26"/>
        <v>14.116144484315853</v>
      </c>
      <c r="P30" s="335">
        <f t="shared" si="26"/>
        <v>13.778342697603909</v>
      </c>
      <c r="Q30" s="335">
        <f t="shared" si="26"/>
        <v>12.692284423107992</v>
      </c>
      <c r="R30" s="11"/>
      <c r="S30" s="30">
        <f t="shared" si="14"/>
        <v>-4.2550359833497025</v>
      </c>
      <c r="T30" s="30">
        <f t="shared" si="15"/>
        <v>39.518309743029377</v>
      </c>
      <c r="U30" s="30">
        <f t="shared" si="16"/>
        <v>35.263273759679677</v>
      </c>
      <c r="W30" t="str">
        <f>$A$12</f>
        <v>Skilled trades occupations</v>
      </c>
      <c r="X30" s="335">
        <f t="shared" ref="X30:AB30" si="27">X12/X$18*100</f>
        <v>2.2845466832484398</v>
      </c>
      <c r="Y30" s="335">
        <f t="shared" si="27"/>
        <v>2.1588811937068382</v>
      </c>
      <c r="Z30" s="335">
        <f t="shared" si="27"/>
        <v>2.2407347682866696</v>
      </c>
      <c r="AA30" s="335">
        <f t="shared" si="27"/>
        <v>2.3290098752580688</v>
      </c>
      <c r="AB30" s="335">
        <f t="shared" si="27"/>
        <v>2.4227614476257955</v>
      </c>
      <c r="AC30" s="11"/>
      <c r="AD30" s="30">
        <f t="shared" si="18"/>
        <v>17.194512429783639</v>
      </c>
      <c r="AE30" s="30">
        <f t="shared" si="19"/>
        <v>66.019651973415122</v>
      </c>
      <c r="AF30" s="30">
        <f t="shared" si="20"/>
        <v>83.214164403198765</v>
      </c>
    </row>
    <row r="31" spans="1:32">
      <c r="A31" t="str">
        <f>$A$13</f>
        <v>Caring, leisure and other service occupations</v>
      </c>
      <c r="B31" s="335">
        <f t="shared" si="8"/>
        <v>9.374863276806396</v>
      </c>
      <c r="C31" s="335">
        <f t="shared" si="8"/>
        <v>9.2509791724131354</v>
      </c>
      <c r="D31" s="335">
        <f t="shared" si="8"/>
        <v>8.9703055707075912</v>
      </c>
      <c r="E31" s="335">
        <f t="shared" si="8"/>
        <v>8.8836306861618173</v>
      </c>
      <c r="F31" s="335">
        <f t="shared" si="8"/>
        <v>9.1049238012306031</v>
      </c>
      <c r="G31" s="11"/>
      <c r="H31" s="30">
        <f t="shared" si="21"/>
        <v>9.0144597049364119</v>
      </c>
      <c r="I31" s="30">
        <f t="shared" si="11"/>
        <v>57.114853224144454</v>
      </c>
      <c r="J31" s="30">
        <f t="shared" si="12"/>
        <v>66.129312929080868</v>
      </c>
      <c r="L31" t="str">
        <f>$A$13</f>
        <v>Caring, leisure and other service occupations</v>
      </c>
      <c r="M31" s="335">
        <f t="shared" ref="M31:Q31" si="28">M13/M$18*100</f>
        <v>3.4326132250515631</v>
      </c>
      <c r="N31" s="335">
        <f t="shared" si="28"/>
        <v>3.4644511812940286</v>
      </c>
      <c r="O31" s="335">
        <f t="shared" si="28"/>
        <v>3.451148282090998</v>
      </c>
      <c r="P31" s="335">
        <f t="shared" si="28"/>
        <v>3.657439715909145</v>
      </c>
      <c r="Q31" s="335">
        <f t="shared" si="28"/>
        <v>4.0061175042870634</v>
      </c>
      <c r="R31" s="11"/>
      <c r="S31" s="30">
        <f t="shared" si="14"/>
        <v>23.609629125815399</v>
      </c>
      <c r="T31" s="30">
        <f t="shared" si="15"/>
        <v>49.918770232941071</v>
      </c>
      <c r="U31" s="30">
        <f t="shared" si="16"/>
        <v>73.528399358756474</v>
      </c>
      <c r="W31" t="str">
        <f>$A$13</f>
        <v>Caring, leisure and other service occupations</v>
      </c>
      <c r="X31" s="335">
        <f t="shared" ref="X31:AB31" si="29">X13/X$18*100</f>
        <v>15.991332283525562</v>
      </c>
      <c r="Y31" s="335">
        <f t="shared" si="29"/>
        <v>15.587268643236788</v>
      </c>
      <c r="Z31" s="335">
        <f t="shared" si="29"/>
        <v>14.911397592648168</v>
      </c>
      <c r="AA31" s="335">
        <f t="shared" si="29"/>
        <v>14.484987739560015</v>
      </c>
      <c r="AB31" s="335">
        <f t="shared" si="29"/>
        <v>14.497138624392985</v>
      </c>
      <c r="AC31" s="11"/>
      <c r="AD31" s="30">
        <f t="shared" si="18"/>
        <v>5.3782584012740582</v>
      </c>
      <c r="AE31" s="30">
        <f t="shared" si="19"/>
        <v>58.907666010301298</v>
      </c>
      <c r="AF31" s="30">
        <f t="shared" si="20"/>
        <v>64.285924411575351</v>
      </c>
    </row>
    <row r="32" spans="1:32">
      <c r="A32" t="str">
        <f>$A$14</f>
        <v>Sales and customer service occupations</v>
      </c>
      <c r="B32" s="335">
        <f t="shared" si="8"/>
        <v>8.5556251486458805</v>
      </c>
      <c r="C32" s="335">
        <f t="shared" si="8"/>
        <v>7.9140802894419826</v>
      </c>
      <c r="D32" s="335">
        <f t="shared" si="8"/>
        <v>7.9165239186402614</v>
      </c>
      <c r="E32" s="335">
        <f t="shared" si="8"/>
        <v>7.7896730878275129</v>
      </c>
      <c r="F32" s="335">
        <f t="shared" si="8"/>
        <v>7.5093226688396078</v>
      </c>
      <c r="H32" s="30">
        <f t="shared" si="21"/>
        <v>1.8782007210065763</v>
      </c>
      <c r="I32" s="30">
        <f t="shared" si="11"/>
        <v>46.913192929462063</v>
      </c>
      <c r="J32" s="30">
        <f t="shared" si="12"/>
        <v>48.791393650468642</v>
      </c>
      <c r="L32" t="str">
        <f>$A$14</f>
        <v>Sales and customer service occupations</v>
      </c>
      <c r="M32" s="335">
        <f t="shared" ref="M32:Q32" si="30">M14/M$18*100</f>
        <v>6.4593063338160022</v>
      </c>
      <c r="N32" s="335">
        <f t="shared" si="30"/>
        <v>6.0766602180431599</v>
      </c>
      <c r="O32" s="335">
        <f t="shared" si="30"/>
        <v>6.276942612258531</v>
      </c>
      <c r="P32" s="335">
        <f t="shared" si="30"/>
        <v>6.3847971726393222</v>
      </c>
      <c r="Q32" s="335">
        <f t="shared" si="30"/>
        <v>6.3984258029375711</v>
      </c>
      <c r="S32" s="30">
        <f t="shared" si="14"/>
        <v>8.5468486709520946</v>
      </c>
      <c r="T32" s="30">
        <f t="shared" si="15"/>
        <v>35.979371964008806</v>
      </c>
      <c r="U32" s="30">
        <f t="shared" si="16"/>
        <v>44.5262206349609</v>
      </c>
      <c r="W32" t="str">
        <f>$A$14</f>
        <v>Sales and customer service occupations</v>
      </c>
      <c r="X32" s="335">
        <f t="shared" ref="X32:AB32" si="31">X14/X$18*100</f>
        <v>10.889796269975292</v>
      </c>
      <c r="Y32" s="335">
        <f t="shared" si="31"/>
        <v>9.9260683883076108</v>
      </c>
      <c r="Z32" s="335">
        <f t="shared" si="31"/>
        <v>9.6814497776583348</v>
      </c>
      <c r="AA32" s="335">
        <f t="shared" si="31"/>
        <v>9.2953990862611615</v>
      </c>
      <c r="AB32" s="335">
        <f t="shared" si="31"/>
        <v>8.6841455976714492</v>
      </c>
      <c r="AD32" s="30">
        <f t="shared" si="18"/>
        <v>-2.7759351760490065</v>
      </c>
      <c r="AE32" s="30">
        <f t="shared" si="19"/>
        <v>54.544048393605628</v>
      </c>
      <c r="AF32" s="30">
        <f t="shared" si="20"/>
        <v>51.768113217556625</v>
      </c>
    </row>
    <row r="33" spans="1:32">
      <c r="A33" t="str">
        <f>$A$15</f>
        <v>Process, plant and machine operatives</v>
      </c>
      <c r="B33" s="335">
        <f t="shared" si="8"/>
        <v>6.1673474892747739</v>
      </c>
      <c r="C33" s="335">
        <f t="shared" si="8"/>
        <v>6.1912519210049126</v>
      </c>
      <c r="D33" s="335">
        <f t="shared" si="8"/>
        <v>5.5787243694220177</v>
      </c>
      <c r="E33" s="335">
        <f t="shared" si="8"/>
        <v>5.6065329230693282</v>
      </c>
      <c r="F33" s="335">
        <f t="shared" si="8"/>
        <v>5.1916444840312668</v>
      </c>
      <c r="G33" s="11"/>
      <c r="H33" s="30">
        <f t="shared" si="21"/>
        <v>-4.9477455051853927E-2</v>
      </c>
      <c r="I33" s="30">
        <f t="shared" si="11"/>
        <v>49.310092890106731</v>
      </c>
      <c r="J33" s="30">
        <f t="shared" si="12"/>
        <v>49.260615435054881</v>
      </c>
      <c r="L33" t="str">
        <f>$A$15</f>
        <v>Process, plant and machine operatives</v>
      </c>
      <c r="M33" s="335">
        <f t="shared" ref="M33:Q33" si="32">M15/M$18*100</f>
        <v>10.237985954325127</v>
      </c>
      <c r="N33" s="335">
        <f t="shared" si="32"/>
        <v>10.394096976704249</v>
      </c>
      <c r="O33" s="335">
        <f t="shared" si="32"/>
        <v>9.4543572552291479</v>
      </c>
      <c r="P33" s="335">
        <f t="shared" si="32"/>
        <v>9.2866051205985762</v>
      </c>
      <c r="Q33" s="335">
        <f t="shared" si="32"/>
        <v>8.5474804069945236</v>
      </c>
      <c r="R33" s="11"/>
      <c r="S33" s="30">
        <f t="shared" si="14"/>
        <v>-3.7283657310377296</v>
      </c>
      <c r="T33" s="30">
        <f t="shared" si="15"/>
        <v>47.061141054228536</v>
      </c>
      <c r="U33" s="30">
        <f t="shared" si="16"/>
        <v>43.332775323190802</v>
      </c>
      <c r="W33" t="str">
        <f>$A$15</f>
        <v>Process, plant and machine operatives</v>
      </c>
      <c r="X33" s="335">
        <f t="shared" ref="X33:AB33" si="33">X15/X$18*100</f>
        <v>1.6348466677028426</v>
      </c>
      <c r="Y33" s="335">
        <f t="shared" si="33"/>
        <v>1.5891065732588621</v>
      </c>
      <c r="Z33" s="335">
        <f t="shared" si="33"/>
        <v>1.406802749190279</v>
      </c>
      <c r="AA33" s="335">
        <f t="shared" si="33"/>
        <v>1.6622839513084848</v>
      </c>
      <c r="AB33" s="335">
        <f t="shared" si="33"/>
        <v>1.6426984848960662</v>
      </c>
      <c r="AC33" s="11"/>
      <c r="AD33" s="30">
        <f t="shared" si="18"/>
        <v>26.56444627317968</v>
      </c>
      <c r="AE33" s="30">
        <f t="shared" si="19"/>
        <v>65.579527604725072</v>
      </c>
      <c r="AF33" s="30">
        <f t="shared" si="20"/>
        <v>92.143973877904756</v>
      </c>
    </row>
    <row r="34" spans="1:32">
      <c r="A34" t="str">
        <f>$A$16</f>
        <v>Elementary occupations</v>
      </c>
      <c r="B34" s="335">
        <f t="shared" si="8"/>
        <v>11.523494355751696</v>
      </c>
      <c r="C34" s="335">
        <f t="shared" si="8"/>
        <v>10.890241065677957</v>
      </c>
      <c r="D34" s="335">
        <f t="shared" si="8"/>
        <v>10.034223324274196</v>
      </c>
      <c r="E34" s="335">
        <f t="shared" si="8"/>
        <v>9.95130444598718</v>
      </c>
      <c r="F34" s="335">
        <f t="shared" si="8"/>
        <v>9.317623666742481</v>
      </c>
      <c r="G34" s="11"/>
      <c r="H34" s="30">
        <f t="shared" si="21"/>
        <v>-0.26756294885747223</v>
      </c>
      <c r="I34" s="30">
        <f t="shared" si="11"/>
        <v>49.020296632035958</v>
      </c>
      <c r="J34" s="30">
        <f t="shared" si="12"/>
        <v>48.752733683178491</v>
      </c>
      <c r="L34" t="str">
        <f>$A$16</f>
        <v>Elementary occupations</v>
      </c>
      <c r="M34" s="335">
        <f t="shared" ref="M34:Q34" si="34">M16/M$18*100</f>
        <v>11.693153231729919</v>
      </c>
      <c r="N34" s="335">
        <f t="shared" si="34"/>
        <v>10.763529181474867</v>
      </c>
      <c r="O34" s="335">
        <f t="shared" si="34"/>
        <v>10.267388951287428</v>
      </c>
      <c r="P34" s="335">
        <f t="shared" si="34"/>
        <v>10.474440264425965</v>
      </c>
      <c r="Q34" s="335">
        <f t="shared" si="34"/>
        <v>9.805853613228031</v>
      </c>
      <c r="R34" s="11"/>
      <c r="S34" s="30">
        <f t="shared" si="14"/>
        <v>1.6992220231414044</v>
      </c>
      <c r="T34" s="30">
        <f t="shared" si="15"/>
        <v>40.292455721114848</v>
      </c>
      <c r="U34" s="30">
        <f t="shared" si="16"/>
        <v>41.991677744256258</v>
      </c>
      <c r="W34" t="str">
        <f>$A$16</f>
        <v>Elementary occupations</v>
      </c>
      <c r="X34" s="335">
        <f t="shared" ref="X34:AB34" si="35">X16/X$18*100</f>
        <v>11.334585662100665</v>
      </c>
      <c r="Y34" s="335">
        <f t="shared" si="35"/>
        <v>11.028991483706937</v>
      </c>
      <c r="Z34" s="335">
        <f t="shared" si="35"/>
        <v>9.7832323896080471</v>
      </c>
      <c r="AA34" s="335">
        <f t="shared" si="35"/>
        <v>9.3906149259951608</v>
      </c>
      <c r="AB34" s="335">
        <f t="shared" si="35"/>
        <v>8.8012987465098593</v>
      </c>
      <c r="AC34" s="11"/>
      <c r="AD34" s="30">
        <f t="shared" si="18"/>
        <v>-2.4894809832472</v>
      </c>
      <c r="AE34" s="30">
        <f t="shared" si="19"/>
        <v>58.880320680095735</v>
      </c>
      <c r="AF34" s="30">
        <f t="shared" si="20"/>
        <v>56.390839696848531</v>
      </c>
    </row>
    <row r="35" spans="1:32">
      <c r="B35" s="335"/>
      <c r="C35" s="335"/>
      <c r="D35" s="335"/>
      <c r="E35" s="335"/>
      <c r="F35" s="335"/>
      <c r="G35" s="11"/>
      <c r="H35" s="30"/>
      <c r="I35" s="30"/>
      <c r="J35" s="30"/>
      <c r="M35" s="335"/>
      <c r="N35" s="335"/>
      <c r="O35" s="335"/>
      <c r="P35" s="335"/>
      <c r="Q35" s="335"/>
      <c r="R35" s="11"/>
      <c r="S35" s="30"/>
      <c r="T35" s="30"/>
      <c r="U35" s="30"/>
      <c r="X35" s="335"/>
      <c r="Y35" s="335"/>
      <c r="Z35" s="335"/>
      <c r="AA35" s="335"/>
      <c r="AB35" s="335"/>
      <c r="AC35" s="11"/>
      <c r="AD35" s="30"/>
      <c r="AE35" s="30"/>
      <c r="AF35" s="30"/>
    </row>
    <row r="36" spans="1:32">
      <c r="A36" s="21" t="str">
        <f>$A$18</f>
        <v>All occupations</v>
      </c>
      <c r="B36" s="336">
        <f>B18/B$18*100</f>
        <v>100</v>
      </c>
      <c r="C36" s="336">
        <f>C18/C$18*100</f>
        <v>100</v>
      </c>
      <c r="D36" s="336">
        <f>D18/D$18*100</f>
        <v>100</v>
      </c>
      <c r="E36" s="336">
        <f>E18/E$18*100</f>
        <v>100</v>
      </c>
      <c r="F36" s="336">
        <f>F18/F$18*100</f>
        <v>100</v>
      </c>
      <c r="G36" s="11"/>
      <c r="H36" s="33">
        <f>IF(D18&gt;0,(H18/D18)*100,0)</f>
        <v>7.4026577846482988</v>
      </c>
      <c r="I36" s="33">
        <f t="shared" si="11"/>
        <v>50.437567182936846</v>
      </c>
      <c r="J36" s="33">
        <f t="shared" si="12"/>
        <v>57.840224967585144</v>
      </c>
      <c r="L36" s="21" t="str">
        <f>$A$18</f>
        <v>All occupations</v>
      </c>
      <c r="M36" s="336">
        <f>M18/M$18*100</f>
        <v>100</v>
      </c>
      <c r="N36" s="336">
        <f>N18/N$18*100</f>
        <v>100</v>
      </c>
      <c r="O36" s="336">
        <f>O18/O$18*100</f>
        <v>100</v>
      </c>
      <c r="P36" s="336">
        <f>P18/P$18*100</f>
        <v>100</v>
      </c>
      <c r="Q36" s="336">
        <f>Q18/Q$18*100</f>
        <v>100</v>
      </c>
      <c r="R36" s="11"/>
      <c r="S36" s="33">
        <f t="shared" ref="S36" si="36">IF(O18&gt;0,(S18/O18)*100,0)</f>
        <v>6.4859327643163951</v>
      </c>
      <c r="T36" s="33">
        <f t="shared" ref="T36" si="37">IF(O18&gt;0,(T18/O18)*100,0)</f>
        <v>42.032285702786396</v>
      </c>
      <c r="U36" s="33">
        <f t="shared" ref="U36" si="38">IF(O18&gt;0,(U18/O18)*100,0)</f>
        <v>48.518218467102784</v>
      </c>
      <c r="W36" s="21" t="str">
        <f>$A$18</f>
        <v>All occupations</v>
      </c>
      <c r="X36" s="336">
        <f>X18/X$18*100</f>
        <v>100</v>
      </c>
      <c r="Y36" s="336">
        <f>Y18/Y$18*100</f>
        <v>100</v>
      </c>
      <c r="Z36" s="336">
        <f>Z18/Z$18*100</f>
        <v>100</v>
      </c>
      <c r="AA36" s="336">
        <f>AA18/AA$18*100</f>
        <v>100</v>
      </c>
      <c r="AB36" s="336">
        <f>AB18/AB$18*100</f>
        <v>100</v>
      </c>
      <c r="AC36" s="11"/>
      <c r="AD36" s="33">
        <f t="shared" ref="AD36" si="39">IF(Z18&gt;0,(AD18/Z18)*100,0)</f>
        <v>8.3894656286359925</v>
      </c>
      <c r="AE36" s="33">
        <f t="shared" ref="AE36" si="40">IF(Z18&gt;0,(AE18/Z18)*100,0)</f>
        <v>59.485425059153286</v>
      </c>
      <c r="AF36" s="33">
        <f t="shared" ref="AF36" si="41">IF(Z18&gt;0,(AF18/Z18)*100,0)</f>
        <v>67.874890687789275</v>
      </c>
    </row>
    <row r="37" spans="1:32">
      <c r="B37" s="335"/>
      <c r="C37" s="335"/>
      <c r="D37" s="335"/>
      <c r="E37" s="335"/>
      <c r="F37" s="335"/>
      <c r="G37" s="11"/>
      <c r="M37" s="335"/>
      <c r="N37" s="335"/>
      <c r="O37" s="335"/>
      <c r="P37" s="335"/>
      <c r="Q37" s="335"/>
      <c r="R37" s="11"/>
      <c r="X37" s="335"/>
      <c r="Y37" s="335"/>
      <c r="Z37" s="335"/>
      <c r="AA37" s="335"/>
      <c r="AB37" s="335"/>
      <c r="AC37" s="11"/>
    </row>
    <row r="38" spans="1:32">
      <c r="B38" s="335"/>
      <c r="C38" s="335"/>
      <c r="D38" s="335"/>
      <c r="E38" s="335"/>
      <c r="F38" s="335"/>
      <c r="G38" s="11"/>
      <c r="M38" s="335"/>
      <c r="N38" s="335"/>
      <c r="O38" s="335"/>
      <c r="P38" s="335"/>
      <c r="Q38" s="335"/>
      <c r="R38" s="11"/>
      <c r="X38" s="335"/>
      <c r="Y38" s="335"/>
      <c r="Z38" s="335"/>
      <c r="AA38" s="335"/>
      <c r="AB38" s="335"/>
      <c r="AC38" s="11"/>
    </row>
    <row r="39" spans="1:32" ht="15.6">
      <c r="A39" s="17" t="str">
        <f>CONCATENATE(A$1," (Continued)")</f>
        <v>Occupation Table 1  Employment Change by Occupation Group (SOC 2020) and Replacement Demand, 2015-2035, England (Continued)</v>
      </c>
      <c r="B39" s="335"/>
      <c r="C39" s="335"/>
      <c r="D39" s="335"/>
      <c r="E39" s="335"/>
      <c r="F39" s="335"/>
      <c r="G39" s="11"/>
      <c r="L39" s="17" t="str">
        <f>CONCATENATE(L$1," (Continued)")</f>
        <v>Occupation Table 1.1  Males: Employment Change by Occupation Group (SOC 2020) and Replacement Demand, 2015-2035, England (Continued)</v>
      </c>
      <c r="M39" s="335"/>
      <c r="N39" s="335"/>
      <c r="O39" s="335"/>
      <c r="P39" s="335"/>
      <c r="Q39" s="335"/>
      <c r="R39" s="11"/>
      <c r="W39" s="17" t="str">
        <f>CONCATENATE(W$1," (Continued)")</f>
        <v>Occupation Table 1.2  Females: Employment Change by Occupation Group (SOC 2020) and Replacement Demand, 2015-2035, England (Continued)</v>
      </c>
      <c r="X39" s="335"/>
      <c r="Y39" s="335"/>
      <c r="Z39" s="335"/>
      <c r="AA39" s="335"/>
      <c r="AB39" s="335"/>
      <c r="AC39" s="11"/>
    </row>
    <row r="40" spans="1:32">
      <c r="B40" s="335"/>
      <c r="C40" s="335"/>
      <c r="D40" s="335"/>
      <c r="E40" s="335"/>
      <c r="F40" s="335"/>
      <c r="G40" s="11"/>
      <c r="M40" s="335"/>
      <c r="N40" s="335"/>
      <c r="O40" s="335"/>
      <c r="P40" s="335"/>
      <c r="Q40" s="335"/>
      <c r="R40" s="11"/>
      <c r="X40" s="335"/>
      <c r="Y40" s="335"/>
      <c r="Z40" s="335"/>
      <c r="AA40" s="335"/>
      <c r="AB40" s="335"/>
      <c r="AC40" s="11"/>
    </row>
    <row r="41" spans="1:32">
      <c r="B41" s="335"/>
      <c r="C41" s="335"/>
      <c r="D41" s="335"/>
      <c r="E41" s="335"/>
      <c r="F41" s="15" t="s">
        <v>178</v>
      </c>
      <c r="G41" s="11"/>
      <c r="J41" s="15" t="s">
        <v>178</v>
      </c>
      <c r="M41" s="335"/>
      <c r="N41" s="335"/>
      <c r="O41" s="335"/>
      <c r="P41" s="335"/>
      <c r="Q41" s="15" t="s">
        <v>178</v>
      </c>
      <c r="R41" s="11"/>
      <c r="U41" s="15" t="s">
        <v>178</v>
      </c>
      <c r="X41" s="335"/>
      <c r="Y41" s="335"/>
      <c r="Z41" s="335"/>
      <c r="AA41" s="335"/>
      <c r="AB41" s="15" t="s">
        <v>178</v>
      </c>
      <c r="AC41" s="11"/>
      <c r="AF41" s="15" t="s">
        <v>178</v>
      </c>
    </row>
    <row r="42" spans="1:32" ht="12.95">
      <c r="A42" s="28"/>
      <c r="B42" s="342"/>
      <c r="C42" s="342"/>
      <c r="D42" s="342"/>
      <c r="E42" s="342"/>
      <c r="F42" s="342"/>
      <c r="G42" s="11"/>
      <c r="H42" s="23" t="str">
        <f>H4</f>
        <v>2020-2035</v>
      </c>
      <c r="I42" s="28"/>
      <c r="J42" s="28"/>
      <c r="L42" s="28"/>
      <c r="M42" s="342"/>
      <c r="N42" s="342"/>
      <c r="O42" s="342"/>
      <c r="P42" s="342"/>
      <c r="Q42" s="342"/>
      <c r="R42" s="11"/>
      <c r="S42" s="23" t="str">
        <f>S4</f>
        <v>2020-2035</v>
      </c>
      <c r="T42" s="28"/>
      <c r="U42" s="28"/>
      <c r="W42" s="28"/>
      <c r="X42" s="342"/>
      <c r="Y42" s="342"/>
      <c r="Z42" s="342"/>
      <c r="AA42" s="342"/>
      <c r="AB42" s="342"/>
      <c r="AC42" s="11"/>
      <c r="AD42" s="23" t="str">
        <f>AD4</f>
        <v>2020-2035</v>
      </c>
      <c r="AE42" s="28"/>
      <c r="AF42" s="28"/>
    </row>
    <row r="43" spans="1:3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2.95">
      <c r="A44" s="31" t="s">
        <v>125</v>
      </c>
      <c r="B44" s="51" t="str">
        <f>CONCATENATE(B$6,"-",C$6)</f>
        <v>2015-2019</v>
      </c>
      <c r="C44" s="51" t="str">
        <f>CONCATENATE(C$6,"-",D$6)</f>
        <v>2019-2020</v>
      </c>
      <c r="D44" s="51" t="str">
        <f>CONCATENATE(D$6,"-",E$6)</f>
        <v>2020-2025</v>
      </c>
      <c r="E44" s="51" t="str">
        <f>CONCATENATE(E$6,"-",F$6)</f>
        <v>2025-2035</v>
      </c>
      <c r="F44" s="51" t="str">
        <f>CONCATENATE(D$6,"-",F$6)</f>
        <v>2020-2035</v>
      </c>
      <c r="H44" s="21" t="str">
        <f>H6</f>
        <v>Change</v>
      </c>
      <c r="I44" s="21" t="str">
        <f>I6</f>
        <v>Demand</v>
      </c>
      <c r="J44" s="21" t="str">
        <f>J6</f>
        <v>Requirement</v>
      </c>
      <c r="L44" s="31" t="s">
        <v>125</v>
      </c>
      <c r="M44" s="51" t="str">
        <f>CONCATENATE(M$6,"-",N$6)</f>
        <v>2015-2019</v>
      </c>
      <c r="N44" s="51" t="str">
        <f>CONCATENATE(N$6,"-",O$6)</f>
        <v>2019-2020</v>
      </c>
      <c r="O44" s="51" t="str">
        <f>CONCATENATE(O$6,"-",P$6)</f>
        <v>2020-2025</v>
      </c>
      <c r="P44" s="51" t="str">
        <f>CONCATENATE(P$6,"-",Q$6)</f>
        <v>2025-2035</v>
      </c>
      <c r="Q44" s="51" t="str">
        <f>CONCATENATE(O$6,"-",Q$6)</f>
        <v>2020-2035</v>
      </c>
      <c r="S44" s="21" t="str">
        <f>S6</f>
        <v>Change</v>
      </c>
      <c r="T44" s="21" t="str">
        <f>T6</f>
        <v>Demand</v>
      </c>
      <c r="U44" s="21" t="str">
        <f>U6</f>
        <v>Requirement</v>
      </c>
      <c r="W44" s="31" t="s">
        <v>125</v>
      </c>
      <c r="X44" s="51" t="str">
        <f>CONCATENATE(X$6,"-",Y$6)</f>
        <v>2015-2019</v>
      </c>
      <c r="Y44" s="51" t="str">
        <f>CONCATENATE(Y$6,"-",Z$6)</f>
        <v>2019-2020</v>
      </c>
      <c r="Z44" s="51" t="str">
        <f>CONCATENATE(Z$6,"-",AA$6)</f>
        <v>2020-2025</v>
      </c>
      <c r="AA44" s="51" t="str">
        <f>CONCATENATE(AA$6,"-",AB$6)</f>
        <v>2025-2035</v>
      </c>
      <c r="AB44" s="51" t="str">
        <f>CONCATENATE(Z$6,"-",AB$6)</f>
        <v>2020-2035</v>
      </c>
      <c r="AD44" s="21" t="str">
        <f>AD6</f>
        <v>Change</v>
      </c>
      <c r="AE44" s="21" t="str">
        <f>AE6</f>
        <v>Demand</v>
      </c>
      <c r="AF44" s="21" t="str">
        <f>AF6</f>
        <v>Requirement</v>
      </c>
    </row>
    <row r="45" spans="1:32" ht="12.95">
      <c r="A45" s="1"/>
      <c r="B45" s="18"/>
      <c r="C45" s="18"/>
      <c r="D45" s="18"/>
      <c r="E45" s="18"/>
      <c r="F45" s="18"/>
      <c r="L45" s="1"/>
      <c r="M45" s="18"/>
      <c r="N45" s="18"/>
      <c r="O45" s="18"/>
      <c r="P45" s="18"/>
      <c r="Q45" s="18"/>
      <c r="W45" s="1"/>
      <c r="X45" s="18"/>
      <c r="Y45" s="18"/>
      <c r="Z45" s="18"/>
      <c r="AA45" s="18"/>
      <c r="AB45" s="18"/>
    </row>
    <row r="46" spans="1:32">
      <c r="A46" t="str">
        <f>$A$8</f>
        <v>Managers, directors and senior officials</v>
      </c>
      <c r="B46" s="335">
        <f>IF(C$6-B$6 &lt;&gt; 0,(EXP(LN(C8/B8)/(C$6-B$6))-1)*100,0)</f>
        <v>3.5190207570598764</v>
      </c>
      <c r="C46" s="335">
        <f t="shared" ref="B46:E54" si="42">IF(D$6-C$6 &lt;&gt; 0,(EXP(LN(D8/C8)/(D$6-C$6))-1)*100,0)</f>
        <v>2.0274633189927727</v>
      </c>
      <c r="D46" s="335">
        <f t="shared" si="42"/>
        <v>-0.98719805067600808</v>
      </c>
      <c r="E46" s="335">
        <f t="shared" si="42"/>
        <v>0.92899124212904027</v>
      </c>
      <c r="F46" s="335">
        <f>IF(F$6-D$6 &lt;&gt; 0,(EXP(LN(F8/D8)/(F$6-D$6))-1)*100,0)</f>
        <v>0.28617609001266864</v>
      </c>
      <c r="H46" s="335">
        <f>IF($F$6-$D$6 &lt;&gt; 0,(EXP(LN(1+(H26/100))/($F$6-$D$6))-1)*100,0)</f>
        <v>0.28617609001266864</v>
      </c>
      <c r="I46" s="335">
        <f>IF($F$6-$D$6 &lt;&gt; 0,(EXP(LN(1+(I26/100))/($F$6-$D$6))-1)*100,0)</f>
        <v>2.8558893272823793</v>
      </c>
      <c r="J46" s="335">
        <f>IF($F$6-$D$6 &lt;&gt; 0,(EXP(LN(1+(J26/100))/($F$6-$D$6))-1)*100,0)</f>
        <v>3.0501544531832625</v>
      </c>
      <c r="L46" t="str">
        <f>$A$8</f>
        <v>Managers, directors and senior officials</v>
      </c>
      <c r="M46" s="335">
        <f t="shared" ref="M46:M54" si="43">IF(N$6-M$6 &lt;&gt; 0,(EXP(LN(N8/M8)/(N$6-M$6))-1)*100,0)</f>
        <v>2.7779977468471939</v>
      </c>
      <c r="N46" s="335">
        <f t="shared" ref="N46:N54" si="44">IF(O$6-N$6 &lt;&gt; 0,(EXP(LN(O8/N8)/(O$6-N$6))-1)*100,0)</f>
        <v>0.36451180655037163</v>
      </c>
      <c r="O46" s="335">
        <f t="shared" ref="O46:O54" si="45">IF(P$6-O$6 &lt;&gt; 0,(EXP(LN(P8/O8)/(P$6-O$6))-1)*100,0)</f>
        <v>-1.1838288732842428</v>
      </c>
      <c r="P46" s="335">
        <f t="shared" ref="P46:P54" si="46">IF(Q$6-P$6 &lt;&gt; 0,(EXP(LN(Q8/P8)/(Q$6-P$6))-1)*100,0)</f>
        <v>0.64798724561392351</v>
      </c>
      <c r="Q46" s="335">
        <f>IF(Q$6-O$6 &lt;&gt; 0,(EXP(LN(Q8/O8)/(Q$6-O$6))-1)*100,0)</f>
        <v>3.3639570837062927E-2</v>
      </c>
      <c r="S46" s="335">
        <f>IF($F$6-$D$6 &lt;&gt; 0,(EXP(LN(1+(S26/100))/($F$6-$D$6))-1)*100,0)</f>
        <v>3.3639570837062927E-2</v>
      </c>
      <c r="T46" s="335">
        <f>IF($F$6-$D$6 &lt;&gt; 0,(EXP(LN(1+(T26/100))/($F$6-$D$6))-1)*100,0)</f>
        <v>2.600144984612851</v>
      </c>
      <c r="U46" s="335">
        <f>IF($F$6-$D$6 &lt;&gt; 0,(EXP(LN(1+(U26/100))/($F$6-$D$6))-1)*100,0)</f>
        <v>2.623647007876273</v>
      </c>
      <c r="W46" t="str">
        <f>$A$8</f>
        <v>Managers, directors and senior officials</v>
      </c>
      <c r="X46" s="335">
        <f t="shared" ref="X46:X54" si="47">IF(Y$6-X$6 &lt;&gt; 0,(EXP(LN(Y8/X8)/(Y$6-X$6))-1)*100,0)</f>
        <v>4.9368879743494132</v>
      </c>
      <c r="Y46" s="335">
        <f t="shared" ref="Y46:Y54" si="48">IF(Z$6-Y$6 &lt;&gt; 0,(EXP(LN(Z8/Y8)/(Z$6-Y$6))-1)*100,0)</f>
        <v>5.0484555350504667</v>
      </c>
      <c r="Z46" s="335">
        <f t="shared" ref="Z46:Z54" si="49">IF(AA$6-Z$6 &lt;&gt; 0,(EXP(LN(AA8/Z8)/(AA$6-Z$6))-1)*100,0)</f>
        <v>-0.64958017306038229</v>
      </c>
      <c r="AA46" s="335">
        <f t="shared" ref="AA46:AA54" si="50">IF(AB$6-AA$6 &lt;&gt; 0,(EXP(LN(AB8/AA8)/(AB$6-AA$6))-1)*100,0)</f>
        <v>1.3883150308168224</v>
      </c>
      <c r="AB46" s="335">
        <f>IF(AB$6-Z$6 &lt;&gt; 0,(EXP(LN(AB8/Z8)/(AB$6-Z$6))-1)*100,0)</f>
        <v>0.70441383884809472</v>
      </c>
      <c r="AD46" s="335">
        <f>IF($F$6-$D$6 &lt;&gt; 0,(EXP(LN(1+(AD26/100))/($F$6-$D$6))-1)*100,0)</f>
        <v>0.70441383884809472</v>
      </c>
      <c r="AE46" s="335">
        <f>IF($F$6-$D$6 &lt;&gt; 0,(EXP(LN(1+(AE26/100))/($F$6-$D$6))-1)*100,0)</f>
        <v>3.2796832204532667</v>
      </c>
      <c r="AF46" s="335">
        <f>IF($F$6-$D$6 &lt;&gt; 0,(EXP(LN(1+(AF26/100))/($F$6-$D$6))-1)*100,0)</f>
        <v>3.7364191283528525</v>
      </c>
    </row>
    <row r="47" spans="1:32">
      <c r="A47" t="str">
        <f>$A$9</f>
        <v>Professional occupations</v>
      </c>
      <c r="B47" s="335">
        <f t="shared" si="42"/>
        <v>3.3494011900128351</v>
      </c>
      <c r="C47" s="335">
        <f t="shared" si="42"/>
        <v>4.5389156677662079</v>
      </c>
      <c r="D47" s="335">
        <f t="shared" si="42"/>
        <v>1.501832687656024</v>
      </c>
      <c r="E47" s="335">
        <f t="shared" si="42"/>
        <v>0.99293186813895762</v>
      </c>
      <c r="F47" s="335">
        <f>IF(F$6-D$6 &lt;&gt; 0,(EXP(LN(F9/D9)/(F$6-D$6))-1)*100,0)</f>
        <v>1.1622813431281021</v>
      </c>
      <c r="H47" s="335">
        <f t="shared" ref="H47:J56" si="51">IF($F$6-$D$6 &lt;&gt; 0,(EXP(LN(1+(H27/100))/($F$6-$D$6))-1)*100,0)</f>
        <v>1.1622813431281021</v>
      </c>
      <c r="I47" s="335">
        <f t="shared" si="51"/>
        <v>2.7905789850527496</v>
      </c>
      <c r="J47" s="335">
        <f t="shared" si="51"/>
        <v>3.6024171715073106</v>
      </c>
      <c r="L47" t="str">
        <f>$A$9</f>
        <v>Professional occupations</v>
      </c>
      <c r="M47" s="335">
        <f t="shared" si="43"/>
        <v>3.0487072641016466</v>
      </c>
      <c r="N47" s="335">
        <f t="shared" si="44"/>
        <v>3.484093249129705</v>
      </c>
      <c r="O47" s="335">
        <f t="shared" si="45"/>
        <v>2.042983957624811</v>
      </c>
      <c r="P47" s="335">
        <f t="shared" si="46"/>
        <v>0.88255557636682802</v>
      </c>
      <c r="Q47" s="335">
        <f>IF(Q$6-O$6 &lt;&gt; 0,(EXP(LN(Q9/O9)/(Q$6-O$6))-1)*100,0)</f>
        <v>1.2678913163461925</v>
      </c>
      <c r="S47" s="335">
        <f t="shared" ref="S47:U47" si="52">IF($F$6-$D$6 &lt;&gt; 0,(EXP(LN(1+(S27/100))/($F$6-$D$6))-1)*100,0)</f>
        <v>1.2678913163461925</v>
      </c>
      <c r="T47" s="335">
        <f t="shared" si="52"/>
        <v>2.3990998795080154</v>
      </c>
      <c r="U47" s="335">
        <f t="shared" si="52"/>
        <v>3.3322871934163834</v>
      </c>
      <c r="W47" t="str">
        <f>$A$9</f>
        <v>Professional occupations</v>
      </c>
      <c r="X47" s="335">
        <f t="shared" si="47"/>
        <v>3.6716751498914402</v>
      </c>
      <c r="Y47" s="335">
        <f t="shared" si="48"/>
        <v>5.6525338629207056</v>
      </c>
      <c r="Z47" s="335">
        <f t="shared" si="49"/>
        <v>0.92983414868244019</v>
      </c>
      <c r="AA47" s="335">
        <f t="shared" si="50"/>
        <v>1.1122754049315731</v>
      </c>
      <c r="AB47" s="335">
        <f>IF(AB$6-Z$6 &lt;&gt; 0,(EXP(LN(AB9/Z9)/(AB$6-Z$6))-1)*100,0)</f>
        <v>1.0514250398445224</v>
      </c>
      <c r="AD47" s="335">
        <f t="shared" ref="AD47:AF47" si="53">IF($F$6-$D$6 &lt;&gt; 0,(EXP(LN(1+(AD27/100))/($F$6-$D$6))-1)*100,0)</f>
        <v>1.0514250398445224</v>
      </c>
      <c r="AE47" s="335">
        <f t="shared" si="53"/>
        <v>3.1745744252278163</v>
      </c>
      <c r="AF47" s="335">
        <f t="shared" si="53"/>
        <v>3.8717528023987535</v>
      </c>
    </row>
    <row r="48" spans="1:32">
      <c r="A48" t="str">
        <f>$A$10</f>
        <v>Associate professional occupations</v>
      </c>
      <c r="B48" s="335">
        <f t="shared" si="42"/>
        <v>1.9385731310823884</v>
      </c>
      <c r="C48" s="335">
        <f t="shared" si="42"/>
        <v>4.594470496031211</v>
      </c>
      <c r="D48" s="335">
        <f t="shared" si="42"/>
        <v>1.0695640269495321</v>
      </c>
      <c r="E48" s="335">
        <f t="shared" si="42"/>
        <v>0.87437768551239525</v>
      </c>
      <c r="F48" s="335">
        <f t="shared" ref="F48:F56" si="54">IF(F$6-D$6 &lt;&gt; 0,(EXP(LN(F10/D10)/(F$6-D$6))-1)*100,0)</f>
        <v>0.93939788051264905</v>
      </c>
      <c r="H48" s="335">
        <f t="shared" si="51"/>
        <v>0.93939788051264905</v>
      </c>
      <c r="I48" s="335">
        <f t="shared" si="51"/>
        <v>2.7939589376410723</v>
      </c>
      <c r="J48" s="335">
        <f t="shared" si="51"/>
        <v>3.4466077876449397</v>
      </c>
      <c r="L48" t="str">
        <f>$A$10</f>
        <v>Associate professional occupations</v>
      </c>
      <c r="M48" s="335">
        <f t="shared" si="43"/>
        <v>1.5317171403507635</v>
      </c>
      <c r="N48" s="335">
        <f t="shared" si="44"/>
        <v>3.7810818733183593</v>
      </c>
      <c r="O48" s="335">
        <f t="shared" si="45"/>
        <v>-0.67268829576033751</v>
      </c>
      <c r="P48" s="335">
        <f t="shared" si="46"/>
        <v>0.38358588566658192</v>
      </c>
      <c r="Q48" s="335">
        <f t="shared" ref="Q48:Q54" si="55">IF(Q$6-O$6 &lt;&gt; 0,(EXP(LN(Q10/O10)/(Q$6-O$6))-1)*100,0)</f>
        <v>3.0252275197439893E-2</v>
      </c>
      <c r="S48" s="335">
        <f t="shared" ref="S48:U48" si="56">IF($F$6-$D$6 &lt;&gt; 0,(EXP(LN(1+(S28/100))/($F$6-$D$6))-1)*100,0)</f>
        <v>3.0252275197439893E-2</v>
      </c>
      <c r="T48" s="335">
        <f t="shared" si="56"/>
        <v>2.1600094310266327</v>
      </c>
      <c r="U48" s="335">
        <f t="shared" si="56"/>
        <v>2.1824522315572414</v>
      </c>
      <c r="W48" t="str">
        <f>$A$10</f>
        <v>Associate professional occupations</v>
      </c>
      <c r="X48" s="335">
        <f t="shared" si="47"/>
        <v>2.4148863910233631</v>
      </c>
      <c r="Y48" s="335">
        <f t="shared" si="48"/>
        <v>5.5263252316570588</v>
      </c>
      <c r="Z48" s="335">
        <f t="shared" si="49"/>
        <v>2.8986258284248168</v>
      </c>
      <c r="AA48" s="335">
        <f t="shared" si="50"/>
        <v>1.318889784771593</v>
      </c>
      <c r="AB48" s="335">
        <f t="shared" ref="AB48:AB54" si="57">IF(AB$6-Z$6 &lt;&gt; 0,(EXP(LN(AB10/Z10)/(AB$6-Z$6))-1)*100,0)</f>
        <v>1.842755172055166</v>
      </c>
      <c r="AD48" s="335">
        <f t="shared" ref="AD48:AF48" si="58">IF($F$6-$D$6 &lt;&gt; 0,(EXP(LN(1+(AD28/100))/($F$6-$D$6))-1)*100,0)</f>
        <v>1.842755172055166</v>
      </c>
      <c r="AE48" s="335">
        <f t="shared" si="58"/>
        <v>3.4482320651050724</v>
      </c>
      <c r="AF48" s="335">
        <f t="shared" si="58"/>
        <v>4.6518716614416755</v>
      </c>
    </row>
    <row r="49" spans="1:32">
      <c r="A49" t="str">
        <f>$A$11</f>
        <v>Administrative and secretarial occupations</v>
      </c>
      <c r="B49" s="335">
        <f t="shared" si="42"/>
        <v>-0.71072665521219047</v>
      </c>
      <c r="C49" s="335">
        <f t="shared" si="42"/>
        <v>2.5711291540718051</v>
      </c>
      <c r="D49" s="335">
        <f t="shared" si="42"/>
        <v>0.2782525386836987</v>
      </c>
      <c r="E49" s="335">
        <f t="shared" si="42"/>
        <v>-0.57108940627745852</v>
      </c>
      <c r="F49" s="335">
        <f t="shared" si="54"/>
        <v>-0.28877775964678554</v>
      </c>
      <c r="H49" s="335">
        <f t="shared" si="51"/>
        <v>-0.28877775964678554</v>
      </c>
      <c r="I49" s="335">
        <f t="shared" si="51"/>
        <v>2.7675559115373227</v>
      </c>
      <c r="J49" s="335">
        <f t="shared" si="51"/>
        <v>2.5718510352790602</v>
      </c>
      <c r="L49" t="str">
        <f>$A$11</f>
        <v>Administrative and secretarial occupations</v>
      </c>
      <c r="M49" s="335">
        <f t="shared" si="43"/>
        <v>-1.4137727310282289</v>
      </c>
      <c r="N49" s="335">
        <f t="shared" si="44"/>
        <v>16.834145934537293</v>
      </c>
      <c r="O49" s="335">
        <f t="shared" si="45"/>
        <v>1.2178267031200285</v>
      </c>
      <c r="P49" s="335">
        <f t="shared" si="46"/>
        <v>1.0069004542379245</v>
      </c>
      <c r="Q49" s="335">
        <f t="shared" si="55"/>
        <v>1.0771603201422675</v>
      </c>
      <c r="S49" s="335">
        <f t="shared" ref="S49:U49" si="59">IF($F$6-$D$6 &lt;&gt; 0,(EXP(LN(1+(S29/100))/($F$6-$D$6))-1)*100,0)</f>
        <v>1.0771603201422675</v>
      </c>
      <c r="T49" s="335">
        <f t="shared" si="59"/>
        <v>2.3173021730430898</v>
      </c>
      <c r="U49" s="335">
        <f t="shared" si="59"/>
        <v>3.1155875155833845</v>
      </c>
      <c r="W49" t="str">
        <f>$A$11</f>
        <v>Administrative and secretarial occupations</v>
      </c>
      <c r="X49" s="335">
        <f t="shared" si="47"/>
        <v>-0.48487574757727359</v>
      </c>
      <c r="Y49" s="335">
        <f t="shared" si="48"/>
        <v>-1.904509687990219</v>
      </c>
      <c r="Z49" s="335">
        <f t="shared" si="49"/>
        <v>-8.2122926823358089E-2</v>
      </c>
      <c r="AA49" s="335">
        <f t="shared" si="50"/>
        <v>-1.2687210504689461</v>
      </c>
      <c r="AB49" s="335">
        <f t="shared" si="57"/>
        <v>-0.8747624115376218</v>
      </c>
      <c r="AD49" s="335">
        <f t="shared" ref="AD49:AF49" si="60">IF($F$6-$D$6 &lt;&gt; 0,(EXP(LN(1+(AD29/100))/($F$6-$D$6))-1)*100,0)</f>
        <v>-0.8747624115376218</v>
      </c>
      <c r="AE49" s="335">
        <f t="shared" si="60"/>
        <v>2.9289805197451946</v>
      </c>
      <c r="AF49" s="335">
        <f t="shared" si="60"/>
        <v>2.3578226164629568</v>
      </c>
    </row>
    <row r="50" spans="1:32">
      <c r="A50" t="str">
        <f>$A$12</f>
        <v>Skilled trades occupations</v>
      </c>
      <c r="B50" s="335">
        <f t="shared" si="42"/>
        <v>-0.33842398706971366</v>
      </c>
      <c r="C50" s="335">
        <f t="shared" si="42"/>
        <v>-12.04723910697637</v>
      </c>
      <c r="D50" s="335">
        <f t="shared" si="42"/>
        <v>0.24257967746357245</v>
      </c>
      <c r="E50" s="335">
        <f t="shared" si="42"/>
        <v>-0.2717591010432896</v>
      </c>
      <c r="F50" s="335">
        <f t="shared" si="54"/>
        <v>-0.10060673911935769</v>
      </c>
      <c r="H50" s="335">
        <f t="shared" si="51"/>
        <v>-0.10060673911935769</v>
      </c>
      <c r="I50" s="335">
        <f t="shared" si="51"/>
        <v>2.4095251361862413</v>
      </c>
      <c r="J50" s="335">
        <f t="shared" si="51"/>
        <v>2.3375901168278812</v>
      </c>
      <c r="L50" t="str">
        <f>$A$12</f>
        <v>Skilled trades occupations</v>
      </c>
      <c r="M50" s="335">
        <f t="shared" si="43"/>
        <v>-0.39478075685386305</v>
      </c>
      <c r="N50" s="335">
        <f t="shared" si="44"/>
        <v>-13.952784678219732</v>
      </c>
      <c r="O50" s="335">
        <f t="shared" si="45"/>
        <v>6.4438865681459845E-2</v>
      </c>
      <c r="P50" s="335">
        <f t="shared" si="46"/>
        <v>-0.46594170865084106</v>
      </c>
      <c r="Q50" s="335">
        <f t="shared" si="55"/>
        <v>-0.28946128021184458</v>
      </c>
      <c r="S50" s="335">
        <f t="shared" ref="S50:U50" si="61">IF($F$6-$D$6 &lt;&gt; 0,(EXP(LN(1+(S30/100))/($F$6-$D$6))-1)*100,0)</f>
        <v>-0.28946128021184458</v>
      </c>
      <c r="T50" s="335">
        <f t="shared" si="61"/>
        <v>2.2450002695407312</v>
      </c>
      <c r="U50" s="335">
        <f t="shared" si="61"/>
        <v>2.0340972250406208</v>
      </c>
      <c r="W50" t="str">
        <f>$A$12</f>
        <v>Skilled trades occupations</v>
      </c>
      <c r="X50" s="335">
        <f t="shared" si="47"/>
        <v>0.12728992348642887</v>
      </c>
      <c r="Y50" s="335">
        <f t="shared" si="48"/>
        <v>3.4953138287690422</v>
      </c>
      <c r="Z50" s="335">
        <f t="shared" si="49"/>
        <v>1.4184263219283233</v>
      </c>
      <c r="AA50" s="335">
        <f t="shared" si="50"/>
        <v>0.88632307454681314</v>
      </c>
      <c r="AB50" s="335">
        <f t="shared" si="57"/>
        <v>1.0633799048143988</v>
      </c>
      <c r="AD50" s="335">
        <f t="shared" ref="AD50:AF50" si="62">IF($F$6-$D$6 &lt;&gt; 0,(EXP(LN(1+(AD30/100))/($F$6-$D$6))-1)*100,0)</f>
        <v>1.0633799048143988</v>
      </c>
      <c r="AE50" s="335">
        <f t="shared" si="62"/>
        <v>3.4373295833706408</v>
      </c>
      <c r="AF50" s="335">
        <f t="shared" si="62"/>
        <v>4.1191473842495441</v>
      </c>
    </row>
    <row r="51" spans="1:32">
      <c r="A51" t="str">
        <f>$A$13</f>
        <v>Caring, leisure and other service occupations</v>
      </c>
      <c r="B51" s="335">
        <f t="shared" si="42"/>
        <v>0.99473791617998852</v>
      </c>
      <c r="C51" s="335">
        <f t="shared" si="42"/>
        <v>-4.1671735730963722</v>
      </c>
      <c r="D51" s="335">
        <f t="shared" si="42"/>
        <v>0.3973046330722374</v>
      </c>
      <c r="E51" s="335">
        <f t="shared" si="42"/>
        <v>0.66705972017633286</v>
      </c>
      <c r="F51" s="335">
        <f t="shared" si="54"/>
        <v>0.5770609206709354</v>
      </c>
      <c r="H51" s="335">
        <f t="shared" si="51"/>
        <v>0.5770609206709354</v>
      </c>
      <c r="I51" s="335">
        <f t="shared" si="51"/>
        <v>3.0578670059289825</v>
      </c>
      <c r="J51" s="335">
        <f t="shared" si="51"/>
        <v>3.4418830770106545</v>
      </c>
      <c r="L51" t="str">
        <f>$A$13</f>
        <v>Caring, leisure and other service occupations</v>
      </c>
      <c r="M51" s="335">
        <f t="shared" si="43"/>
        <v>1.3638451233694449</v>
      </c>
      <c r="N51" s="335">
        <f t="shared" si="44"/>
        <v>-2.3516955787389326</v>
      </c>
      <c r="O51" s="335">
        <f t="shared" si="45"/>
        <v>1.7246720010166916</v>
      </c>
      <c r="P51" s="335">
        <f t="shared" si="46"/>
        <v>1.2726282980986436</v>
      </c>
      <c r="Q51" s="335">
        <f t="shared" si="55"/>
        <v>1.4230858915412981</v>
      </c>
      <c r="S51" s="335">
        <f t="shared" ref="S51:U51" si="63">IF($F$6-$D$6 &lt;&gt; 0,(EXP(LN(1+(S31/100))/($F$6-$D$6))-1)*100,0)</f>
        <v>1.4230858915412981</v>
      </c>
      <c r="T51" s="335">
        <f t="shared" si="63"/>
        <v>2.7362558382484581</v>
      </c>
      <c r="U51" s="335">
        <f t="shared" si="63"/>
        <v>3.7428172088937561</v>
      </c>
      <c r="W51" t="str">
        <f>$A$13</f>
        <v>Caring, leisure and other service occupations</v>
      </c>
      <c r="X51" s="335">
        <f t="shared" si="47"/>
        <v>0.90591578623122615</v>
      </c>
      <c r="Y51" s="335">
        <f t="shared" si="48"/>
        <v>-4.6090210363527673</v>
      </c>
      <c r="Z51" s="335">
        <f t="shared" si="49"/>
        <v>5.5426691525273242E-2</v>
      </c>
      <c r="AA51" s="335">
        <f t="shared" si="50"/>
        <v>0.49738874114375609</v>
      </c>
      <c r="AB51" s="335">
        <f t="shared" si="57"/>
        <v>0.3498515690766979</v>
      </c>
      <c r="AD51" s="335">
        <f t="shared" ref="AD51:AF51" si="64">IF($F$6-$D$6 &lt;&gt; 0,(EXP(LN(1+(AD31/100))/($F$6-$D$6))-1)*100,0)</f>
        <v>0.3498515690766979</v>
      </c>
      <c r="AE51" s="335">
        <f t="shared" si="64"/>
        <v>3.1358510439482234</v>
      </c>
      <c r="AF51" s="335">
        <f t="shared" si="64"/>
        <v>3.3649638429445572</v>
      </c>
    </row>
    <row r="52" spans="1:32">
      <c r="A52" t="str">
        <f>$A$14</f>
        <v>Sales and customer service occupations</v>
      </c>
      <c r="B52" s="335">
        <f t="shared" si="42"/>
        <v>-0.62429280438084378</v>
      </c>
      <c r="C52" s="335">
        <f t="shared" si="42"/>
        <v>-1.1381258497254021</v>
      </c>
      <c r="D52" s="335">
        <f t="shared" si="42"/>
        <v>0.26799773429468932</v>
      </c>
      <c r="E52" s="335">
        <f t="shared" si="42"/>
        <v>5.2272058732993898E-2</v>
      </c>
      <c r="F52" s="335">
        <f t="shared" si="54"/>
        <v>0.12412899767830776</v>
      </c>
      <c r="H52" s="335">
        <f t="shared" si="51"/>
        <v>0.12412899767830776</v>
      </c>
      <c r="I52" s="335">
        <f t="shared" si="51"/>
        <v>2.5976436528348801</v>
      </c>
      <c r="J52" s="335">
        <f t="shared" si="51"/>
        <v>2.6845696775592787</v>
      </c>
      <c r="L52" t="str">
        <f>$A$14</f>
        <v>Sales and customer service occupations</v>
      </c>
      <c r="M52" s="335">
        <f t="shared" si="43"/>
        <v>-0.40203821978778143</v>
      </c>
      <c r="N52" s="335">
        <f t="shared" si="44"/>
        <v>1.2555268914792528</v>
      </c>
      <c r="O52" s="335">
        <f t="shared" si="45"/>
        <v>0.89354374410031134</v>
      </c>
      <c r="P52" s="335">
        <f t="shared" si="46"/>
        <v>0.37603439751627832</v>
      </c>
      <c r="Q52" s="335">
        <f t="shared" si="55"/>
        <v>0.54824190081419477</v>
      </c>
      <c r="S52" s="335">
        <f t="shared" ref="S52:U52" si="65">IF($F$6-$D$6 &lt;&gt; 0,(EXP(LN(1+(S32/100))/($F$6-$D$6))-1)*100,0)</f>
        <v>0.54824190081419477</v>
      </c>
      <c r="T52" s="335">
        <f t="shared" si="65"/>
        <v>2.0700205167451635</v>
      </c>
      <c r="U52" s="335">
        <f t="shared" si="65"/>
        <v>2.4856617581279217</v>
      </c>
      <c r="W52" t="str">
        <f>$A$14</f>
        <v>Sales and customer service occupations</v>
      </c>
      <c r="X52" s="335">
        <f t="shared" si="47"/>
        <v>-0.77190310080926805</v>
      </c>
      <c r="Y52" s="335">
        <f t="shared" si="48"/>
        <v>-2.7427221509261579</v>
      </c>
      <c r="Z52" s="335">
        <f t="shared" si="49"/>
        <v>-0.17801063250789673</v>
      </c>
      <c r="AA52" s="335">
        <f t="shared" si="50"/>
        <v>-0.19224958015986449</v>
      </c>
      <c r="AB52" s="335">
        <f t="shared" si="57"/>
        <v>-0.18750348996705579</v>
      </c>
      <c r="AD52" s="335">
        <f t="shared" ref="AD52:AF52" si="66">IF($F$6-$D$6 &lt;&gt; 0,(EXP(LN(1+(AD32/100))/($F$6-$D$6))-1)*100,0)</f>
        <v>-0.18750348996705579</v>
      </c>
      <c r="AE52" s="335">
        <f t="shared" si="66"/>
        <v>2.944579895884436</v>
      </c>
      <c r="AF52" s="335">
        <f t="shared" si="66"/>
        <v>2.8202610909095593</v>
      </c>
    </row>
    <row r="53" spans="1:32">
      <c r="A53" t="str">
        <f>$A$15</f>
        <v>Process, plant and machine operatives</v>
      </c>
      <c r="B53" s="335">
        <f t="shared" si="42"/>
        <v>1.4292164760136616</v>
      </c>
      <c r="C53" s="335">
        <f t="shared" si="42"/>
        <v>-10.946459226228079</v>
      </c>
      <c r="D53" s="335">
        <f t="shared" si="42"/>
        <v>0.69254001485188343</v>
      </c>
      <c r="E53" s="335">
        <f t="shared" si="42"/>
        <v>-0.34941358042384074</v>
      </c>
      <c r="F53" s="335">
        <f t="shared" si="54"/>
        <v>-3.2992588521629784E-3</v>
      </c>
      <c r="H53" s="335">
        <f t="shared" si="51"/>
        <v>-3.2992588521629784E-3</v>
      </c>
      <c r="I53" s="335">
        <f t="shared" si="51"/>
        <v>2.7083954073118477</v>
      </c>
      <c r="J53" s="335">
        <f t="shared" si="51"/>
        <v>2.7061260648384211</v>
      </c>
      <c r="L53" t="str">
        <f>$A$15</f>
        <v>Process, plant and machine operatives</v>
      </c>
      <c r="M53" s="335">
        <f t="shared" si="43"/>
        <v>1.5134859935608702</v>
      </c>
      <c r="N53" s="335">
        <f t="shared" si="44"/>
        <v>-10.837799641214618</v>
      </c>
      <c r="O53" s="335">
        <f t="shared" si="45"/>
        <v>0.19096989728797364</v>
      </c>
      <c r="P53" s="335">
        <f t="shared" si="46"/>
        <v>-0.47423051465966815</v>
      </c>
      <c r="Q53" s="335">
        <f t="shared" si="55"/>
        <v>-0.25298921785831263</v>
      </c>
      <c r="S53" s="335">
        <f t="shared" ref="S53:U53" si="67">IF($F$6-$D$6 &lt;&gt; 0,(EXP(LN(1+(S33/100))/($F$6-$D$6))-1)*100,0)</f>
        <v>-0.25298921785831263</v>
      </c>
      <c r="T53" s="335">
        <f t="shared" si="67"/>
        <v>2.6045284441475802</v>
      </c>
      <c r="U53" s="335">
        <f t="shared" si="67"/>
        <v>2.4290238742333159</v>
      </c>
      <c r="W53" t="str">
        <f>$A$15</f>
        <v>Process, plant and machine operatives</v>
      </c>
      <c r="X53" s="335">
        <f t="shared" si="47"/>
        <v>0.83569232671378835</v>
      </c>
      <c r="Y53" s="335">
        <f t="shared" si="48"/>
        <v>-11.724708517337945</v>
      </c>
      <c r="Z53" s="335">
        <f t="shared" si="49"/>
        <v>4.0531166060713497</v>
      </c>
      <c r="AA53" s="335">
        <f t="shared" si="50"/>
        <v>0.36993108534320029</v>
      </c>
      <c r="AB53" s="335">
        <f t="shared" si="57"/>
        <v>1.5829408403209344</v>
      </c>
      <c r="AD53" s="335">
        <f t="shared" ref="AD53:AF53" si="68">IF($F$6-$D$6 &lt;&gt; 0,(EXP(LN(1+(AD33/100))/($F$6-$D$6))-1)*100,0)</f>
        <v>1.5829408403209344</v>
      </c>
      <c r="AE53" s="335">
        <f t="shared" si="68"/>
        <v>3.4190258436604726</v>
      </c>
      <c r="AF53" s="335">
        <f t="shared" si="68"/>
        <v>4.450001662581915</v>
      </c>
    </row>
    <row r="54" spans="1:32">
      <c r="A54" t="str">
        <f>$A$16</f>
        <v>Elementary occupations</v>
      </c>
      <c r="B54" s="335">
        <f t="shared" si="42"/>
        <v>-9.0592976536774117E-2</v>
      </c>
      <c r="C54" s="335">
        <f t="shared" si="42"/>
        <v>-8.9371932427550362</v>
      </c>
      <c r="D54" s="335">
        <f t="shared" si="42"/>
        <v>0.42565012932411772</v>
      </c>
      <c r="E54" s="335">
        <f t="shared" si="42"/>
        <v>-0.23887978168446455</v>
      </c>
      <c r="F54" s="335">
        <f t="shared" si="54"/>
        <v>-1.7859840826728313E-2</v>
      </c>
      <c r="H54" s="335">
        <f t="shared" si="51"/>
        <v>-1.7859840826728313E-2</v>
      </c>
      <c r="I54" s="335">
        <f t="shared" si="51"/>
        <v>2.6950935596003811</v>
      </c>
      <c r="J54" s="335">
        <f t="shared" si="51"/>
        <v>2.682790782766209</v>
      </c>
      <c r="L54" t="str">
        <f>$A$16</f>
        <v>Elementary occupations</v>
      </c>
      <c r="M54" s="335">
        <f t="shared" si="43"/>
        <v>-0.94270919507347672</v>
      </c>
      <c r="N54" s="335">
        <f t="shared" si="44"/>
        <v>-6.4937038458103942</v>
      </c>
      <c r="O54" s="335">
        <f t="shared" si="45"/>
        <v>0.95265585054242763</v>
      </c>
      <c r="P54" s="335">
        <f t="shared" si="46"/>
        <v>-0.30511226036649131</v>
      </c>
      <c r="Q54" s="335">
        <f t="shared" si="55"/>
        <v>0.11239289562177124</v>
      </c>
      <c r="S54" s="335">
        <f t="shared" ref="S54:U54" si="69">IF($F$6-$D$6 &lt;&gt; 0,(EXP(LN(1+(S34/100))/($F$6-$D$6))-1)*100,0)</f>
        <v>0.11239289562177124</v>
      </c>
      <c r="T54" s="335">
        <f t="shared" si="69"/>
        <v>2.2827245073190117</v>
      </c>
      <c r="U54" s="335">
        <f t="shared" si="69"/>
        <v>2.3648511799201799</v>
      </c>
      <c r="W54" t="str">
        <f>$A$16</f>
        <v>Elementary occupations</v>
      </c>
      <c r="X54" s="335">
        <f t="shared" si="47"/>
        <v>0.86205749365109163</v>
      </c>
      <c r="Y54" s="335">
        <f t="shared" si="48"/>
        <v>-11.548430305954426</v>
      </c>
      <c r="Z54" s="335">
        <f t="shared" si="49"/>
        <v>-0.18334211366475284</v>
      </c>
      <c r="AA54" s="335">
        <f t="shared" si="50"/>
        <v>-0.16021558658636526</v>
      </c>
      <c r="AB54" s="335">
        <f t="shared" si="57"/>
        <v>-0.16792502423856881</v>
      </c>
      <c r="AD54" s="335">
        <f t="shared" ref="AD54:AF54" si="70">IF($F$6-$D$6 &lt;&gt; 0,(EXP(LN(1+(AD34/100))/($F$6-$D$6))-1)*100,0)</f>
        <v>-0.16792502423856881</v>
      </c>
      <c r="AE54" s="335">
        <f t="shared" si="70"/>
        <v>3.1346677528446554</v>
      </c>
      <c r="AF54" s="335">
        <f t="shared" si="70"/>
        <v>3.0261381038366952</v>
      </c>
    </row>
    <row r="55" spans="1:32">
      <c r="B55" s="335"/>
      <c r="C55" s="335"/>
      <c r="D55" s="335"/>
      <c r="E55" s="335"/>
      <c r="F55" s="335"/>
      <c r="H55" s="335"/>
      <c r="I55" s="335"/>
      <c r="J55" s="335"/>
      <c r="M55" s="335"/>
      <c r="N55" s="335"/>
      <c r="O55" s="335"/>
      <c r="P55" s="335"/>
      <c r="Q55" s="335"/>
      <c r="S55" s="335"/>
      <c r="T55" s="335"/>
      <c r="U55" s="335"/>
      <c r="X55" s="335"/>
      <c r="Y55" s="335"/>
      <c r="Z55" s="335"/>
      <c r="AA55" s="335"/>
      <c r="AB55" s="335"/>
      <c r="AD55" s="335"/>
      <c r="AE55" s="335"/>
      <c r="AF55" s="335"/>
    </row>
    <row r="56" spans="1:32">
      <c r="A56" s="21" t="str">
        <f>$A$18</f>
        <v>All occupations</v>
      </c>
      <c r="B56" s="336">
        <f>IF(C$6-B$6 &lt;&gt; 0,(EXP(LN(C18/B18)/(C$6-B$6))-1)*100,0)</f>
        <v>1.3311698180238585</v>
      </c>
      <c r="C56" s="336">
        <f>IF(D$6-C$6 &lt;&gt; 0,(EXP(LN(D18/C18)/(D$6-C$6))-1)*100,0)</f>
        <v>-1.1686419909956003</v>
      </c>
      <c r="D56" s="336">
        <f>IF(E$6-D$6 &lt;&gt; 0,(EXP(LN(E18/D18)/(E$6-D$6))-1)*100,0)</f>
        <v>0.59245370532161612</v>
      </c>
      <c r="E56" s="336">
        <f>IF(F$6-E$6 &lt;&gt; 0,(EXP(LN(F18/E18)/(F$6-E$6))-1)*100,0)</f>
        <v>0.41967279423580361</v>
      </c>
      <c r="F56" s="336">
        <f t="shared" si="54"/>
        <v>0.47723343115717576</v>
      </c>
      <c r="H56" s="336">
        <f t="shared" si="51"/>
        <v>0.47723343115717576</v>
      </c>
      <c r="I56" s="336">
        <f t="shared" ref="I56" si="71">IF($F$6-$D$6 &lt;&gt; 0,(EXP(LN(1+(I36/100))/($F$6-$D$6))-1)*100,0)</f>
        <v>2.7599190411477625</v>
      </c>
      <c r="J56" s="336">
        <f t="shared" ref="J56" si="72">IF($F$6-$D$6 &lt;&gt; 0,(EXP(LN(1+(J36/100))/($F$6-$D$6))-1)*100,0)</f>
        <v>3.0895188746703939</v>
      </c>
      <c r="L56" s="21" t="str">
        <f>$A$18</f>
        <v>All occupations</v>
      </c>
      <c r="M56" s="336">
        <f>IF(N$6-M$6 &lt;&gt; 0,(EXP(LN(N18/M18)/(N$6-M$6))-1)*100,0)</f>
        <v>1.1301573635468465</v>
      </c>
      <c r="N56" s="336">
        <f>IF(O$6-N$6 &lt;&gt; 0,(EXP(LN(O18/N18)/(O$6-N$6))-1)*100,0)</f>
        <v>-1.975297509202556</v>
      </c>
      <c r="O56" s="336">
        <f>IF(P$6-O$6 &lt;&gt; 0,(EXP(LN(P18/O18)/(P$6-O$6))-1)*100,0)</f>
        <v>0.55035003671537464</v>
      </c>
      <c r="P56" s="336">
        <f>IF(Q$6-P$6 &lt;&gt; 0,(EXP(LN(Q18/P18)/(Q$6-P$6))-1)*100,0)</f>
        <v>0.35463380786957543</v>
      </c>
      <c r="Q56" s="336">
        <f t="shared" ref="Q56" si="73">IF(Q$6-O$6 &lt;&gt; 0,(EXP(LN(Q18/O18)/(Q$6-O$6))-1)*100,0)</f>
        <v>0.41983018617532952</v>
      </c>
      <c r="S56" s="336">
        <f t="shared" ref="S56:U56" si="74">IF($F$6-$D$6 &lt;&gt; 0,(EXP(LN(1+(S36/100))/($F$6-$D$6))-1)*100,0)</f>
        <v>0.41983018617532952</v>
      </c>
      <c r="T56" s="336">
        <f t="shared" si="74"/>
        <v>2.3668025961462114</v>
      </c>
      <c r="U56" s="336">
        <f t="shared" si="74"/>
        <v>2.6719905727177418</v>
      </c>
      <c r="W56" s="21" t="str">
        <f>$A$18</f>
        <v>All occupations</v>
      </c>
      <c r="X56" s="336">
        <f>IF(Y$6-X$6 &lt;&gt; 0,(EXP(LN(Y18/X18)/(Y$6-X$6))-1)*100,0)</f>
        <v>1.5535910225281446</v>
      </c>
      <c r="Y56" s="336">
        <f>IF(Z$6-Y$6 &lt;&gt; 0,(EXP(LN(Z18/Y18)/(Z$6-Y$6))-1)*100,0)</f>
        <v>-0.28534843837817458</v>
      </c>
      <c r="Z56" s="336">
        <f>IF(AA$6-Z$6 &lt;&gt; 0,(EXP(LN(AA18/Z18)/(AA$6-Z$6))-1)*100,0)</f>
        <v>0.63769752103508548</v>
      </c>
      <c r="AA56" s="336">
        <f>IF(AB$6-AA$6 &lt;&gt; 0,(EXP(LN(AB18/AA18)/(AB$6-AA$6))-1)*100,0)</f>
        <v>0.48896229887558373</v>
      </c>
      <c r="AB56" s="336">
        <f t="shared" ref="AB56" si="75">IF(AB$6-Z$6 &lt;&gt; 0,(EXP(LN(AB18/Z18)/(AB$6-Z$6))-1)*100,0)</f>
        <v>0.53851626577410272</v>
      </c>
      <c r="AD56" s="336">
        <f t="shared" ref="AD56:AF56" si="76">IF($F$6-$D$6 &lt;&gt; 0,(EXP(LN(1+(AD36/100))/($F$6-$D$6))-1)*100,0)</f>
        <v>0.53851626577410272</v>
      </c>
      <c r="AE56" s="336">
        <f t="shared" si="76"/>
        <v>3.1608075929145274</v>
      </c>
      <c r="AF56" s="336">
        <f t="shared" si="76"/>
        <v>3.5139901223437242</v>
      </c>
    </row>
    <row r="57" spans="1:32">
      <c r="B57" s="335"/>
      <c r="C57" s="335"/>
      <c r="D57" s="335"/>
      <c r="E57" s="335"/>
      <c r="F57" s="335"/>
      <c r="M57" s="335"/>
      <c r="N57" s="335"/>
      <c r="O57" s="335"/>
      <c r="P57" s="335"/>
      <c r="Q57" s="335"/>
      <c r="X57" s="335"/>
      <c r="Y57" s="335"/>
      <c r="Z57" s="335"/>
      <c r="AA57" s="335"/>
      <c r="AB57" s="335"/>
    </row>
    <row r="58" spans="1:32">
      <c r="B58" s="335"/>
      <c r="C58" s="335"/>
      <c r="D58" s="335"/>
      <c r="E58" s="335"/>
      <c r="F58" s="335"/>
      <c r="M58" s="335"/>
      <c r="N58" s="335"/>
      <c r="O58" s="335"/>
      <c r="P58" s="335"/>
      <c r="Q58" s="335"/>
      <c r="X58" s="335"/>
      <c r="Y58" s="335"/>
      <c r="Z58" s="335"/>
      <c r="AA58" s="335"/>
      <c r="AB58" s="335"/>
    </row>
    <row r="59" spans="1:32">
      <c r="B59" s="335"/>
      <c r="C59" s="335"/>
      <c r="D59" s="335"/>
      <c r="E59" s="335"/>
      <c r="F59" s="15" t="s">
        <v>114</v>
      </c>
      <c r="M59" s="335"/>
      <c r="N59" s="335"/>
      <c r="O59" s="335"/>
      <c r="P59" s="335"/>
      <c r="Q59" s="15" t="s">
        <v>114</v>
      </c>
      <c r="X59" s="335"/>
      <c r="Y59" s="335"/>
      <c r="Z59" s="335"/>
      <c r="AA59" s="335"/>
      <c r="AB59" s="15" t="s">
        <v>114</v>
      </c>
    </row>
    <row r="60" spans="1:32">
      <c r="A60" s="28"/>
      <c r="B60" s="342"/>
      <c r="C60" s="342"/>
      <c r="D60" s="342"/>
      <c r="E60" s="342"/>
      <c r="F60" s="342"/>
      <c r="L60" s="28"/>
      <c r="M60" s="342"/>
      <c r="N60" s="342"/>
      <c r="O60" s="342"/>
      <c r="P60" s="342"/>
      <c r="Q60" s="342"/>
      <c r="W60" s="28"/>
      <c r="X60" s="342"/>
      <c r="Y60" s="342"/>
      <c r="Z60" s="342"/>
      <c r="AA60" s="342"/>
      <c r="AB60" s="342"/>
    </row>
    <row r="62" spans="1:32" ht="12.95">
      <c r="A62" s="31" t="s">
        <v>126</v>
      </c>
      <c r="B62" s="51" t="str">
        <f>CONCATENATE(B$6,"-",C$6)</f>
        <v>2015-2019</v>
      </c>
      <c r="C62" s="51" t="str">
        <f>CONCATENATE(C$6,"-",D$6)</f>
        <v>2019-2020</v>
      </c>
      <c r="D62" s="51" t="str">
        <f>CONCATENATE(D$6,"-",E$6)</f>
        <v>2020-2025</v>
      </c>
      <c r="E62" s="51" t="str">
        <f>CONCATENATE(E$6,"-",F$6)</f>
        <v>2025-2035</v>
      </c>
      <c r="F62" s="51" t="str">
        <f>CONCATENATE(D$6,"-",F$6)</f>
        <v>2020-2035</v>
      </c>
      <c r="L62" s="31" t="s">
        <v>126</v>
      </c>
      <c r="M62" s="51" t="str">
        <f>CONCATENATE(M$6,"-",N$6)</f>
        <v>2015-2019</v>
      </c>
      <c r="N62" s="51" t="str">
        <f>CONCATENATE(N$6,"-",O$6)</f>
        <v>2019-2020</v>
      </c>
      <c r="O62" s="51" t="str">
        <f>CONCATENATE(O$6,"-",P$6)</f>
        <v>2020-2025</v>
      </c>
      <c r="P62" s="51" t="str">
        <f>CONCATENATE(P$6,"-",Q$6)</f>
        <v>2025-2035</v>
      </c>
      <c r="Q62" s="51" t="str">
        <f>CONCATENATE(O$6,"-",Q$6)</f>
        <v>2020-2035</v>
      </c>
      <c r="W62" s="31" t="s">
        <v>126</v>
      </c>
      <c r="X62" s="51" t="str">
        <f>CONCATENATE(X$6,"-",Y$6)</f>
        <v>2015-2019</v>
      </c>
      <c r="Y62" s="51" t="str">
        <f>CONCATENATE(Y$6,"-",Z$6)</f>
        <v>2019-2020</v>
      </c>
      <c r="Z62" s="51" t="str">
        <f>CONCATENATE(Z$6,"-",AA$6)</f>
        <v>2020-2025</v>
      </c>
      <c r="AA62" s="51" t="str">
        <f>CONCATENATE(AA$6,"-",AB$6)</f>
        <v>2025-2035</v>
      </c>
      <c r="AB62" s="51" t="str">
        <f>CONCATENATE(Z$6,"-",AB$6)</f>
        <v>2020-2035</v>
      </c>
    </row>
    <row r="63" spans="1:32" ht="12.95">
      <c r="A63" s="1"/>
      <c r="B63" s="18"/>
      <c r="C63" s="18"/>
      <c r="D63" s="18"/>
      <c r="E63" s="18"/>
      <c r="F63" s="18"/>
      <c r="L63" s="1"/>
      <c r="M63" s="18"/>
      <c r="N63" s="18"/>
      <c r="O63" s="18"/>
      <c r="P63" s="18"/>
      <c r="Q63" s="18"/>
      <c r="W63" s="1"/>
      <c r="X63" s="18"/>
      <c r="Y63" s="18"/>
      <c r="Z63" s="18"/>
      <c r="AA63" s="18"/>
      <c r="AB63" s="18"/>
    </row>
    <row r="64" spans="1:32">
      <c r="A64" t="str">
        <f>$A$8</f>
        <v>Managers, directors and senior officials</v>
      </c>
      <c r="B64" s="225">
        <f t="shared" ref="B64:E72" si="77">C8-B8</f>
        <v>418.83273656857364</v>
      </c>
      <c r="C64" s="225">
        <f t="shared" si="77"/>
        <v>65.726056561781661</v>
      </c>
      <c r="D64" s="225">
        <f t="shared" si="77"/>
        <v>-160.06685052298144</v>
      </c>
      <c r="E64" s="225">
        <f t="shared" si="77"/>
        <v>304.92631292593751</v>
      </c>
      <c r="F64" s="225">
        <f>F8-D8</f>
        <v>144.85946240295607</v>
      </c>
      <c r="L64" t="str">
        <f>$A$8</f>
        <v>Managers, directors and senior officials</v>
      </c>
      <c r="M64" s="225">
        <f t="shared" ref="M64:M72" si="78">N8-M8</f>
        <v>217.05399471172313</v>
      </c>
      <c r="N64" s="225">
        <f t="shared" ref="N64:N72" si="79">O8-N8</f>
        <v>7.6213886268328679</v>
      </c>
      <c r="O64" s="225">
        <f t="shared" ref="O64:O72" si="80">P8-O8</f>
        <v>-121.30515348823701</v>
      </c>
      <c r="P64" s="225">
        <f t="shared" ref="P64:P72" si="81">Q8-P8</f>
        <v>131.91886649282014</v>
      </c>
      <c r="Q64" s="225">
        <f>Q8-O8</f>
        <v>10.613713004583133</v>
      </c>
      <c r="W64" t="str">
        <f>$A$8</f>
        <v>Managers, directors and senior officials</v>
      </c>
      <c r="X64" s="225">
        <f t="shared" ref="X64:X72" si="82">Y8-X8</f>
        <v>201.77874185685005</v>
      </c>
      <c r="Y64" s="225">
        <f t="shared" ref="Y64:Y72" si="83">Z8-Y8</f>
        <v>58.104667934948338</v>
      </c>
      <c r="Z64" s="225">
        <f t="shared" ref="Z64:Z72" si="84">AA8-Z8</f>
        <v>-38.761697034744884</v>
      </c>
      <c r="AA64" s="225">
        <f t="shared" ref="AA64:AA72" si="85">AB8-AA8</f>
        <v>173.00744643311805</v>
      </c>
      <c r="AB64" s="225">
        <f>AB8-Z8</f>
        <v>134.24574939837316</v>
      </c>
    </row>
    <row r="65" spans="1:31">
      <c r="A65" t="str">
        <f>$A$9</f>
        <v>Professional occupations</v>
      </c>
      <c r="B65" s="225">
        <f t="shared" si="77"/>
        <v>832.93183202212731</v>
      </c>
      <c r="C65" s="225">
        <f t="shared" si="77"/>
        <v>306.20322192183176</v>
      </c>
      <c r="D65" s="225">
        <f t="shared" si="77"/>
        <v>545.72199411039401</v>
      </c>
      <c r="E65" s="225">
        <f t="shared" si="77"/>
        <v>789.05773848254648</v>
      </c>
      <c r="F65" s="225">
        <f t="shared" ref="F65:F72" si="86">F9-D9</f>
        <v>1334.7797325929405</v>
      </c>
      <c r="L65" t="str">
        <f>$A$9</f>
        <v>Professional occupations</v>
      </c>
      <c r="M65" s="225">
        <f t="shared" si="78"/>
        <v>392.15752106743821</v>
      </c>
      <c r="N65" s="225">
        <f t="shared" si="79"/>
        <v>120.70803991902403</v>
      </c>
      <c r="O65" s="225">
        <f t="shared" si="80"/>
        <v>381.50382889024104</v>
      </c>
      <c r="P65" s="225">
        <f t="shared" si="81"/>
        <v>364.32459038642901</v>
      </c>
      <c r="Q65" s="225">
        <f t="shared" ref="Q65:Q72" si="87">Q9-O9</f>
        <v>745.82841927667005</v>
      </c>
      <c r="W65" t="str">
        <f>$A$9</f>
        <v>Professional occupations</v>
      </c>
      <c r="X65" s="225">
        <f t="shared" si="82"/>
        <v>440.77431095470001</v>
      </c>
      <c r="Y65" s="225">
        <f t="shared" si="83"/>
        <v>185.49518200278726</v>
      </c>
      <c r="Z65" s="225">
        <f t="shared" si="84"/>
        <v>164.21816522016798</v>
      </c>
      <c r="AA65" s="225">
        <f t="shared" si="85"/>
        <v>424.73314809611065</v>
      </c>
      <c r="AB65" s="225">
        <f t="shared" ref="AB65:AB72" si="88">AB9-Z9</f>
        <v>588.95131331627863</v>
      </c>
    </row>
    <row r="66" spans="1:31">
      <c r="A66" t="str">
        <f>$A$10</f>
        <v>Associate professional occupations</v>
      </c>
      <c r="B66" s="225">
        <f t="shared" si="77"/>
        <v>293.21103937835869</v>
      </c>
      <c r="C66" s="225">
        <f t="shared" si="77"/>
        <v>182.23001936965147</v>
      </c>
      <c r="D66" s="225">
        <f t="shared" si="77"/>
        <v>226.65218552932311</v>
      </c>
      <c r="E66" s="225">
        <f t="shared" si="77"/>
        <v>397.9640874896304</v>
      </c>
      <c r="F66" s="225">
        <f t="shared" si="86"/>
        <v>624.61627301895351</v>
      </c>
      <c r="L66" t="str">
        <f>$A$10</f>
        <v>Associate professional occupations</v>
      </c>
      <c r="M66" s="225">
        <f t="shared" si="78"/>
        <v>124.93198240136417</v>
      </c>
      <c r="N66" s="225">
        <f t="shared" si="79"/>
        <v>80.07422765563706</v>
      </c>
      <c r="O66" s="225">
        <f t="shared" si="80"/>
        <v>-72.934984396651544</v>
      </c>
      <c r="P66" s="225">
        <f t="shared" si="81"/>
        <v>82.929553882305754</v>
      </c>
      <c r="Q66" s="225">
        <f t="shared" si="87"/>
        <v>9.9945694856542104</v>
      </c>
      <c r="W66" t="str">
        <f>$A$10</f>
        <v>Associate professional occupations</v>
      </c>
      <c r="X66" s="225">
        <f t="shared" si="82"/>
        <v>168.27905697699543</v>
      </c>
      <c r="Y66" s="225">
        <f t="shared" si="83"/>
        <v>102.15579171401487</v>
      </c>
      <c r="Z66" s="225">
        <f t="shared" si="84"/>
        <v>299.58716992598193</v>
      </c>
      <c r="AA66" s="225">
        <f t="shared" si="85"/>
        <v>315.03453360732146</v>
      </c>
      <c r="AB66" s="225">
        <f t="shared" si="88"/>
        <v>614.62170353330339</v>
      </c>
    </row>
    <row r="67" spans="1:31">
      <c r="A67" t="str">
        <f>$A$11</f>
        <v>Administrative and secretarial occupations</v>
      </c>
      <c r="B67" s="225">
        <f t="shared" si="77"/>
        <v>-88.587134656134367</v>
      </c>
      <c r="C67" s="225">
        <f t="shared" si="77"/>
        <v>78.69986263976125</v>
      </c>
      <c r="D67" s="225">
        <f t="shared" si="77"/>
        <v>43.92393350589964</v>
      </c>
      <c r="E67" s="225">
        <f t="shared" si="77"/>
        <v>-177.20620881663399</v>
      </c>
      <c r="F67" s="225">
        <f t="shared" si="86"/>
        <v>-133.28227531073435</v>
      </c>
      <c r="L67" t="str">
        <f>$A$11</f>
        <v>Administrative and secretarial occupations</v>
      </c>
      <c r="M67" s="225">
        <f t="shared" si="78"/>
        <v>-42.847026525938873</v>
      </c>
      <c r="N67" s="225">
        <f t="shared" si="79"/>
        <v>123.07157929081109</v>
      </c>
      <c r="O67" s="225">
        <f t="shared" si="80"/>
        <v>53.292932662186331</v>
      </c>
      <c r="P67" s="225">
        <f t="shared" si="81"/>
        <v>95.624141943066434</v>
      </c>
      <c r="Q67" s="225">
        <f t="shared" si="87"/>
        <v>148.91707460525276</v>
      </c>
      <c r="W67" t="str">
        <f>$A$11</f>
        <v>Administrative and secretarial occupations</v>
      </c>
      <c r="X67" s="225">
        <f t="shared" si="82"/>
        <v>-45.74010813019504</v>
      </c>
      <c r="Y67" s="225">
        <f t="shared" si="83"/>
        <v>-44.371716651045972</v>
      </c>
      <c r="Z67" s="225">
        <f t="shared" si="84"/>
        <v>-9.3689991562823707</v>
      </c>
      <c r="AA67" s="225">
        <f t="shared" si="85"/>
        <v>-272.83035075970361</v>
      </c>
      <c r="AB67" s="225">
        <f t="shared" si="88"/>
        <v>-282.19934991598598</v>
      </c>
    </row>
    <row r="68" spans="1:31">
      <c r="A68" t="str">
        <f>$A$12</f>
        <v>Skilled trades occupations</v>
      </c>
      <c r="B68" s="225">
        <f t="shared" si="77"/>
        <v>-38.919501869974283</v>
      </c>
      <c r="C68" s="225">
        <f t="shared" si="77"/>
        <v>-343.4392535090642</v>
      </c>
      <c r="D68" s="225">
        <f t="shared" si="77"/>
        <v>30.5592938875252</v>
      </c>
      <c r="E68" s="225">
        <f t="shared" si="77"/>
        <v>-68.132155315010095</v>
      </c>
      <c r="F68" s="225">
        <f t="shared" si="86"/>
        <v>-37.572861427484895</v>
      </c>
      <c r="L68" t="str">
        <f>$A$12</f>
        <v>Skilled trades occupations</v>
      </c>
      <c r="M68" s="225">
        <f t="shared" si="78"/>
        <v>-40.499683244261178</v>
      </c>
      <c r="N68" s="225">
        <f t="shared" si="79"/>
        <v>-354.32153139203092</v>
      </c>
      <c r="O68" s="225">
        <f t="shared" si="80"/>
        <v>7.0493824406134991</v>
      </c>
      <c r="P68" s="225">
        <f t="shared" si="81"/>
        <v>-100.02663513028665</v>
      </c>
      <c r="Q68" s="225">
        <f t="shared" si="87"/>
        <v>-92.977252689673151</v>
      </c>
      <c r="W68" t="str">
        <f>$A$12</f>
        <v>Skilled trades occupations</v>
      </c>
      <c r="X68" s="225">
        <f t="shared" si="82"/>
        <v>1.5801813742905892</v>
      </c>
      <c r="Y68" s="225">
        <f t="shared" si="83"/>
        <v>10.882277882960807</v>
      </c>
      <c r="Z68" s="225">
        <f t="shared" si="84"/>
        <v>23.509911446916135</v>
      </c>
      <c r="AA68" s="225">
        <f t="shared" si="85"/>
        <v>31.894479815275247</v>
      </c>
      <c r="AB68" s="225">
        <f t="shared" si="88"/>
        <v>55.404391262191382</v>
      </c>
    </row>
    <row r="69" spans="1:31">
      <c r="A69" t="str">
        <f>$A$13</f>
        <v>Caring, leisure and other service occupations</v>
      </c>
      <c r="B69" s="225">
        <f t="shared" si="77"/>
        <v>108.49918964433209</v>
      </c>
      <c r="C69" s="225">
        <f t="shared" si="77"/>
        <v>-116.47150687251224</v>
      </c>
      <c r="D69" s="225">
        <f t="shared" si="77"/>
        <v>53.633602642600636</v>
      </c>
      <c r="E69" s="225">
        <f t="shared" si="77"/>
        <v>187.81911775576418</v>
      </c>
      <c r="F69" s="225">
        <f t="shared" si="86"/>
        <v>241.45272039836482</v>
      </c>
      <c r="L69" t="str">
        <f>$A$13</f>
        <v>Caring, leisure and other service occupations</v>
      </c>
      <c r="M69" s="225">
        <f t="shared" si="78"/>
        <v>28.85515773240877</v>
      </c>
      <c r="N69" s="225">
        <f t="shared" si="79"/>
        <v>-12.865817691352731</v>
      </c>
      <c r="O69" s="225">
        <f t="shared" si="80"/>
        <v>47.684484277903266</v>
      </c>
      <c r="P69" s="225">
        <f t="shared" si="81"/>
        <v>78.443124459545061</v>
      </c>
      <c r="Q69" s="225">
        <f t="shared" si="87"/>
        <v>126.12760873744833</v>
      </c>
      <c r="W69" t="str">
        <f>$A$13</f>
        <v>Caring, leisure and other service occupations</v>
      </c>
      <c r="X69" s="225">
        <f t="shared" si="82"/>
        <v>79.644031911922866</v>
      </c>
      <c r="Y69" s="225">
        <f t="shared" si="83"/>
        <v>-103.60568918115359</v>
      </c>
      <c r="Z69" s="225">
        <f t="shared" si="84"/>
        <v>5.9491183646973695</v>
      </c>
      <c r="AA69" s="225">
        <f t="shared" si="85"/>
        <v>109.37599329622481</v>
      </c>
      <c r="AB69" s="225">
        <f t="shared" si="88"/>
        <v>115.32511166092218</v>
      </c>
    </row>
    <row r="70" spans="1:31">
      <c r="A70" t="str">
        <f>$A$14</f>
        <v>Sales and customer service occupations</v>
      </c>
      <c r="B70" s="225">
        <f t="shared" si="77"/>
        <v>-60.652574215101595</v>
      </c>
      <c r="C70" s="225">
        <f t="shared" si="77"/>
        <v>-27.213295661623306</v>
      </c>
      <c r="D70" s="225">
        <f t="shared" si="77"/>
        <v>31.845539791700503</v>
      </c>
      <c r="E70" s="225">
        <f t="shared" si="77"/>
        <v>12.552285195426521</v>
      </c>
      <c r="F70" s="225">
        <f t="shared" si="86"/>
        <v>44.397824987127024</v>
      </c>
      <c r="L70" t="str">
        <f>$A$14</f>
        <v>Sales and customer service occupations</v>
      </c>
      <c r="M70" s="225">
        <f t="shared" si="78"/>
        <v>-15.588072174369699</v>
      </c>
      <c r="N70" s="225">
        <f t="shared" si="79"/>
        <v>12.047940572868583</v>
      </c>
      <c r="O70" s="225">
        <f t="shared" si="80"/>
        <v>44.192897610386467</v>
      </c>
      <c r="P70" s="225">
        <f t="shared" si="81"/>
        <v>38.851731531360883</v>
      </c>
      <c r="Q70" s="225">
        <f t="shared" si="87"/>
        <v>83.04462914174735</v>
      </c>
      <c r="W70" t="str">
        <f>$A$14</f>
        <v>Sales and customer service occupations</v>
      </c>
      <c r="X70" s="225">
        <f t="shared" si="82"/>
        <v>-45.064502040734396</v>
      </c>
      <c r="Y70" s="225">
        <f t="shared" si="83"/>
        <v>-39.261236234490525</v>
      </c>
      <c r="Z70" s="225">
        <f t="shared" si="84"/>
        <v>-12.34735781868585</v>
      </c>
      <c r="AA70" s="225">
        <f t="shared" si="85"/>
        <v>-26.299446335938228</v>
      </c>
      <c r="AB70" s="225">
        <f t="shared" si="88"/>
        <v>-38.646804154624078</v>
      </c>
    </row>
    <row r="71" spans="1:31">
      <c r="A71" t="str">
        <f>$A$15</f>
        <v>Process, plant and machine operatives</v>
      </c>
      <c r="B71" s="225">
        <f t="shared" si="77"/>
        <v>103.22237952410114</v>
      </c>
      <c r="C71" s="225">
        <f t="shared" si="77"/>
        <v>-204.75878330981504</v>
      </c>
      <c r="D71" s="225">
        <f t="shared" si="77"/>
        <v>58.485771449196363</v>
      </c>
      <c r="E71" s="225">
        <f t="shared" si="77"/>
        <v>-59.309961601648638</v>
      </c>
      <c r="F71" s="225">
        <f t="shared" si="86"/>
        <v>-0.82419015245227456</v>
      </c>
      <c r="L71" t="str">
        <f>$A$15</f>
        <v>Process, plant and machine operatives</v>
      </c>
      <c r="M71" s="225">
        <f t="shared" si="78"/>
        <v>95.719164178595065</v>
      </c>
      <c r="N71" s="225">
        <f t="shared" si="79"/>
        <v>-177.8892593614969</v>
      </c>
      <c r="O71" s="225">
        <f t="shared" si="80"/>
        <v>14.027589484739337</v>
      </c>
      <c r="P71" s="225">
        <f t="shared" si="81"/>
        <v>-68.591802294389709</v>
      </c>
      <c r="Q71" s="225">
        <f t="shared" si="87"/>
        <v>-54.564212809650371</v>
      </c>
      <c r="W71" t="str">
        <f>$A$15</f>
        <v>Process, plant and machine operatives</v>
      </c>
      <c r="X71" s="225">
        <f t="shared" si="82"/>
        <v>7.5032153455055095</v>
      </c>
      <c r="Y71" s="225">
        <f t="shared" si="83"/>
        <v>-26.869523948317635</v>
      </c>
      <c r="Z71" s="225">
        <f t="shared" si="84"/>
        <v>44.458181964463364</v>
      </c>
      <c r="AA71" s="225">
        <f t="shared" si="85"/>
        <v>9.2818406927372337</v>
      </c>
      <c r="AB71" s="225">
        <f t="shared" si="88"/>
        <v>53.740022657200598</v>
      </c>
    </row>
    <row r="72" spans="1:31">
      <c r="A72" t="str">
        <f>$A$16</f>
        <v>Elementary occupations</v>
      </c>
      <c r="B72" s="225">
        <f t="shared" si="77"/>
        <v>-11.949966400184621</v>
      </c>
      <c r="C72" s="225">
        <f t="shared" si="77"/>
        <v>-294.05532113866548</v>
      </c>
      <c r="D72" s="225">
        <f t="shared" si="77"/>
        <v>64.311529621827503</v>
      </c>
      <c r="E72" s="225">
        <f t="shared" si="77"/>
        <v>-72.328216114202405</v>
      </c>
      <c r="F72" s="225">
        <f t="shared" si="86"/>
        <v>-8.0166864923749017</v>
      </c>
      <c r="L72" t="str">
        <f>$A$16</f>
        <v>Elementary occupations</v>
      </c>
      <c r="M72" s="225">
        <f t="shared" si="78"/>
        <v>-65.633038148703008</v>
      </c>
      <c r="N72" s="225">
        <f t="shared" si="79"/>
        <v>-110.37456761939711</v>
      </c>
      <c r="O72" s="225">
        <f t="shared" si="80"/>
        <v>77.161022521365567</v>
      </c>
      <c r="P72" s="225">
        <f t="shared" si="81"/>
        <v>-50.154571271782515</v>
      </c>
      <c r="Q72" s="225">
        <f t="shared" si="87"/>
        <v>27.006451249583051</v>
      </c>
      <c r="W72" t="str">
        <f>$A$16</f>
        <v>Elementary occupations</v>
      </c>
      <c r="X72" s="225">
        <f t="shared" si="82"/>
        <v>53.683071748517477</v>
      </c>
      <c r="Y72" s="225">
        <f t="shared" si="83"/>
        <v>-183.68075351927519</v>
      </c>
      <c r="Z72" s="225">
        <f t="shared" si="84"/>
        <v>-12.849492899534198</v>
      </c>
      <c r="AA72" s="225">
        <f t="shared" si="85"/>
        <v>-22.173644842406475</v>
      </c>
      <c r="AB72" s="225">
        <f t="shared" si="88"/>
        <v>-35.023137741940673</v>
      </c>
    </row>
    <row r="73" spans="1:31">
      <c r="B73" s="225"/>
      <c r="C73" s="225"/>
      <c r="D73" s="225"/>
      <c r="E73" s="225"/>
      <c r="F73" s="225"/>
      <c r="M73" s="225"/>
      <c r="N73" s="225"/>
      <c r="O73" s="225"/>
      <c r="P73" s="225"/>
      <c r="Q73" s="225"/>
      <c r="X73" s="225"/>
      <c r="Y73" s="225"/>
      <c r="Z73" s="225"/>
      <c r="AA73" s="225"/>
      <c r="AB73" s="225"/>
    </row>
    <row r="74" spans="1:31">
      <c r="A74" s="21" t="str">
        <f>$A$18</f>
        <v>All occupations</v>
      </c>
      <c r="B74" s="337">
        <f>C18-B18</f>
        <v>1556.5879999961035</v>
      </c>
      <c r="C74" s="337">
        <f t="shared" ref="C74" si="89">D18-C18</f>
        <v>-353.07899999865185</v>
      </c>
      <c r="D74" s="337">
        <f>E18-D18</f>
        <v>895.0670000154787</v>
      </c>
      <c r="E74" s="337">
        <f>F18-E18</f>
        <v>1315.3430000018088</v>
      </c>
      <c r="F74" s="337">
        <f>F18-D18</f>
        <v>2210.4100000172875</v>
      </c>
      <c r="L74" s="21" t="str">
        <f>$A$18</f>
        <v>All occupations</v>
      </c>
      <c r="M74" s="337">
        <f>N18-M18</f>
        <v>694.14999999825704</v>
      </c>
      <c r="N74" s="337">
        <f t="shared" ref="N74" si="90">O18-N18</f>
        <v>-311.92799999910312</v>
      </c>
      <c r="O74" s="337">
        <f>P18-O18</f>
        <v>430.67200000254525</v>
      </c>
      <c r="P74" s="337">
        <f>Q18-P18</f>
        <v>573.31899999907</v>
      </c>
      <c r="Q74" s="337">
        <f>Q18-O18</f>
        <v>1003.9910000016152</v>
      </c>
      <c r="W74" s="21" t="str">
        <f>$A$18</f>
        <v>All occupations</v>
      </c>
      <c r="X74" s="337">
        <f>Y18-X18</f>
        <v>862.43799999784824</v>
      </c>
      <c r="Y74" s="337">
        <f t="shared" ref="Y74" si="91">Z18-Y18</f>
        <v>-41.15099999956692</v>
      </c>
      <c r="Z74" s="337">
        <f>AA18-Z18</f>
        <v>464.39500001297711</v>
      </c>
      <c r="AA74" s="337">
        <f>AB18-AA18</f>
        <v>742.02400000273883</v>
      </c>
      <c r="AB74" s="337">
        <f>AB18-Z18</f>
        <v>1206.4190000157159</v>
      </c>
    </row>
    <row r="78" spans="1:31" ht="12.95">
      <c r="D78" s="1" t="s">
        <v>115</v>
      </c>
      <c r="H78" s="31" t="s">
        <v>116</v>
      </c>
      <c r="O78" s="1" t="s">
        <v>115</v>
      </c>
      <c r="S78" s="31" t="s">
        <v>116</v>
      </c>
      <c r="Z78" s="1" t="s">
        <v>115</v>
      </c>
      <c r="AD78" s="31" t="s">
        <v>116</v>
      </c>
    </row>
    <row r="79" spans="1:31" ht="12.95">
      <c r="A79" s="19"/>
      <c r="B79" s="20">
        <f>B6</f>
        <v>2015</v>
      </c>
      <c r="C79" s="20">
        <f>C6</f>
        <v>2019</v>
      </c>
      <c r="D79" s="20">
        <f>D6</f>
        <v>2020</v>
      </c>
      <c r="E79" s="20">
        <f>E6</f>
        <v>2025</v>
      </c>
      <c r="F79" s="20">
        <f>F6</f>
        <v>2035</v>
      </c>
      <c r="H79" s="59" t="str">
        <f>CONCATENATE(B$6,"-",D$6)</f>
        <v>2015-2020</v>
      </c>
      <c r="I79" s="59" t="str">
        <f>F44</f>
        <v>2020-2035</v>
      </c>
      <c r="L79" s="19"/>
      <c r="M79" s="20">
        <f>M6</f>
        <v>2015</v>
      </c>
      <c r="N79" s="20">
        <f>N6</f>
        <v>2019</v>
      </c>
      <c r="O79" s="20">
        <f>O6</f>
        <v>2020</v>
      </c>
      <c r="P79" s="20">
        <f>P6</f>
        <v>2025</v>
      </c>
      <c r="Q79" s="20">
        <f>Q6</f>
        <v>2035</v>
      </c>
      <c r="S79" s="59" t="str">
        <f>CONCATENATE(M$6,"-",O$6)</f>
        <v>2015-2020</v>
      </c>
      <c r="T79" s="59" t="str">
        <f>Q44</f>
        <v>2020-2035</v>
      </c>
      <c r="W79" s="19"/>
      <c r="X79" s="20">
        <f>X6</f>
        <v>2015</v>
      </c>
      <c r="Y79" s="20">
        <f>Y6</f>
        <v>2019</v>
      </c>
      <c r="Z79" s="20">
        <f>Z6</f>
        <v>2020</v>
      </c>
      <c r="AA79" s="20">
        <f>AA6</f>
        <v>2025</v>
      </c>
      <c r="AB79" s="20">
        <f>AB6</f>
        <v>2035</v>
      </c>
      <c r="AD79" s="59" t="str">
        <f>CONCATENATE(X$6,"-",Z$6)</f>
        <v>2015-2020</v>
      </c>
      <c r="AE79" s="59" t="str">
        <f>AB44</f>
        <v>2020-2035</v>
      </c>
    </row>
    <row r="80" spans="1:31">
      <c r="A80" t="str">
        <f t="shared" ref="A80:F88" si="92">A8</f>
        <v>Managers, directors and senior officials</v>
      </c>
      <c r="B80" s="11">
        <f t="shared" si="92"/>
        <v>2822.954966620724</v>
      </c>
      <c r="C80" s="11">
        <f t="shared" si="92"/>
        <v>3241.7877031892976</v>
      </c>
      <c r="D80" s="11">
        <f t="shared" si="92"/>
        <v>3307.5137597510793</v>
      </c>
      <c r="E80" s="11">
        <f t="shared" si="92"/>
        <v>3147.4469092280979</v>
      </c>
      <c r="F80" s="11">
        <f t="shared" si="92"/>
        <v>3452.3732221540354</v>
      </c>
      <c r="H80" s="30">
        <f>IF(D$6-B$6 &lt;&gt; 0,(EXP(LN(D8/B8)/(D$6-B$6))-1)*100,0)</f>
        <v>3.2189749617711483</v>
      </c>
      <c r="I80" s="30">
        <f t="shared" ref="I80:I88" si="93">F46</f>
        <v>0.28617609001266864</v>
      </c>
      <c r="L80" t="str">
        <f t="shared" ref="L80:Q88" si="94">L8</f>
        <v>Managers, directors and senior officials</v>
      </c>
      <c r="M80" s="11">
        <f t="shared" si="94"/>
        <v>1873.7942274513757</v>
      </c>
      <c r="N80" s="11">
        <f t="shared" si="94"/>
        <v>2090.8482221630989</v>
      </c>
      <c r="O80" s="11">
        <f t="shared" si="94"/>
        <v>2098.4696107899317</v>
      </c>
      <c r="P80" s="11">
        <f t="shared" si="94"/>
        <v>1977.1644573016947</v>
      </c>
      <c r="Q80" s="11">
        <f t="shared" si="94"/>
        <v>2109.0833237945149</v>
      </c>
      <c r="S80" s="30">
        <f t="shared" ref="S80:S88" si="95">IF(O$6-M$6 &lt;&gt; 0,(EXP(LN(O8/M8)/(O$6-M$6))-1)*100,0)</f>
        <v>2.2907016303892025</v>
      </c>
      <c r="T80" s="30">
        <f t="shared" ref="T80:T88" si="96">Q46</f>
        <v>3.3639570837062927E-2</v>
      </c>
      <c r="W80" t="str">
        <f t="shared" ref="W80:AB88" si="97">W8</f>
        <v>Managers, directors and senior officials</v>
      </c>
      <c r="X80" s="11">
        <f t="shared" si="97"/>
        <v>949.16073916934988</v>
      </c>
      <c r="Y80" s="11">
        <f t="shared" si="97"/>
        <v>1150.9394810261999</v>
      </c>
      <c r="Z80" s="11">
        <f t="shared" si="97"/>
        <v>1209.0441489611483</v>
      </c>
      <c r="AA80" s="11">
        <f t="shared" si="97"/>
        <v>1170.2824519264034</v>
      </c>
      <c r="AB80" s="11">
        <f t="shared" si="97"/>
        <v>1343.2898983595214</v>
      </c>
      <c r="AD80" s="30">
        <f t="shared" ref="AD80:AD88" si="98">IF(Z$6-X$6 &lt;&gt; 0,(EXP(LN(Z8/X8)/(Z$6-X$6))-1)*100,0)</f>
        <v>4.9591920031619274</v>
      </c>
      <c r="AE80" s="30">
        <f t="shared" ref="AE80:AE88" si="99">AB46</f>
        <v>0.70441383884809472</v>
      </c>
    </row>
    <row r="81" spans="1:31">
      <c r="A81" t="str">
        <f t="shared" si="92"/>
        <v>Professional occupations</v>
      </c>
      <c r="B81" s="11">
        <f t="shared" si="92"/>
        <v>5913.2437820431533</v>
      </c>
      <c r="C81" s="11">
        <f t="shared" si="92"/>
        <v>6746.1756140652806</v>
      </c>
      <c r="D81" s="11">
        <f t="shared" si="92"/>
        <v>7052.3788359871123</v>
      </c>
      <c r="E81" s="11">
        <f t="shared" si="92"/>
        <v>7598.1008300975063</v>
      </c>
      <c r="F81" s="11">
        <f t="shared" si="92"/>
        <v>8387.1585685800528</v>
      </c>
      <c r="H81" s="30">
        <f t="shared" ref="H81:H88" si="100">IF(D$6-B$6 &lt;&gt; 0,(EXP(LN(D9/B9)/(D$6-B$6))-1)*100,0)</f>
        <v>3.5862163181135776</v>
      </c>
      <c r="I81" s="30">
        <f t="shared" si="93"/>
        <v>1.1622813431281021</v>
      </c>
      <c r="L81" t="str">
        <f t="shared" si="94"/>
        <v>Professional occupations</v>
      </c>
      <c r="M81" s="11">
        <f t="shared" si="94"/>
        <v>3072.3892429772977</v>
      </c>
      <c r="N81" s="11">
        <f t="shared" si="94"/>
        <v>3464.5467640447359</v>
      </c>
      <c r="O81" s="11">
        <f t="shared" si="94"/>
        <v>3585.25480396376</v>
      </c>
      <c r="P81" s="11">
        <f t="shared" si="94"/>
        <v>3966.758632854001</v>
      </c>
      <c r="Q81" s="11">
        <f t="shared" si="94"/>
        <v>4331.08322324043</v>
      </c>
      <c r="S81" s="30">
        <f t="shared" si="95"/>
        <v>3.1356376708486344</v>
      </c>
      <c r="T81" s="30">
        <f t="shared" si="96"/>
        <v>1.2678913163461925</v>
      </c>
      <c r="W81" t="str">
        <f t="shared" si="97"/>
        <v>Professional occupations</v>
      </c>
      <c r="X81" s="11">
        <f t="shared" si="97"/>
        <v>2840.8545390658555</v>
      </c>
      <c r="Y81" s="11">
        <f t="shared" si="97"/>
        <v>3281.6288500205555</v>
      </c>
      <c r="Z81" s="11">
        <f t="shared" si="97"/>
        <v>3467.1240320233428</v>
      </c>
      <c r="AA81" s="11">
        <f t="shared" si="97"/>
        <v>3631.3421972435108</v>
      </c>
      <c r="AB81" s="11">
        <f t="shared" si="97"/>
        <v>4056.0753453396214</v>
      </c>
      <c r="AD81" s="30">
        <f t="shared" si="98"/>
        <v>4.0648532794815839</v>
      </c>
      <c r="AE81" s="30">
        <f t="shared" si="99"/>
        <v>1.0514250398445224</v>
      </c>
    </row>
    <row r="82" spans="1:31">
      <c r="A82" t="str">
        <f t="shared" si="92"/>
        <v>Associate professional occupations</v>
      </c>
      <c r="B82" s="11">
        <f t="shared" si="92"/>
        <v>3673.0788633877005</v>
      </c>
      <c r="C82" s="11">
        <f t="shared" si="92"/>
        <v>3966.2899027660592</v>
      </c>
      <c r="D82" s="11">
        <f t="shared" si="92"/>
        <v>4148.5199221357107</v>
      </c>
      <c r="E82" s="11">
        <f t="shared" si="92"/>
        <v>4375.1721076650338</v>
      </c>
      <c r="F82" s="11">
        <f t="shared" si="92"/>
        <v>4773.1361951546642</v>
      </c>
      <c r="H82" s="30">
        <f t="shared" si="100"/>
        <v>2.4643018740011069</v>
      </c>
      <c r="I82" s="30">
        <f t="shared" si="93"/>
        <v>0.93939788051264905</v>
      </c>
      <c r="L82" t="str">
        <f t="shared" si="94"/>
        <v>Associate professional occupations</v>
      </c>
      <c r="M82" s="11">
        <f t="shared" si="94"/>
        <v>1992.8277048640794</v>
      </c>
      <c r="N82" s="11">
        <f t="shared" si="94"/>
        <v>2117.7596872654435</v>
      </c>
      <c r="O82" s="11">
        <f t="shared" si="94"/>
        <v>2197.8339149210806</v>
      </c>
      <c r="P82" s="11">
        <f t="shared" si="94"/>
        <v>2124.898930524429</v>
      </c>
      <c r="Q82" s="11">
        <f t="shared" si="94"/>
        <v>2207.8284844067348</v>
      </c>
      <c r="S82" s="30">
        <f t="shared" si="95"/>
        <v>1.9776556224210706</v>
      </c>
      <c r="T82" s="30">
        <f t="shared" si="96"/>
        <v>3.0252275197439893E-2</v>
      </c>
      <c r="W82" t="str">
        <f t="shared" si="97"/>
        <v>Associate professional occupations</v>
      </c>
      <c r="X82" s="11">
        <f t="shared" si="97"/>
        <v>1680.2511585236171</v>
      </c>
      <c r="Y82" s="11">
        <f t="shared" si="97"/>
        <v>1848.5302155006125</v>
      </c>
      <c r="Z82" s="11">
        <f t="shared" si="97"/>
        <v>1950.6860072146274</v>
      </c>
      <c r="AA82" s="11">
        <f t="shared" si="97"/>
        <v>2250.2731771406093</v>
      </c>
      <c r="AB82" s="11">
        <f t="shared" si="97"/>
        <v>2565.3077107479307</v>
      </c>
      <c r="AD82" s="30">
        <f t="shared" si="98"/>
        <v>3.0297469189382475</v>
      </c>
      <c r="AE82" s="30">
        <f t="shared" si="99"/>
        <v>1.842755172055166</v>
      </c>
    </row>
    <row r="83" spans="1:31">
      <c r="A83" t="str">
        <f t="shared" si="92"/>
        <v>Administrative and secretarial occupations</v>
      </c>
      <c r="B83" s="11">
        <f t="shared" si="92"/>
        <v>3149.4937606467911</v>
      </c>
      <c r="C83" s="11">
        <f t="shared" si="92"/>
        <v>3060.9066259906567</v>
      </c>
      <c r="D83" s="11">
        <f t="shared" si="92"/>
        <v>3139.606488630418</v>
      </c>
      <c r="E83" s="11">
        <f t="shared" si="92"/>
        <v>3183.5304221363176</v>
      </c>
      <c r="F83" s="11">
        <f t="shared" si="92"/>
        <v>3006.3242133196836</v>
      </c>
      <c r="H83" s="30">
        <f t="shared" si="100"/>
        <v>-6.2865412252421926E-2</v>
      </c>
      <c r="I83" s="30">
        <f t="shared" si="93"/>
        <v>-0.28877775964678554</v>
      </c>
      <c r="L83" t="str">
        <f t="shared" si="94"/>
        <v>Administrative and secretarial occupations</v>
      </c>
      <c r="M83" s="11">
        <f t="shared" si="94"/>
        <v>773.93002752520397</v>
      </c>
      <c r="N83" s="11">
        <f t="shared" si="94"/>
        <v>731.0830009992651</v>
      </c>
      <c r="O83" s="11">
        <f t="shared" si="94"/>
        <v>854.15458029007618</v>
      </c>
      <c r="P83" s="11">
        <f t="shared" si="94"/>
        <v>907.44751295226251</v>
      </c>
      <c r="Q83" s="11">
        <f t="shared" si="94"/>
        <v>1003.0716548953289</v>
      </c>
      <c r="S83" s="30">
        <f t="shared" si="95"/>
        <v>1.9921989814178476</v>
      </c>
      <c r="T83" s="30">
        <f t="shared" si="96"/>
        <v>1.0771603201422675</v>
      </c>
      <c r="W83" t="str">
        <f t="shared" si="97"/>
        <v>Administrative and secretarial occupations</v>
      </c>
      <c r="X83" s="11">
        <f t="shared" si="97"/>
        <v>2375.5637331215821</v>
      </c>
      <c r="Y83" s="11">
        <f t="shared" si="97"/>
        <v>2329.8236249913871</v>
      </c>
      <c r="Z83" s="11">
        <f t="shared" si="97"/>
        <v>2285.4519083403411</v>
      </c>
      <c r="AA83" s="11">
        <f t="shared" si="97"/>
        <v>2276.0829091840587</v>
      </c>
      <c r="AB83" s="11">
        <f t="shared" si="97"/>
        <v>2003.2525584243551</v>
      </c>
      <c r="AD83" s="30">
        <f t="shared" si="98"/>
        <v>-0.77043668706973101</v>
      </c>
      <c r="AE83" s="30">
        <f t="shared" si="99"/>
        <v>-0.8747624115376218</v>
      </c>
    </row>
    <row r="84" spans="1:31">
      <c r="A84" t="str">
        <f t="shared" si="92"/>
        <v>Skilled trades occupations</v>
      </c>
      <c r="B84" s="11">
        <f t="shared" si="92"/>
        <v>2889.6909563037434</v>
      </c>
      <c r="C84" s="11">
        <f t="shared" si="92"/>
        <v>2850.7714544337691</v>
      </c>
      <c r="D84" s="11">
        <f t="shared" si="92"/>
        <v>2507.3322009247049</v>
      </c>
      <c r="E84" s="11">
        <f t="shared" si="92"/>
        <v>2537.8914948122301</v>
      </c>
      <c r="F84" s="11">
        <f t="shared" si="92"/>
        <v>2469.75933949722</v>
      </c>
      <c r="H84" s="30">
        <f t="shared" si="100"/>
        <v>-2.7986949552972873</v>
      </c>
      <c r="I84" s="30">
        <f t="shared" si="93"/>
        <v>-0.10060673911935769</v>
      </c>
      <c r="L84" t="str">
        <f t="shared" si="94"/>
        <v>Skilled trades occupations</v>
      </c>
      <c r="M84" s="11">
        <f t="shared" si="94"/>
        <v>2579.9320586691183</v>
      </c>
      <c r="N84" s="11">
        <f t="shared" si="94"/>
        <v>2539.4323754248571</v>
      </c>
      <c r="O84" s="11">
        <f t="shared" si="94"/>
        <v>2185.1108440328262</v>
      </c>
      <c r="P84" s="11">
        <f t="shared" si="94"/>
        <v>2192.1602264734397</v>
      </c>
      <c r="Q84" s="11">
        <f t="shared" si="94"/>
        <v>2092.1335913431531</v>
      </c>
      <c r="S84" s="30">
        <f t="shared" si="95"/>
        <v>-3.2673599889672</v>
      </c>
      <c r="T84" s="30">
        <f t="shared" si="96"/>
        <v>-0.28946128021184458</v>
      </c>
      <c r="W84" t="str">
        <f t="shared" si="97"/>
        <v>Skilled trades occupations</v>
      </c>
      <c r="X84" s="11">
        <f t="shared" si="97"/>
        <v>309.75889763462612</v>
      </c>
      <c r="Y84" s="11">
        <f t="shared" si="97"/>
        <v>311.33907900891671</v>
      </c>
      <c r="Z84" s="11">
        <f t="shared" si="97"/>
        <v>322.22135689187752</v>
      </c>
      <c r="AA84" s="11">
        <f t="shared" si="97"/>
        <v>345.73126833879365</v>
      </c>
      <c r="AB84" s="11">
        <f t="shared" si="97"/>
        <v>377.6257481540689</v>
      </c>
      <c r="AD84" s="30">
        <f t="shared" si="98"/>
        <v>0.79201009363838448</v>
      </c>
      <c r="AE84" s="30">
        <f t="shared" si="99"/>
        <v>1.0633799048143988</v>
      </c>
    </row>
    <row r="85" spans="1:31">
      <c r="A85" t="str">
        <f t="shared" si="92"/>
        <v>Caring, leisure and other service occupations</v>
      </c>
      <c r="B85" s="11">
        <f t="shared" si="92"/>
        <v>2686.476945366268</v>
      </c>
      <c r="C85" s="11">
        <f t="shared" si="92"/>
        <v>2794.9761350106</v>
      </c>
      <c r="D85" s="11">
        <f t="shared" si="92"/>
        <v>2678.5046281380878</v>
      </c>
      <c r="E85" s="11">
        <f t="shared" si="92"/>
        <v>2732.1382307806884</v>
      </c>
      <c r="F85" s="11">
        <f t="shared" si="92"/>
        <v>2919.9573485364526</v>
      </c>
      <c r="H85" s="30">
        <f t="shared" si="100"/>
        <v>-5.9422043440582328E-2</v>
      </c>
      <c r="I85" s="30">
        <f t="shared" si="93"/>
        <v>0.5770609206709354</v>
      </c>
      <c r="L85" t="str">
        <f t="shared" si="94"/>
        <v>Caring, leisure and other service occupations</v>
      </c>
      <c r="M85" s="11">
        <f t="shared" si="94"/>
        <v>518.23171046895402</v>
      </c>
      <c r="N85" s="11">
        <f t="shared" si="94"/>
        <v>547.08686820136279</v>
      </c>
      <c r="O85" s="11">
        <f t="shared" si="94"/>
        <v>534.22105051001006</v>
      </c>
      <c r="P85" s="11">
        <f t="shared" si="94"/>
        <v>581.90553478791333</v>
      </c>
      <c r="Q85" s="11">
        <f t="shared" si="94"/>
        <v>660.34865924745839</v>
      </c>
      <c r="S85" s="30">
        <f t="shared" si="95"/>
        <v>0.60959543274539119</v>
      </c>
      <c r="T85" s="30">
        <f t="shared" si="96"/>
        <v>1.4230858915412981</v>
      </c>
      <c r="W85" t="str">
        <f t="shared" si="97"/>
        <v>Caring, leisure and other service occupations</v>
      </c>
      <c r="X85" s="11">
        <f t="shared" si="97"/>
        <v>2168.2452348973111</v>
      </c>
      <c r="Y85" s="11">
        <f t="shared" si="97"/>
        <v>2247.889266809234</v>
      </c>
      <c r="Z85" s="11">
        <f t="shared" si="97"/>
        <v>2144.2835776280804</v>
      </c>
      <c r="AA85" s="11">
        <f t="shared" si="97"/>
        <v>2150.2326959927777</v>
      </c>
      <c r="AB85" s="11">
        <f t="shared" si="97"/>
        <v>2259.6086892890025</v>
      </c>
      <c r="AD85" s="30">
        <f t="shared" si="98"/>
        <v>-0.22200705421224765</v>
      </c>
      <c r="AE85" s="30">
        <f t="shared" si="99"/>
        <v>0.3498515690766979</v>
      </c>
    </row>
    <row r="86" spans="1:31">
      <c r="A86" t="str">
        <f t="shared" si="92"/>
        <v>Sales and customer service occupations</v>
      </c>
      <c r="B86" s="11">
        <f t="shared" si="92"/>
        <v>2451.7146582710284</v>
      </c>
      <c r="C86" s="11">
        <f t="shared" si="92"/>
        <v>2391.0620840559268</v>
      </c>
      <c r="D86" s="11">
        <f t="shared" si="92"/>
        <v>2363.8487883943035</v>
      </c>
      <c r="E86" s="11">
        <f t="shared" si="92"/>
        <v>2395.694328186004</v>
      </c>
      <c r="F86" s="11">
        <f t="shared" si="92"/>
        <v>2408.2466133814305</v>
      </c>
      <c r="H86" s="30">
        <f t="shared" si="100"/>
        <v>-0.7272726216735137</v>
      </c>
      <c r="I86" s="30">
        <f t="shared" si="93"/>
        <v>0.12412899767830776</v>
      </c>
      <c r="L86" t="str">
        <f t="shared" si="94"/>
        <v>Sales and customer service occupations</v>
      </c>
      <c r="M86" s="11">
        <f t="shared" si="94"/>
        <v>975.18046757689433</v>
      </c>
      <c r="N86" s="11">
        <f t="shared" si="94"/>
        <v>959.59239540252463</v>
      </c>
      <c r="O86" s="11">
        <f t="shared" si="94"/>
        <v>971.64033597539321</v>
      </c>
      <c r="P86" s="11">
        <f t="shared" si="94"/>
        <v>1015.8332335857797</v>
      </c>
      <c r="Q86" s="11">
        <f t="shared" si="94"/>
        <v>1054.6849651171406</v>
      </c>
      <c r="S86" s="30">
        <f t="shared" si="95"/>
        <v>-7.2710304294265615E-2</v>
      </c>
      <c r="T86" s="30">
        <f t="shared" si="96"/>
        <v>0.54824190081419477</v>
      </c>
      <c r="W86" t="str">
        <f t="shared" si="97"/>
        <v>Sales and customer service occupations</v>
      </c>
      <c r="X86" s="11">
        <f t="shared" si="97"/>
        <v>1476.5341906941371</v>
      </c>
      <c r="Y86" s="11">
        <f t="shared" si="97"/>
        <v>1431.4696886534027</v>
      </c>
      <c r="Z86" s="11">
        <f t="shared" si="97"/>
        <v>1392.2084524189122</v>
      </c>
      <c r="AA86" s="11">
        <f t="shared" si="97"/>
        <v>1379.8610946002264</v>
      </c>
      <c r="AB86" s="11">
        <f t="shared" si="97"/>
        <v>1353.5616482642881</v>
      </c>
      <c r="AD86" s="30">
        <f t="shared" si="98"/>
        <v>-1.1692362292138325</v>
      </c>
      <c r="AE86" s="30">
        <f t="shared" si="99"/>
        <v>-0.18750348996705579</v>
      </c>
    </row>
    <row r="87" spans="1:31">
      <c r="A87" t="str">
        <f t="shared" si="92"/>
        <v>Process, plant and machine operatives</v>
      </c>
      <c r="B87" s="11">
        <f t="shared" si="92"/>
        <v>1767.3257043641233</v>
      </c>
      <c r="C87" s="11">
        <f t="shared" si="92"/>
        <v>1870.5480838882245</v>
      </c>
      <c r="D87" s="11">
        <f t="shared" si="92"/>
        <v>1665.7893005784094</v>
      </c>
      <c r="E87" s="11">
        <f t="shared" si="92"/>
        <v>1724.2750720276058</v>
      </c>
      <c r="F87" s="11">
        <f t="shared" si="92"/>
        <v>1664.9651104259572</v>
      </c>
      <c r="H87" s="30">
        <f t="shared" si="100"/>
        <v>-1.1763944702381846</v>
      </c>
      <c r="I87" s="30">
        <f t="shared" si="93"/>
        <v>-3.2992588521629784E-3</v>
      </c>
      <c r="L87" t="str">
        <f t="shared" si="94"/>
        <v>Process, plant and machine operatives</v>
      </c>
      <c r="M87" s="11">
        <f t="shared" si="94"/>
        <v>1545.6588392032829</v>
      </c>
      <c r="N87" s="11">
        <f t="shared" si="94"/>
        <v>1641.378003381878</v>
      </c>
      <c r="O87" s="11">
        <f t="shared" si="94"/>
        <v>1463.4887440203811</v>
      </c>
      <c r="P87" s="11">
        <f t="shared" si="94"/>
        <v>1477.5163335051204</v>
      </c>
      <c r="Q87" s="11">
        <f t="shared" si="94"/>
        <v>1408.9245312107307</v>
      </c>
      <c r="S87" s="30">
        <f t="shared" si="95"/>
        <v>-1.0865957644491608</v>
      </c>
      <c r="T87" s="30">
        <f t="shared" si="96"/>
        <v>-0.25298921785831263</v>
      </c>
      <c r="W87" t="str">
        <f t="shared" si="97"/>
        <v>Process, plant and machine operatives</v>
      </c>
      <c r="X87" s="11">
        <f t="shared" si="97"/>
        <v>221.66686516083928</v>
      </c>
      <c r="Y87" s="11">
        <f t="shared" si="97"/>
        <v>229.17008050634479</v>
      </c>
      <c r="Z87" s="11">
        <f t="shared" si="97"/>
        <v>202.30055655802715</v>
      </c>
      <c r="AA87" s="11">
        <f t="shared" si="97"/>
        <v>246.75873852249052</v>
      </c>
      <c r="AB87" s="11">
        <f t="shared" si="97"/>
        <v>256.04057921522775</v>
      </c>
      <c r="AD87" s="30">
        <f t="shared" si="98"/>
        <v>-1.8118088020797507</v>
      </c>
      <c r="AE87" s="30">
        <f t="shared" si="99"/>
        <v>1.5829408403209344</v>
      </c>
    </row>
    <row r="88" spans="1:31">
      <c r="A88" t="str">
        <f t="shared" si="92"/>
        <v>Elementary occupations</v>
      </c>
      <c r="B88" s="11">
        <f t="shared" si="92"/>
        <v>3302.1923629942412</v>
      </c>
      <c r="C88" s="11">
        <f t="shared" si="92"/>
        <v>3290.2423965940566</v>
      </c>
      <c r="D88" s="11">
        <f t="shared" si="92"/>
        <v>2996.1870754553911</v>
      </c>
      <c r="E88" s="11">
        <f t="shared" si="92"/>
        <v>3060.4986050772186</v>
      </c>
      <c r="F88" s="11">
        <f t="shared" si="92"/>
        <v>2988.1703889630162</v>
      </c>
      <c r="H88" s="30">
        <f t="shared" si="100"/>
        <v>-1.9261303157432796</v>
      </c>
      <c r="I88" s="30">
        <f t="shared" si="93"/>
        <v>-1.7859840826728313E-2</v>
      </c>
      <c r="L88" t="str">
        <f t="shared" si="94"/>
        <v>Elementary occupations</v>
      </c>
      <c r="M88" s="11">
        <f t="shared" si="94"/>
        <v>1765.3497212648961</v>
      </c>
      <c r="N88" s="11">
        <f t="shared" si="94"/>
        <v>1699.7166831161931</v>
      </c>
      <c r="O88" s="11">
        <f t="shared" si="94"/>
        <v>1589.3421154967959</v>
      </c>
      <c r="P88" s="11">
        <f t="shared" si="94"/>
        <v>1666.5031380181615</v>
      </c>
      <c r="Q88" s="11">
        <f t="shared" si="94"/>
        <v>1616.348566746379</v>
      </c>
      <c r="S88" s="30">
        <f t="shared" si="95"/>
        <v>-2.0786645623836253</v>
      </c>
      <c r="T88" s="30">
        <f t="shared" si="96"/>
        <v>0.11239289562177124</v>
      </c>
      <c r="W88" t="str">
        <f t="shared" si="97"/>
        <v>Elementary occupations</v>
      </c>
      <c r="X88" s="11">
        <f t="shared" si="97"/>
        <v>1536.8426417293431</v>
      </c>
      <c r="Y88" s="11">
        <f t="shared" si="97"/>
        <v>1590.5257134778606</v>
      </c>
      <c r="Z88" s="11">
        <f t="shared" si="97"/>
        <v>1406.8449599585854</v>
      </c>
      <c r="AA88" s="11">
        <f t="shared" si="97"/>
        <v>1393.9954670590512</v>
      </c>
      <c r="AB88" s="11">
        <f t="shared" si="97"/>
        <v>1371.8218222166447</v>
      </c>
      <c r="AD88" s="30">
        <f t="shared" si="98"/>
        <v>-1.7520793970174475</v>
      </c>
      <c r="AE88" s="30">
        <f t="shared" si="99"/>
        <v>-0.16792502423856881</v>
      </c>
    </row>
    <row r="89" spans="1:31">
      <c r="B89" s="11"/>
      <c r="C89" s="11"/>
      <c r="D89" s="11"/>
      <c r="E89" s="11"/>
      <c r="F89" s="11"/>
      <c r="H89" s="30"/>
      <c r="I89" s="30"/>
      <c r="M89" s="11"/>
      <c r="N89" s="11"/>
      <c r="O89" s="11"/>
      <c r="P89" s="11"/>
      <c r="Q89" s="11"/>
      <c r="S89" s="30"/>
      <c r="T89" s="30"/>
      <c r="X89" s="11"/>
      <c r="Y89" s="11"/>
      <c r="Z89" s="11"/>
      <c r="AA89" s="11"/>
      <c r="AB89" s="11"/>
      <c r="AD89" s="30"/>
      <c r="AE89" s="30"/>
    </row>
    <row r="90" spans="1:31">
      <c r="A90" s="21" t="str">
        <f t="shared" ref="A90:F90" si="101">A18</f>
        <v>All occupations</v>
      </c>
      <c r="B90" s="26">
        <f t="shared" si="101"/>
        <v>28656.171999997772</v>
      </c>
      <c r="C90" s="26">
        <f t="shared" si="101"/>
        <v>30212.759999993876</v>
      </c>
      <c r="D90" s="26">
        <f t="shared" si="101"/>
        <v>29859.680999995224</v>
      </c>
      <c r="E90" s="26">
        <f t="shared" si="101"/>
        <v>30754.748000010703</v>
      </c>
      <c r="F90" s="26">
        <f t="shared" si="101"/>
        <v>32070.091000012511</v>
      </c>
      <c r="H90" s="33">
        <f>IF(D$6-B$6 &lt;&gt; 0,(EXP(LN(D18/B18)/(D$6-B$6))-1)*100,0)</f>
        <v>0.82619957207437089</v>
      </c>
      <c r="I90" s="33">
        <f>F56</f>
        <v>0.47723343115717576</v>
      </c>
      <c r="L90" s="21" t="str">
        <f t="shared" ref="L90:Q90" si="102">L18</f>
        <v>All occupations</v>
      </c>
      <c r="M90" s="26">
        <f t="shared" si="102"/>
        <v>15097.294000001102</v>
      </c>
      <c r="N90" s="26">
        <f t="shared" si="102"/>
        <v>15791.443999999359</v>
      </c>
      <c r="O90" s="26">
        <f t="shared" si="102"/>
        <v>15479.516000000256</v>
      </c>
      <c r="P90" s="26">
        <f t="shared" si="102"/>
        <v>15910.188000002801</v>
      </c>
      <c r="Q90" s="26">
        <f t="shared" si="102"/>
        <v>16483.507000001871</v>
      </c>
      <c r="S90" s="33">
        <f>IF(O$6-M$6 &lt;&gt; 0,(EXP(LN(O18/M18)/(O$6-M$6))-1)*100,0)</f>
        <v>0.50129387555895022</v>
      </c>
      <c r="T90" s="33">
        <f>Q56</f>
        <v>0.41983018617532952</v>
      </c>
      <c r="W90" s="21" t="str">
        <f t="shared" ref="W90:AB90" si="103">W18</f>
        <v>All occupations</v>
      </c>
      <c r="X90" s="26">
        <f t="shared" si="103"/>
        <v>13558.877999996663</v>
      </c>
      <c r="Y90" s="26">
        <f t="shared" si="103"/>
        <v>14421.315999994511</v>
      </c>
      <c r="Z90" s="26">
        <f t="shared" si="103"/>
        <v>14380.164999994944</v>
      </c>
      <c r="AA90" s="26">
        <f t="shared" si="103"/>
        <v>14844.560000007921</v>
      </c>
      <c r="AB90" s="26">
        <f t="shared" si="103"/>
        <v>15586.58400001066</v>
      </c>
      <c r="AD90" s="33">
        <f>IF(Z$6-X$6 &lt;&gt; 0,(EXP(LN(Z18/X18)/(Z$6-X$6))-1)*100,0)</f>
        <v>1.1831098432651954</v>
      </c>
      <c r="AE90" s="33">
        <f>AB56</f>
        <v>0.53851626577410272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6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6">
      <c r="A1" s="17" t="str">
        <f>CONCATENATE("Occupation Table 2  Employment Change by Occupation (SOC 2020) and Replacement Demand, ",B$6,"-",F$6,", ",Info!B5)</f>
        <v>Occupation Table 2  Employment Change by Occupation (SOC 2020) and Replacement Demand, 2015-2035, England</v>
      </c>
      <c r="L1" s="17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England</v>
      </c>
      <c r="W1" s="17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England</v>
      </c>
    </row>
    <row r="2" spans="1:32" ht="12.75" customHeight="1">
      <c r="A2" s="158" t="s">
        <v>179</v>
      </c>
      <c r="D2" s="310"/>
      <c r="G2" s="67"/>
      <c r="J2" s="67"/>
      <c r="M2" s="67"/>
      <c r="P2" s="67"/>
      <c r="S2" s="67"/>
      <c r="V2" s="67"/>
    </row>
    <row r="3" spans="1:32">
      <c r="F3" s="15" t="s">
        <v>114</v>
      </c>
      <c r="J3" s="15" t="s">
        <v>114</v>
      </c>
      <c r="Q3" s="15" t="s">
        <v>114</v>
      </c>
      <c r="U3" s="15" t="s">
        <v>114</v>
      </c>
      <c r="AB3" s="15" t="s">
        <v>114</v>
      </c>
      <c r="AF3" s="15" t="s">
        <v>114</v>
      </c>
    </row>
    <row r="4" spans="1:32" ht="12.95">
      <c r="A4" s="28"/>
      <c r="B4" s="28"/>
      <c r="C4" s="28"/>
      <c r="D4" s="28"/>
      <c r="E4" s="28"/>
      <c r="F4" s="28"/>
      <c r="H4" s="80" t="str">
        <f>CONCATENATE(D6,"-",F6)</f>
        <v>2020-2035</v>
      </c>
      <c r="I4" s="28"/>
      <c r="J4" s="28"/>
      <c r="L4" s="23" t="s">
        <v>176</v>
      </c>
      <c r="M4" s="28"/>
      <c r="N4" s="28"/>
      <c r="O4" s="28"/>
      <c r="P4" s="28"/>
      <c r="Q4" s="28"/>
      <c r="S4" s="80" t="str">
        <f>CONCATENATE(O6,"-",Q6)</f>
        <v>2020-2035</v>
      </c>
      <c r="T4" s="28"/>
      <c r="U4" s="28"/>
      <c r="W4" s="23" t="s">
        <v>177</v>
      </c>
      <c r="X4" s="28"/>
      <c r="Y4" s="28"/>
      <c r="Z4" s="28"/>
      <c r="AA4" s="28"/>
      <c r="AB4" s="28"/>
      <c r="AD4" s="80" t="str">
        <f>CONCATENATE(Z6,"-",AB6)</f>
        <v>2020-2035</v>
      </c>
      <c r="AE4" s="28"/>
      <c r="AF4" s="28"/>
    </row>
    <row r="5" spans="1:32">
      <c r="H5" s="15" t="s">
        <v>117</v>
      </c>
      <c r="I5" s="15" t="s">
        <v>118</v>
      </c>
      <c r="J5" s="15" t="s">
        <v>119</v>
      </c>
      <c r="S5" s="15" t="s">
        <v>117</v>
      </c>
      <c r="T5" s="15" t="s">
        <v>118</v>
      </c>
      <c r="U5" s="15" t="s">
        <v>119</v>
      </c>
      <c r="AD5" s="15" t="s">
        <v>117</v>
      </c>
      <c r="AE5" s="15" t="s">
        <v>118</v>
      </c>
      <c r="AF5" s="15" t="s">
        <v>119</v>
      </c>
    </row>
    <row r="6" spans="1:32" ht="12.95">
      <c r="A6" s="31" t="s">
        <v>115</v>
      </c>
      <c r="B6" s="32">
        <v>2015</v>
      </c>
      <c r="C6" s="32">
        <v>2019</v>
      </c>
      <c r="D6" s="32">
        <v>2020</v>
      </c>
      <c r="E6" s="32">
        <v>2025</v>
      </c>
      <c r="F6" s="32">
        <v>2035</v>
      </c>
      <c r="H6" s="50" t="s">
        <v>120</v>
      </c>
      <c r="I6" s="50" t="s">
        <v>121</v>
      </c>
      <c r="J6" s="50" t="s">
        <v>122</v>
      </c>
      <c r="L6" s="31" t="s">
        <v>115</v>
      </c>
      <c r="M6" s="32">
        <f>B6</f>
        <v>2015</v>
      </c>
      <c r="N6" s="32">
        <f t="shared" ref="N6:Q6" si="0">C6</f>
        <v>2019</v>
      </c>
      <c r="O6" s="32">
        <f t="shared" si="0"/>
        <v>2020</v>
      </c>
      <c r="P6" s="32">
        <f t="shared" si="0"/>
        <v>2025</v>
      </c>
      <c r="Q6" s="32">
        <f t="shared" si="0"/>
        <v>2035</v>
      </c>
      <c r="S6" s="50" t="s">
        <v>120</v>
      </c>
      <c r="T6" s="50" t="s">
        <v>121</v>
      </c>
      <c r="U6" s="50" t="s">
        <v>122</v>
      </c>
      <c r="W6" s="31" t="s">
        <v>115</v>
      </c>
      <c r="X6" s="32">
        <f>B6</f>
        <v>2015</v>
      </c>
      <c r="Y6" s="32">
        <f t="shared" ref="Y6:AB6" si="1">C6</f>
        <v>2019</v>
      </c>
      <c r="Z6" s="32">
        <f t="shared" si="1"/>
        <v>2020</v>
      </c>
      <c r="AA6" s="32">
        <f t="shared" si="1"/>
        <v>2025</v>
      </c>
      <c r="AB6" s="32">
        <f t="shared" si="1"/>
        <v>2035</v>
      </c>
      <c r="AD6" s="50" t="s">
        <v>120</v>
      </c>
      <c r="AE6" s="50" t="s">
        <v>121</v>
      </c>
      <c r="AF6" s="50" t="s">
        <v>122</v>
      </c>
    </row>
    <row r="8" spans="1:32">
      <c r="A8" s="10" t="str">
        <f>name!D4</f>
        <v>11 Corporate managers and directors</v>
      </c>
      <c r="B8" s="11">
        <v>1899.4336390268675</v>
      </c>
      <c r="C8" s="11">
        <v>2252.4434759690844</v>
      </c>
      <c r="D8" s="11">
        <v>2307.7401043917707</v>
      </c>
      <c r="E8" s="11">
        <v>2105.3021001707893</v>
      </c>
      <c r="F8" s="11">
        <v>2283.7260613096219</v>
      </c>
      <c r="G8" s="10"/>
      <c r="H8" s="11">
        <f>F8-D8</f>
        <v>-24.014043082148874</v>
      </c>
      <c r="I8" s="11">
        <f>'RD T1'!E7</f>
        <v>1128.9486261515453</v>
      </c>
      <c r="J8" s="11">
        <f>SUM(H8:I8)</f>
        <v>1104.9345830693965</v>
      </c>
      <c r="L8" s="10" t="str">
        <f>name!D4</f>
        <v>11 Corporate managers and directors</v>
      </c>
      <c r="M8" s="11">
        <v>1313.7150399618367</v>
      </c>
      <c r="N8" s="11">
        <v>1498.0900506444132</v>
      </c>
      <c r="O8" s="11">
        <v>1518.4732166975457</v>
      </c>
      <c r="P8" s="11">
        <v>1322.4036768736466</v>
      </c>
      <c r="Q8" s="11">
        <v>1372.7350954014596</v>
      </c>
      <c r="R8" s="10"/>
      <c r="S8" s="11">
        <f>Q8-O8</f>
        <v>-145.73812129608609</v>
      </c>
      <c r="T8" s="11">
        <f>'RD T1'!T7</f>
        <v>639.33468902265781</v>
      </c>
      <c r="U8" s="11">
        <f>SUM(S8:T8)</f>
        <v>493.59656772657172</v>
      </c>
      <c r="W8" s="10" t="str">
        <f>name!D4</f>
        <v>11 Corporate managers and directors</v>
      </c>
      <c r="X8" s="11">
        <v>585.71859906502971</v>
      </c>
      <c r="Y8" s="11">
        <v>754.3534253246728</v>
      </c>
      <c r="Z8" s="11">
        <v>789.26688769422583</v>
      </c>
      <c r="AA8" s="11">
        <v>782.89842329714418</v>
      </c>
      <c r="AB8" s="11">
        <v>910.99096590816146</v>
      </c>
      <c r="AC8" s="10"/>
      <c r="AD8" s="11">
        <f>AB8-Z8</f>
        <v>121.72407821393563</v>
      </c>
      <c r="AE8" s="11">
        <f>'RD T1'!T36</f>
        <v>489.61393712888781</v>
      </c>
      <c r="AF8" s="11">
        <f>SUM(AD8:AE8)</f>
        <v>611.33801534282338</v>
      </c>
    </row>
    <row r="9" spans="1:32">
      <c r="A9" s="10" t="str">
        <f>name!D5</f>
        <v>12 Other managers and proprietors</v>
      </c>
      <c r="B9" s="11">
        <v>923.52132759385643</v>
      </c>
      <c r="C9" s="11">
        <v>989.34422722021304</v>
      </c>
      <c r="D9" s="11">
        <v>999.77365535930846</v>
      </c>
      <c r="E9" s="11">
        <v>1042.1448090573083</v>
      </c>
      <c r="F9" s="11">
        <v>1168.6471608444135</v>
      </c>
      <c r="H9" s="11">
        <f t="shared" ref="H9:H32" si="2">F9-D9</f>
        <v>168.87350548510506</v>
      </c>
      <c r="I9" s="11">
        <f>'RD T1'!E8</f>
        <v>609.44312305414519</v>
      </c>
      <c r="J9" s="11">
        <f>SUM(H9:I9)</f>
        <v>778.31662853925025</v>
      </c>
      <c r="L9" s="10" t="str">
        <f>name!D5</f>
        <v>12 Other managers and proprietors</v>
      </c>
      <c r="M9" s="11">
        <v>560.07918748953887</v>
      </c>
      <c r="N9" s="11">
        <v>592.75817151868557</v>
      </c>
      <c r="O9" s="11">
        <v>579.99639409238614</v>
      </c>
      <c r="P9" s="11">
        <v>654.76078042804807</v>
      </c>
      <c r="Q9" s="11">
        <v>736.34822839305525</v>
      </c>
      <c r="S9" s="11">
        <f t="shared" ref="S9:S32" si="3">Q9-O9</f>
        <v>156.35183430066911</v>
      </c>
      <c r="T9" s="11">
        <f>'RD T1'!T8</f>
        <v>346.25202806149861</v>
      </c>
      <c r="U9" s="11">
        <f>SUM(S9:T9)</f>
        <v>502.60386236216772</v>
      </c>
      <c r="W9" s="10" t="str">
        <f>name!D5</f>
        <v>12 Other managers and proprietors</v>
      </c>
      <c r="X9" s="11">
        <v>363.44214010432023</v>
      </c>
      <c r="Y9" s="11">
        <v>396.58605570152713</v>
      </c>
      <c r="Z9" s="11">
        <v>419.77726126692244</v>
      </c>
      <c r="AA9" s="11">
        <v>387.38402862925915</v>
      </c>
      <c r="AB9" s="11">
        <v>432.29893245136003</v>
      </c>
      <c r="AD9" s="11">
        <f t="shared" ref="AD9:AD32" si="4">AB9-Z9</f>
        <v>12.521671184437594</v>
      </c>
      <c r="AE9" s="11">
        <f>'RD T1'!T37</f>
        <v>263.19109499264658</v>
      </c>
      <c r="AF9" s="11">
        <f>SUM(AD9:AE9)</f>
        <v>275.71276617708418</v>
      </c>
    </row>
    <row r="10" spans="1:32">
      <c r="A10" s="10" t="str">
        <f>name!D6</f>
        <v>21 Science, research, engineering and technology professionals</v>
      </c>
      <c r="B10" s="11">
        <v>1585.0798970775459</v>
      </c>
      <c r="C10" s="11">
        <v>1824.270392837615</v>
      </c>
      <c r="D10" s="11">
        <v>1898.0720341129449</v>
      </c>
      <c r="E10" s="11">
        <v>2351.7516802899086</v>
      </c>
      <c r="F10" s="11">
        <v>2681.3748075213884</v>
      </c>
      <c r="G10" s="11"/>
      <c r="H10" s="11">
        <f t="shared" si="2"/>
        <v>783.3027734084435</v>
      </c>
      <c r="I10" s="11">
        <f>'RD T1'!E9</f>
        <v>913.58421728172698</v>
      </c>
      <c r="J10" s="11">
        <f t="shared" ref="J10:J32" si="5">SUM(H10:I10)</f>
        <v>1696.8869906901705</v>
      </c>
      <c r="L10" s="10" t="str">
        <f>name!D6</f>
        <v>21 Science, research, engineering and technology professionals</v>
      </c>
      <c r="M10" s="11">
        <v>1259.7640860814026</v>
      </c>
      <c r="N10" s="11">
        <v>1463.5542858755171</v>
      </c>
      <c r="O10" s="11">
        <v>1456.5973309821147</v>
      </c>
      <c r="P10" s="11">
        <v>1747.7439450068091</v>
      </c>
      <c r="Q10" s="11">
        <v>1949.7424922917774</v>
      </c>
      <c r="R10" s="11"/>
      <c r="S10" s="11">
        <f t="shared" si="3"/>
        <v>493.14516130966263</v>
      </c>
      <c r="T10" s="11">
        <f>'RD T1'!T9</f>
        <v>589.48213271599434</v>
      </c>
      <c r="U10" s="11">
        <f t="shared" ref="U10:U32" si="6">SUM(S10:T10)</f>
        <v>1082.627294025657</v>
      </c>
      <c r="W10" s="10" t="str">
        <f>name!D6</f>
        <v>21 Science, research, engineering and technology professionals</v>
      </c>
      <c r="X10" s="11">
        <v>325.31581099614453</v>
      </c>
      <c r="Y10" s="11">
        <v>360.71610696210257</v>
      </c>
      <c r="Z10" s="11">
        <v>441.47470313082664</v>
      </c>
      <c r="AA10" s="11">
        <v>604.00773528309367</v>
      </c>
      <c r="AB10" s="11">
        <v>731.63231522961019</v>
      </c>
      <c r="AC10" s="11"/>
      <c r="AD10" s="11">
        <f t="shared" si="4"/>
        <v>290.15761209878355</v>
      </c>
      <c r="AE10" s="11">
        <f>'RD T1'!T38</f>
        <v>324.10208456573264</v>
      </c>
      <c r="AF10" s="11">
        <f t="shared" ref="AF10:AF32" si="7">SUM(AD10:AE10)</f>
        <v>614.25969666451624</v>
      </c>
    </row>
    <row r="11" spans="1:32">
      <c r="A11" s="10" t="str">
        <f>name!D7</f>
        <v>22 Health professionals</v>
      </c>
      <c r="B11" s="11">
        <v>1169.4428202608058</v>
      </c>
      <c r="C11" s="11">
        <v>1354.656644154659</v>
      </c>
      <c r="D11" s="11">
        <v>1355.932796971927</v>
      </c>
      <c r="E11" s="11">
        <v>1342.0489197398499</v>
      </c>
      <c r="F11" s="11">
        <v>1436.7895221098097</v>
      </c>
      <c r="G11" s="11"/>
      <c r="H11" s="11">
        <f t="shared" si="2"/>
        <v>80.856725137882677</v>
      </c>
      <c r="I11" s="11">
        <f>'RD T1'!E10</f>
        <v>726.5107545827974</v>
      </c>
      <c r="J11" s="11">
        <f t="shared" si="5"/>
        <v>807.36747972068008</v>
      </c>
      <c r="L11" s="10" t="str">
        <f>name!D7</f>
        <v>22 Health professionals</v>
      </c>
      <c r="M11" s="11">
        <v>290.43686339058576</v>
      </c>
      <c r="N11" s="11">
        <v>333.59696517179577</v>
      </c>
      <c r="O11" s="11">
        <v>366.7619182696281</v>
      </c>
      <c r="P11" s="11">
        <v>365.40610950688745</v>
      </c>
      <c r="Q11" s="11">
        <v>392.94933626417338</v>
      </c>
      <c r="R11" s="11"/>
      <c r="S11" s="11">
        <f t="shared" si="3"/>
        <v>26.187417994545285</v>
      </c>
      <c r="T11" s="11">
        <f>'RD T1'!T10</f>
        <v>142.27896461301907</v>
      </c>
      <c r="U11" s="11">
        <f t="shared" si="6"/>
        <v>168.46638260756436</v>
      </c>
      <c r="W11" s="10" t="str">
        <f>name!D7</f>
        <v>22 Health professionals</v>
      </c>
      <c r="X11" s="11">
        <v>879.00595687022053</v>
      </c>
      <c r="Y11" s="11">
        <v>1021.0596789828635</v>
      </c>
      <c r="Z11" s="11">
        <v>989.17087870229727</v>
      </c>
      <c r="AA11" s="11">
        <v>976.6428102329611</v>
      </c>
      <c r="AB11" s="11">
        <v>1043.8401858456359</v>
      </c>
      <c r="AC11" s="11"/>
      <c r="AD11" s="11">
        <f t="shared" si="4"/>
        <v>54.669307143338642</v>
      </c>
      <c r="AE11" s="11">
        <f>'RD T1'!T39</f>
        <v>584.23178996977845</v>
      </c>
      <c r="AF11" s="11">
        <f t="shared" si="7"/>
        <v>638.90109711311709</v>
      </c>
    </row>
    <row r="12" spans="1:32">
      <c r="A12" s="10" t="str">
        <f>name!D8</f>
        <v>23 Teaching and other educational professionals</v>
      </c>
      <c r="B12" s="11">
        <v>1361.7491851591385</v>
      </c>
      <c r="C12" s="11">
        <v>1441.2390325186957</v>
      </c>
      <c r="D12" s="11">
        <v>1503.6331126652781</v>
      </c>
      <c r="E12" s="11">
        <v>1476.7704130845411</v>
      </c>
      <c r="F12" s="11">
        <v>1586.4211218808052</v>
      </c>
      <c r="G12" s="11"/>
      <c r="H12" s="11">
        <f t="shared" si="2"/>
        <v>82.788009215527154</v>
      </c>
      <c r="I12" s="11">
        <f>'RD T1'!E11</f>
        <v>769.70664184384259</v>
      </c>
      <c r="J12" s="11">
        <f t="shared" si="5"/>
        <v>852.49465105936974</v>
      </c>
      <c r="L12" s="10" t="str">
        <f>name!D8</f>
        <v>23 Teaching and other educational professionals</v>
      </c>
      <c r="M12" s="11">
        <v>465.10978424210242</v>
      </c>
      <c r="N12" s="11">
        <v>463.25280499878858</v>
      </c>
      <c r="O12" s="11">
        <v>487.15805015784076</v>
      </c>
      <c r="P12" s="11">
        <v>496.17830066936875</v>
      </c>
      <c r="Q12" s="11">
        <v>527.17621703011434</v>
      </c>
      <c r="R12" s="11"/>
      <c r="S12" s="11">
        <f t="shared" si="3"/>
        <v>40.018166872273582</v>
      </c>
      <c r="T12" s="11">
        <f>'RD T1'!T11</f>
        <v>215.10968269252788</v>
      </c>
      <c r="U12" s="11">
        <f t="shared" si="6"/>
        <v>255.12784956480147</v>
      </c>
      <c r="W12" s="10" t="str">
        <f>name!D8</f>
        <v>23 Teaching and other educational professionals</v>
      </c>
      <c r="X12" s="11">
        <v>896.63940091703103</v>
      </c>
      <c r="Y12" s="11">
        <v>977.98622751991195</v>
      </c>
      <c r="Z12" s="11">
        <v>1016.4750625074356</v>
      </c>
      <c r="AA12" s="11">
        <v>980.59211241516925</v>
      </c>
      <c r="AB12" s="11">
        <v>1059.244904850691</v>
      </c>
      <c r="AC12" s="11"/>
      <c r="AD12" s="11">
        <f t="shared" si="4"/>
        <v>42.769842343255391</v>
      </c>
      <c r="AE12" s="11">
        <f>'RD T1'!T40</f>
        <v>554.59695915131476</v>
      </c>
      <c r="AF12" s="11">
        <f t="shared" si="7"/>
        <v>597.36680149457015</v>
      </c>
    </row>
    <row r="13" spans="1:32">
      <c r="A13" s="10" t="str">
        <f>name!D9</f>
        <v>24 Business, media and public service professionals</v>
      </c>
      <c r="B13" s="11">
        <v>1796.9718795456633</v>
      </c>
      <c r="C13" s="11">
        <v>2126.0095445543111</v>
      </c>
      <c r="D13" s="11">
        <v>2294.7408922369627</v>
      </c>
      <c r="E13" s="11">
        <v>2427.5298169832067</v>
      </c>
      <c r="F13" s="11">
        <v>2682.5731170680497</v>
      </c>
      <c r="G13" s="11"/>
      <c r="H13" s="11">
        <f t="shared" si="2"/>
        <v>387.83222483108693</v>
      </c>
      <c r="I13" s="11">
        <f>'RD T1'!E12</f>
        <v>1194.828193155699</v>
      </c>
      <c r="J13" s="11">
        <f t="shared" si="5"/>
        <v>1582.6604179867859</v>
      </c>
      <c r="L13" s="10" t="str">
        <f>name!D9</f>
        <v>24 Business, media and public service professionals</v>
      </c>
      <c r="M13" s="11">
        <v>1057.078509263207</v>
      </c>
      <c r="N13" s="11">
        <v>1204.1427079986347</v>
      </c>
      <c r="O13" s="11">
        <v>1274.7375045541762</v>
      </c>
      <c r="P13" s="11">
        <v>1357.4302776709358</v>
      </c>
      <c r="Q13" s="11">
        <v>1461.2151776543644</v>
      </c>
      <c r="R13" s="11"/>
      <c r="S13" s="11">
        <f t="shared" si="3"/>
        <v>186.47767310018821</v>
      </c>
      <c r="T13" s="11">
        <f>'RD T1'!T12</f>
        <v>584.24640329006365</v>
      </c>
      <c r="U13" s="11">
        <f t="shared" si="6"/>
        <v>770.72407639025187</v>
      </c>
      <c r="W13" s="10" t="str">
        <f>name!D9</f>
        <v>24 Business, media and public service professionals</v>
      </c>
      <c r="X13" s="11">
        <v>739.89337028245995</v>
      </c>
      <c r="Y13" s="11">
        <v>921.86683655567754</v>
      </c>
      <c r="Z13" s="11">
        <v>1020.0033876827833</v>
      </c>
      <c r="AA13" s="11">
        <v>1070.0995393122864</v>
      </c>
      <c r="AB13" s="11">
        <v>1221.3579394136846</v>
      </c>
      <c r="AC13" s="11"/>
      <c r="AD13" s="11">
        <f t="shared" si="4"/>
        <v>201.35455173090122</v>
      </c>
      <c r="AE13" s="11">
        <f>'RD T1'!T41</f>
        <v>610.58178986563496</v>
      </c>
      <c r="AF13" s="11">
        <f t="shared" si="7"/>
        <v>811.93634159653618</v>
      </c>
    </row>
    <row r="14" spans="1:32">
      <c r="A14" s="10" t="str">
        <f>name!D10</f>
        <v>31 Science, engineering and technology associate professionals</v>
      </c>
      <c r="B14" s="11">
        <v>463.28274271165401</v>
      </c>
      <c r="C14" s="11">
        <v>545.82660644977284</v>
      </c>
      <c r="D14" s="11">
        <v>588.40741770343891</v>
      </c>
      <c r="E14" s="11">
        <v>557.42579875001081</v>
      </c>
      <c r="F14" s="11">
        <v>604.33246394772175</v>
      </c>
      <c r="G14" s="11"/>
      <c r="H14" s="11">
        <f t="shared" si="2"/>
        <v>15.925046244282839</v>
      </c>
      <c r="I14" s="11">
        <f>'RD T1'!E13</f>
        <v>237.36240971604036</v>
      </c>
      <c r="J14" s="11">
        <f t="shared" si="5"/>
        <v>253.2874559603232</v>
      </c>
      <c r="L14" s="10" t="str">
        <f>name!D10</f>
        <v>31 Science, engineering and technology associate professionals</v>
      </c>
      <c r="M14" s="11">
        <v>335.3162235863245</v>
      </c>
      <c r="N14" s="11">
        <v>409.51259478084006</v>
      </c>
      <c r="O14" s="11">
        <v>423.50200026833016</v>
      </c>
      <c r="P14" s="11">
        <v>379.46759000336152</v>
      </c>
      <c r="Q14" s="11">
        <v>394.21388901440332</v>
      </c>
      <c r="R14" s="11"/>
      <c r="S14" s="11">
        <f t="shared" si="3"/>
        <v>-29.288111253926843</v>
      </c>
      <c r="T14" s="11">
        <f>'RD T1'!T13</f>
        <v>142.38458123975647</v>
      </c>
      <c r="U14" s="11">
        <f t="shared" si="6"/>
        <v>113.09646998582963</v>
      </c>
      <c r="W14" s="10" t="str">
        <f>name!D10</f>
        <v>31 Science, engineering and technology associate professionals</v>
      </c>
      <c r="X14" s="11">
        <v>127.96651912532997</v>
      </c>
      <c r="Y14" s="11">
        <v>136.31401166893244</v>
      </c>
      <c r="Z14" s="11">
        <v>164.90541743510897</v>
      </c>
      <c r="AA14" s="11">
        <v>177.95820874664844</v>
      </c>
      <c r="AB14" s="11">
        <v>210.11857493331843</v>
      </c>
      <c r="AC14" s="11"/>
      <c r="AD14" s="11">
        <f t="shared" si="4"/>
        <v>45.213157498209455</v>
      </c>
      <c r="AE14" s="11">
        <f>'RD T1'!T42</f>
        <v>94.977828476283904</v>
      </c>
      <c r="AF14" s="11">
        <f t="shared" si="7"/>
        <v>140.19098597449334</v>
      </c>
    </row>
    <row r="15" spans="1:32">
      <c r="A15" s="10" t="str">
        <f>name!D11</f>
        <v>32 Health and social care associate professionals</v>
      </c>
      <c r="B15" s="11">
        <v>493.00201988165986</v>
      </c>
      <c r="C15" s="11">
        <v>555.82389825767791</v>
      </c>
      <c r="D15" s="11">
        <v>567.17631851210399</v>
      </c>
      <c r="E15" s="11">
        <v>896.94389420552898</v>
      </c>
      <c r="F15" s="11">
        <v>1055.204133353878</v>
      </c>
      <c r="G15" s="11"/>
      <c r="H15" s="11">
        <f t="shared" si="2"/>
        <v>488.02781484177399</v>
      </c>
      <c r="I15" s="11">
        <f>'RD T1'!E14</f>
        <v>531.04259694096675</v>
      </c>
      <c r="J15" s="11">
        <f t="shared" si="5"/>
        <v>1019.0704117827407</v>
      </c>
      <c r="L15" s="10" t="str">
        <f>name!D11</f>
        <v>32 Health and social care associate professionals</v>
      </c>
      <c r="M15" s="11">
        <v>114.49174703160232</v>
      </c>
      <c r="N15" s="11">
        <v>118.5837107643288</v>
      </c>
      <c r="O15" s="11">
        <v>129.66876831873392</v>
      </c>
      <c r="P15" s="11">
        <v>173.46537304640171</v>
      </c>
      <c r="Q15" s="11">
        <v>195.12566843233208</v>
      </c>
      <c r="R15" s="11"/>
      <c r="S15" s="11">
        <f t="shared" si="3"/>
        <v>65.456900113598152</v>
      </c>
      <c r="T15" s="11">
        <f>'RD T1'!T14</f>
        <v>84.424570372317007</v>
      </c>
      <c r="U15" s="11">
        <f t="shared" si="6"/>
        <v>149.88147048591514</v>
      </c>
      <c r="W15" s="10" t="str">
        <f>name!D11</f>
        <v>32 Health and social care associate professionals</v>
      </c>
      <c r="X15" s="11">
        <v>378.51027285005705</v>
      </c>
      <c r="Y15" s="11">
        <v>437.24018749334891</v>
      </c>
      <c r="Z15" s="11">
        <v>437.50755019336901</v>
      </c>
      <c r="AA15" s="11">
        <v>723.47852115912588</v>
      </c>
      <c r="AB15" s="11">
        <v>860.07846492154374</v>
      </c>
      <c r="AC15" s="11"/>
      <c r="AD15" s="11">
        <f t="shared" si="4"/>
        <v>422.57091472817473</v>
      </c>
      <c r="AE15" s="11">
        <f>'RD T1'!T43</f>
        <v>446.61802656864973</v>
      </c>
      <c r="AF15" s="11">
        <f t="shared" si="7"/>
        <v>869.1889412968244</v>
      </c>
    </row>
    <row r="16" spans="1:32">
      <c r="A16" s="10" t="str">
        <f>name!D12</f>
        <v>33 Protective service occupations</v>
      </c>
      <c r="B16" s="11">
        <v>294.53338224612924</v>
      </c>
      <c r="C16" s="11">
        <v>302.83777946632176</v>
      </c>
      <c r="D16" s="11">
        <v>320.85693432953025</v>
      </c>
      <c r="E16" s="11">
        <v>273.21297114851421</v>
      </c>
      <c r="F16" s="11">
        <v>294.04112821504583</v>
      </c>
      <c r="G16" s="11"/>
      <c r="H16" s="11">
        <f t="shared" si="2"/>
        <v>-26.815806114484417</v>
      </c>
      <c r="I16" s="11">
        <f>'RD T1'!E15</f>
        <v>97.057148032361965</v>
      </c>
      <c r="J16" s="11">
        <f t="shared" si="5"/>
        <v>70.241341917877548</v>
      </c>
      <c r="L16" s="10" t="str">
        <f>name!D12</f>
        <v>33 Protective service occupations</v>
      </c>
      <c r="M16" s="11">
        <v>229.71943815941162</v>
      </c>
      <c r="N16" s="11">
        <v>230.20991784316658</v>
      </c>
      <c r="O16" s="11">
        <v>239.7962095690612</v>
      </c>
      <c r="P16" s="11">
        <v>200.45110437001125</v>
      </c>
      <c r="Q16" s="11">
        <v>199.25599578662175</v>
      </c>
      <c r="R16" s="11"/>
      <c r="S16" s="11">
        <f t="shared" si="3"/>
        <v>-40.540213782439452</v>
      </c>
      <c r="T16" s="11">
        <f>'RD T1'!T15</f>
        <v>57.524749875334891</v>
      </c>
      <c r="U16" s="11">
        <f t="shared" si="6"/>
        <v>16.984536092895439</v>
      </c>
      <c r="W16" s="10" t="str">
        <f>name!D12</f>
        <v>33 Protective service occupations</v>
      </c>
      <c r="X16" s="11">
        <v>64.813944086716745</v>
      </c>
      <c r="Y16" s="11">
        <v>72.62786162315723</v>
      </c>
      <c r="Z16" s="11">
        <v>81.060724760467608</v>
      </c>
      <c r="AA16" s="11">
        <v>72.761866778502167</v>
      </c>
      <c r="AB16" s="11">
        <v>94.785132428423083</v>
      </c>
      <c r="AC16" s="11"/>
      <c r="AD16" s="11">
        <f t="shared" si="4"/>
        <v>13.724407667955475</v>
      </c>
      <c r="AE16" s="11">
        <f>'RD T1'!T44</f>
        <v>39.53239815702706</v>
      </c>
      <c r="AF16" s="11">
        <f t="shared" si="7"/>
        <v>53.256805824982536</v>
      </c>
    </row>
    <row r="17" spans="1:32">
      <c r="A17" s="10" t="str">
        <f>name!D13</f>
        <v>34 Culture, media and sports occupations</v>
      </c>
      <c r="B17" s="11">
        <v>627.36985128235642</v>
      </c>
      <c r="C17" s="11">
        <v>627.37830048121612</v>
      </c>
      <c r="D17" s="11">
        <v>680.96833755090472</v>
      </c>
      <c r="E17" s="11">
        <v>622.21446039961336</v>
      </c>
      <c r="F17" s="11">
        <v>678.61701625076512</v>
      </c>
      <c r="G17" s="11"/>
      <c r="H17" s="11">
        <f t="shared" si="2"/>
        <v>-2.3513213001396025</v>
      </c>
      <c r="I17" s="11">
        <f>'RD T1'!E16</f>
        <v>303.61494950197175</v>
      </c>
      <c r="J17" s="11">
        <f t="shared" si="5"/>
        <v>301.26362820183215</v>
      </c>
      <c r="L17" s="10" t="str">
        <f>name!D13</f>
        <v>34 Culture, media and sports occupations</v>
      </c>
      <c r="M17" s="11">
        <v>347.34112331081229</v>
      </c>
      <c r="N17" s="11">
        <v>341.00638116839383</v>
      </c>
      <c r="O17" s="11">
        <v>351.31506863906549</v>
      </c>
      <c r="P17" s="11">
        <v>313.52078832250288</v>
      </c>
      <c r="Q17" s="11">
        <v>338.54554086042094</v>
      </c>
      <c r="R17" s="11"/>
      <c r="S17" s="11">
        <f t="shared" si="3"/>
        <v>-12.769527778644544</v>
      </c>
      <c r="T17" s="11">
        <f>'RD T1'!T16</f>
        <v>130.93176250272973</v>
      </c>
      <c r="U17" s="11">
        <f t="shared" si="6"/>
        <v>118.16223472408518</v>
      </c>
      <c r="W17" s="10" t="str">
        <f>name!D13</f>
        <v>34 Culture, media and sports occupations</v>
      </c>
      <c r="X17" s="11">
        <v>280.02872797154498</v>
      </c>
      <c r="Y17" s="11">
        <v>286.37191931282291</v>
      </c>
      <c r="Z17" s="11">
        <v>329.65326891183929</v>
      </c>
      <c r="AA17" s="11">
        <v>308.69367207711042</v>
      </c>
      <c r="AB17" s="11">
        <v>340.07147539034497</v>
      </c>
      <c r="AC17" s="11"/>
      <c r="AD17" s="11">
        <f t="shared" si="4"/>
        <v>10.418206478505681</v>
      </c>
      <c r="AE17" s="11">
        <f>'RD T1'!T45</f>
        <v>172.68318699924205</v>
      </c>
      <c r="AF17" s="11">
        <f t="shared" si="7"/>
        <v>183.10139347774773</v>
      </c>
    </row>
    <row r="18" spans="1:32">
      <c r="A18" s="10" t="str">
        <f>name!D14</f>
        <v>35 Business and public service associate professionals</v>
      </c>
      <c r="B18" s="11">
        <v>1794.8908672659011</v>
      </c>
      <c r="C18" s="11">
        <v>1934.4233181110708</v>
      </c>
      <c r="D18" s="11">
        <v>1991.1109140397323</v>
      </c>
      <c r="E18" s="11">
        <v>2025.3749831613666</v>
      </c>
      <c r="F18" s="11">
        <v>2140.9414533872537</v>
      </c>
      <c r="G18" s="11"/>
      <c r="H18" s="11">
        <f t="shared" si="2"/>
        <v>149.83053934752138</v>
      </c>
      <c r="I18" s="11">
        <f>'RD T1'!E17</f>
        <v>954.41767485525077</v>
      </c>
      <c r="J18" s="11">
        <f t="shared" si="5"/>
        <v>1104.248214202772</v>
      </c>
      <c r="L18" s="10" t="str">
        <f>name!D14</f>
        <v>35 Business and public service associate professionals</v>
      </c>
      <c r="M18" s="11">
        <v>965.95917277592878</v>
      </c>
      <c r="N18" s="11">
        <v>1018.4470827087144</v>
      </c>
      <c r="O18" s="11">
        <v>1053.5518681258898</v>
      </c>
      <c r="P18" s="11">
        <v>1057.9940747821515</v>
      </c>
      <c r="Q18" s="11">
        <v>1080.6873903129567</v>
      </c>
      <c r="R18" s="11"/>
      <c r="S18" s="11">
        <f t="shared" si="3"/>
        <v>27.135522187066954</v>
      </c>
      <c r="T18" s="11">
        <f>'RD T1'!T17</f>
        <v>415.26903114499436</v>
      </c>
      <c r="U18" s="11">
        <f t="shared" si="6"/>
        <v>442.40455333206131</v>
      </c>
      <c r="W18" s="10" t="str">
        <f>name!D14</f>
        <v>35 Business and public service associate professionals</v>
      </c>
      <c r="X18" s="11">
        <v>828.93169448996821</v>
      </c>
      <c r="Y18" s="11">
        <v>915.97623540235111</v>
      </c>
      <c r="Z18" s="11">
        <v>937.55904591384251</v>
      </c>
      <c r="AA18" s="11">
        <v>967.38090837922243</v>
      </c>
      <c r="AB18" s="11">
        <v>1060.2540630743006</v>
      </c>
      <c r="AC18" s="11"/>
      <c r="AD18" s="11">
        <f t="shared" si="4"/>
        <v>122.69501716045806</v>
      </c>
      <c r="AE18" s="11">
        <f>'RD T1'!T46</f>
        <v>539.14864371025669</v>
      </c>
      <c r="AF18" s="11">
        <f t="shared" si="7"/>
        <v>661.84366087071476</v>
      </c>
    </row>
    <row r="19" spans="1:32">
      <c r="A19" s="10" t="str">
        <f>name!D15</f>
        <v>41 Administrative occupations</v>
      </c>
      <c r="B19" s="11">
        <v>2509.3095493403998</v>
      </c>
      <c r="C19" s="11">
        <v>2472.5923602894604</v>
      </c>
      <c r="D19" s="11">
        <v>2567.7596878310501</v>
      </c>
      <c r="E19" s="11">
        <v>2656.3729438846876</v>
      </c>
      <c r="F19" s="11">
        <v>2608.0002276081527</v>
      </c>
      <c r="G19" s="11"/>
      <c r="H19" s="11">
        <f t="shared" si="2"/>
        <v>40.24053977710264</v>
      </c>
      <c r="I19" s="11">
        <f>'RD T1'!E18</f>
        <v>1326.9844035075698</v>
      </c>
      <c r="J19" s="11">
        <f t="shared" si="5"/>
        <v>1367.2249432846725</v>
      </c>
      <c r="L19" s="10" t="str">
        <f>name!D15</f>
        <v>41 Administrative occupations</v>
      </c>
      <c r="M19" s="11">
        <v>727.83657437185593</v>
      </c>
      <c r="N19" s="11">
        <v>694.85889696752338</v>
      </c>
      <c r="O19" s="11">
        <v>818.45285183372221</v>
      </c>
      <c r="P19" s="11">
        <v>874.87626257476779</v>
      </c>
      <c r="Q19" s="11">
        <v>965.12021326302624</v>
      </c>
      <c r="R19" s="11"/>
      <c r="S19" s="11">
        <f t="shared" si="3"/>
        <v>146.66736142930404</v>
      </c>
      <c r="T19" s="11">
        <f>'RD T1'!T18</f>
        <v>338.85510425908893</v>
      </c>
      <c r="U19" s="11">
        <f t="shared" si="6"/>
        <v>485.52246568839297</v>
      </c>
      <c r="W19" s="10" t="str">
        <f>name!D15</f>
        <v>41 Administrative occupations</v>
      </c>
      <c r="X19" s="11">
        <v>1781.4729749685389</v>
      </c>
      <c r="Y19" s="11">
        <v>1777.7334633219327</v>
      </c>
      <c r="Z19" s="11">
        <v>1749.3068359973265</v>
      </c>
      <c r="AA19" s="11">
        <v>1781.4966813099238</v>
      </c>
      <c r="AB19" s="11">
        <v>1642.8800143451274</v>
      </c>
      <c r="AC19" s="11"/>
      <c r="AD19" s="11">
        <f t="shared" si="4"/>
        <v>-106.42682165219912</v>
      </c>
      <c r="AE19" s="11">
        <f>'RD T1'!T47</f>
        <v>988.12929924848061</v>
      </c>
      <c r="AF19" s="11">
        <f t="shared" si="7"/>
        <v>881.70247759628148</v>
      </c>
    </row>
    <row r="20" spans="1:32">
      <c r="A20" s="10" t="str">
        <f>name!D16</f>
        <v>42 Secretarial and related occupations</v>
      </c>
      <c r="B20" s="11">
        <v>640.18421130639149</v>
      </c>
      <c r="C20" s="11">
        <v>588.31426570119629</v>
      </c>
      <c r="D20" s="11">
        <v>571.84680079936788</v>
      </c>
      <c r="E20" s="11">
        <v>527.15747825162987</v>
      </c>
      <c r="F20" s="11">
        <v>398.32398571153078</v>
      </c>
      <c r="G20" s="11"/>
      <c r="H20" s="11">
        <f t="shared" si="2"/>
        <v>-173.5228150878371</v>
      </c>
      <c r="I20" s="11">
        <f>'RD T1'!E19</f>
        <v>261.82466325106844</v>
      </c>
      <c r="J20" s="11">
        <f t="shared" si="5"/>
        <v>88.301848163231341</v>
      </c>
      <c r="L20" s="10" t="str">
        <f>name!D16</f>
        <v>42 Secretarial and related occupations</v>
      </c>
      <c r="M20" s="11">
        <v>46.093453153348044</v>
      </c>
      <c r="N20" s="11">
        <v>36.22410403174166</v>
      </c>
      <c r="O20" s="11">
        <v>35.701728456353983</v>
      </c>
      <c r="P20" s="11">
        <v>32.5712503774947</v>
      </c>
      <c r="Q20" s="11">
        <v>37.951441632302746</v>
      </c>
      <c r="R20" s="11"/>
      <c r="S20" s="11">
        <f t="shared" si="3"/>
        <v>2.249713175948763</v>
      </c>
      <c r="T20" s="11">
        <f>'RD T1'!T19</f>
        <v>11.395679512446971</v>
      </c>
      <c r="U20" s="11">
        <f t="shared" si="6"/>
        <v>13.645392688395734</v>
      </c>
      <c r="W20" s="10" t="str">
        <f>name!D16</f>
        <v>42 Secretarial and related occupations</v>
      </c>
      <c r="X20" s="11">
        <v>594.09075815304323</v>
      </c>
      <c r="Y20" s="11">
        <v>552.09016166945446</v>
      </c>
      <c r="Z20" s="11">
        <v>536.14507234301448</v>
      </c>
      <c r="AA20" s="11">
        <v>494.58622787413481</v>
      </c>
      <c r="AB20" s="11">
        <v>360.37254407922774</v>
      </c>
      <c r="AC20" s="11"/>
      <c r="AD20" s="11">
        <f t="shared" si="4"/>
        <v>-175.77252826378674</v>
      </c>
      <c r="AE20" s="11">
        <f>'RD T1'!T48</f>
        <v>250.42898373862147</v>
      </c>
      <c r="AF20" s="11">
        <f t="shared" si="7"/>
        <v>74.656455474834729</v>
      </c>
    </row>
    <row r="21" spans="1:32">
      <c r="A21" s="10" t="str">
        <f>name!D17</f>
        <v>51 Skilled agricultural and related trades</v>
      </c>
      <c r="B21" s="11">
        <v>298.83864607965563</v>
      </c>
      <c r="C21" s="11">
        <v>302.26783410806155</v>
      </c>
      <c r="D21" s="11">
        <v>271.9670256457141</v>
      </c>
      <c r="E21" s="11">
        <v>269.43754865618814</v>
      </c>
      <c r="F21" s="11">
        <v>298.01795271042778</v>
      </c>
      <c r="G21" s="11"/>
      <c r="H21" s="11">
        <f t="shared" si="2"/>
        <v>26.050927064713676</v>
      </c>
      <c r="I21" s="11">
        <f>'RD T1'!E20</f>
        <v>159.32399388113063</v>
      </c>
      <c r="J21" s="11">
        <f t="shared" si="5"/>
        <v>185.37492094584431</v>
      </c>
      <c r="L21" s="10" t="str">
        <f>name!D17</f>
        <v>51 Skilled agricultural and related trades</v>
      </c>
      <c r="M21" s="11">
        <v>250.64111379511544</v>
      </c>
      <c r="N21" s="11">
        <v>252.30613759773522</v>
      </c>
      <c r="O21" s="11">
        <v>216.98274328121153</v>
      </c>
      <c r="P21" s="11">
        <v>211.18917441775167</v>
      </c>
      <c r="Q21" s="11">
        <v>226.24225337156895</v>
      </c>
      <c r="R21" s="11"/>
      <c r="S21" s="11">
        <f t="shared" si="3"/>
        <v>9.2595100903574235</v>
      </c>
      <c r="T21" s="11">
        <f>'RD T1'!T20</f>
        <v>115.5596706838332</v>
      </c>
      <c r="U21" s="11">
        <f t="shared" si="6"/>
        <v>124.81918077419063</v>
      </c>
      <c r="W21" s="10" t="str">
        <f>name!D17</f>
        <v>51 Skilled agricultural and related trades</v>
      </c>
      <c r="X21" s="11">
        <v>48.197532284540223</v>
      </c>
      <c r="Y21" s="11">
        <v>49.961696510325552</v>
      </c>
      <c r="Z21" s="11">
        <v>54.984282364501738</v>
      </c>
      <c r="AA21" s="11">
        <v>58.248374238436412</v>
      </c>
      <c r="AB21" s="11">
        <v>71.77569933885907</v>
      </c>
      <c r="AC21" s="11"/>
      <c r="AD21" s="11">
        <f t="shared" si="4"/>
        <v>16.791416974357332</v>
      </c>
      <c r="AE21" s="11">
        <f>'RD T1'!T49</f>
        <v>43.764323197297429</v>
      </c>
      <c r="AF21" s="11">
        <f t="shared" si="7"/>
        <v>60.555740171654762</v>
      </c>
    </row>
    <row r="22" spans="1:32">
      <c r="A22" s="10" t="str">
        <f>name!D18</f>
        <v>52 Skilled metal, electrical and electronic trades</v>
      </c>
      <c r="B22" s="11">
        <v>1042.1574658136535</v>
      </c>
      <c r="C22" s="11">
        <v>1064.18444026626</v>
      </c>
      <c r="D22" s="11">
        <v>921.97868029404242</v>
      </c>
      <c r="E22" s="11">
        <v>917.17586309660999</v>
      </c>
      <c r="F22" s="11">
        <v>865.475059700835</v>
      </c>
      <c r="G22" s="11"/>
      <c r="H22" s="11">
        <f t="shared" si="2"/>
        <v>-56.503620593207415</v>
      </c>
      <c r="I22" s="11">
        <f>'RD T1'!E21</f>
        <v>345.99412398333004</v>
      </c>
      <c r="J22" s="11">
        <f t="shared" si="5"/>
        <v>289.49050339012263</v>
      </c>
      <c r="L22" s="10" t="str">
        <f>name!D18</f>
        <v>52 Skilled metal, electrical and electronic trades</v>
      </c>
      <c r="M22" s="11">
        <v>1024.0224599930325</v>
      </c>
      <c r="N22" s="11">
        <v>1033.9838601018039</v>
      </c>
      <c r="O22" s="11">
        <v>899.07084758315523</v>
      </c>
      <c r="P22" s="11">
        <v>876.760632583046</v>
      </c>
      <c r="Q22" s="11">
        <v>815.14902033959197</v>
      </c>
      <c r="R22" s="11"/>
      <c r="S22" s="11">
        <f t="shared" si="3"/>
        <v>-83.921827243563257</v>
      </c>
      <c r="T22" s="11">
        <f>'RD T1'!T21</f>
        <v>321.95224593918562</v>
      </c>
      <c r="U22" s="11">
        <f t="shared" si="6"/>
        <v>238.03041869562236</v>
      </c>
      <c r="W22" s="10" t="str">
        <f>name!D18</f>
        <v>52 Skilled metal, electrical and electronic trades</v>
      </c>
      <c r="X22" s="11">
        <v>18.13500582062046</v>
      </c>
      <c r="Y22" s="11">
        <v>30.200580164460813</v>
      </c>
      <c r="Z22" s="11">
        <v>22.907832710885604</v>
      </c>
      <c r="AA22" s="11">
        <v>40.415230513564502</v>
      </c>
      <c r="AB22" s="11">
        <v>50.326039361242614</v>
      </c>
      <c r="AC22" s="11"/>
      <c r="AD22" s="11">
        <f t="shared" si="4"/>
        <v>27.418206650357011</v>
      </c>
      <c r="AE22" s="11">
        <f>'RD T1'!T50</f>
        <v>24.041878044144436</v>
      </c>
      <c r="AF22" s="11">
        <f t="shared" si="7"/>
        <v>51.460084694501447</v>
      </c>
    </row>
    <row r="23" spans="1:32">
      <c r="A23" s="10" t="str">
        <f>name!D19</f>
        <v>53 Skilled construction and building trades</v>
      </c>
      <c r="B23" s="11">
        <v>918.22690874959676</v>
      </c>
      <c r="C23" s="11">
        <v>907.39739905518616</v>
      </c>
      <c r="D23" s="11">
        <v>769.61235836915148</v>
      </c>
      <c r="E23" s="11">
        <v>775.26803802162817</v>
      </c>
      <c r="F23" s="11">
        <v>718.69802351717806</v>
      </c>
      <c r="G23" s="11"/>
      <c r="H23" s="11">
        <f t="shared" si="2"/>
        <v>-50.914334851973422</v>
      </c>
      <c r="I23" s="11">
        <f>'RD T1'!E22</f>
        <v>320.89195737736384</v>
      </c>
      <c r="J23" s="11">
        <f t="shared" si="5"/>
        <v>269.97762252539042</v>
      </c>
      <c r="L23" s="10" t="str">
        <f>name!D19</f>
        <v>53 Skilled construction and building trades</v>
      </c>
      <c r="M23" s="11">
        <v>903.50029006499324</v>
      </c>
      <c r="N23" s="11">
        <v>889.03762345726977</v>
      </c>
      <c r="O23" s="11">
        <v>750.69644760200902</v>
      </c>
      <c r="P23" s="11">
        <v>762.72298716077989</v>
      </c>
      <c r="Q23" s="11">
        <v>704.16901469255447</v>
      </c>
      <c r="R23" s="11"/>
      <c r="S23" s="11">
        <f t="shared" si="3"/>
        <v>-46.527432909454546</v>
      </c>
      <c r="T23" s="11">
        <f>'RD T1'!T22</f>
        <v>313.55544107853501</v>
      </c>
      <c r="U23" s="11">
        <f t="shared" si="6"/>
        <v>267.02800816908046</v>
      </c>
      <c r="W23" s="10" t="str">
        <f>name!D19</f>
        <v>53 Skilled construction and building trades</v>
      </c>
      <c r="X23" s="11">
        <v>14.726618684604233</v>
      </c>
      <c r="Y23" s="11">
        <v>18.359775597916546</v>
      </c>
      <c r="Z23" s="11">
        <v>18.915910767141682</v>
      </c>
      <c r="AA23" s="11">
        <v>12.545050860848972</v>
      </c>
      <c r="AB23" s="11">
        <v>14.529008824624869</v>
      </c>
      <c r="AC23" s="11"/>
      <c r="AD23" s="11">
        <f t="shared" si="4"/>
        <v>-4.386901942516813</v>
      </c>
      <c r="AE23" s="11">
        <f>'RD T1'!T51</f>
        <v>7.3365162988287569</v>
      </c>
      <c r="AF23" s="11">
        <f t="shared" si="7"/>
        <v>2.9496143563119439</v>
      </c>
    </row>
    <row r="24" spans="1:32">
      <c r="A24" s="10" t="str">
        <f>name!D20</f>
        <v>54 Textiles, printing and other skilled trades</v>
      </c>
      <c r="B24" s="11">
        <v>630.46793566083784</v>
      </c>
      <c r="C24" s="11">
        <v>576.92178100426145</v>
      </c>
      <c r="D24" s="11">
        <v>543.77413661579681</v>
      </c>
      <c r="E24" s="11">
        <v>576.01004503780393</v>
      </c>
      <c r="F24" s="11">
        <v>587.56830356877924</v>
      </c>
      <c r="G24" s="11"/>
      <c r="H24" s="11">
        <f t="shared" si="2"/>
        <v>43.794166952982437</v>
      </c>
      <c r="I24" s="11">
        <f>'RD T1'!E23</f>
        <v>250.03821473562476</v>
      </c>
      <c r="J24" s="11">
        <f t="shared" si="5"/>
        <v>293.8323816886072</v>
      </c>
      <c r="L24" s="10" t="str">
        <f>name!D20</f>
        <v>54 Textiles, printing and other skilled trades</v>
      </c>
      <c r="M24" s="11">
        <v>401.76819481597715</v>
      </c>
      <c r="N24" s="11">
        <v>364.10475426804828</v>
      </c>
      <c r="O24" s="11">
        <v>318.36080556645021</v>
      </c>
      <c r="P24" s="11">
        <v>341.48743231186211</v>
      </c>
      <c r="Q24" s="11">
        <v>346.57330293943801</v>
      </c>
      <c r="R24" s="11"/>
      <c r="S24" s="11">
        <f t="shared" si="3"/>
        <v>28.212497372987798</v>
      </c>
      <c r="T24" s="11">
        <f>'RD T1'!T23</f>
        <v>112.45151387186199</v>
      </c>
      <c r="U24" s="11">
        <f t="shared" si="6"/>
        <v>140.6640112448498</v>
      </c>
      <c r="W24" s="10" t="str">
        <f>name!D20</f>
        <v>54 Textiles, printing and other skilled trades</v>
      </c>
      <c r="X24" s="11">
        <v>228.69974084486122</v>
      </c>
      <c r="Y24" s="11">
        <v>212.81702673621379</v>
      </c>
      <c r="Z24" s="11">
        <v>225.4133310493485</v>
      </c>
      <c r="AA24" s="11">
        <v>234.52261272594376</v>
      </c>
      <c r="AB24" s="11">
        <v>240.99500062934234</v>
      </c>
      <c r="AC24" s="11"/>
      <c r="AD24" s="11">
        <f t="shared" si="4"/>
        <v>15.581669579993843</v>
      </c>
      <c r="AE24" s="11">
        <f>'RD T1'!T52</f>
        <v>137.58670086376279</v>
      </c>
      <c r="AF24" s="11">
        <f t="shared" si="7"/>
        <v>153.16837044375663</v>
      </c>
    </row>
    <row r="25" spans="1:32">
      <c r="A25" s="10" t="str">
        <f>name!D21</f>
        <v>61 Caring personal service occupations</v>
      </c>
      <c r="B25" s="11">
        <v>2030.2468142039766</v>
      </c>
      <c r="C25" s="11">
        <v>2089.8052877913406</v>
      </c>
      <c r="D25" s="11">
        <v>2019.8340014923285</v>
      </c>
      <c r="E25" s="11">
        <v>2116.9998910688078</v>
      </c>
      <c r="F25" s="11">
        <v>2292.0510206757358</v>
      </c>
      <c r="G25" s="11"/>
      <c r="H25" s="11">
        <f t="shared" si="2"/>
        <v>272.21701918340727</v>
      </c>
      <c r="I25" s="11">
        <f>'RD T1'!E24</f>
        <v>1210.8665860494173</v>
      </c>
      <c r="J25" s="11">
        <f t="shared" si="5"/>
        <v>1483.0836052328245</v>
      </c>
      <c r="L25" s="10" t="str">
        <f>name!D21</f>
        <v>61 Caring personal service occupations</v>
      </c>
      <c r="M25" s="11">
        <v>311.25983263375065</v>
      </c>
      <c r="N25" s="11">
        <v>322.48355148768326</v>
      </c>
      <c r="O25" s="11">
        <v>311.47269709986608</v>
      </c>
      <c r="P25" s="11">
        <v>374.16156422353623</v>
      </c>
      <c r="Q25" s="11">
        <v>434.35397669676667</v>
      </c>
      <c r="R25" s="11"/>
      <c r="S25" s="11">
        <f t="shared" si="3"/>
        <v>122.88127959690058</v>
      </c>
      <c r="T25" s="11">
        <f>'RD T1'!T24</f>
        <v>172.83496838070789</v>
      </c>
      <c r="U25" s="11">
        <f t="shared" si="6"/>
        <v>295.71624797760848</v>
      </c>
      <c r="W25" s="10" t="str">
        <f>name!D21</f>
        <v>61 Caring personal service occupations</v>
      </c>
      <c r="X25" s="11">
        <v>1718.986981570223</v>
      </c>
      <c r="Y25" s="11">
        <v>1767.3217363036542</v>
      </c>
      <c r="Z25" s="11">
        <v>1708.3613043924645</v>
      </c>
      <c r="AA25" s="11">
        <v>1742.8383268452737</v>
      </c>
      <c r="AB25" s="11">
        <v>1857.6970439789782</v>
      </c>
      <c r="AC25" s="11"/>
      <c r="AD25" s="11">
        <f t="shared" si="4"/>
        <v>149.33573958651368</v>
      </c>
      <c r="AE25" s="11">
        <f>'RD T1'!T53</f>
        <v>1038.0316176687093</v>
      </c>
      <c r="AF25" s="11">
        <f t="shared" si="7"/>
        <v>1187.3673572552229</v>
      </c>
    </row>
    <row r="26" spans="1:32">
      <c r="A26" s="10" t="str">
        <f>name!D22</f>
        <v>62 Leisure, travel and related personal service occupations</v>
      </c>
      <c r="B26" s="11">
        <v>627.3899065379079</v>
      </c>
      <c r="C26" s="11">
        <v>680.2954268390763</v>
      </c>
      <c r="D26" s="11">
        <v>627.66767668036812</v>
      </c>
      <c r="E26" s="11">
        <v>592.13637104133159</v>
      </c>
      <c r="F26" s="11">
        <v>602.79487172872302</v>
      </c>
      <c r="G26" s="11"/>
      <c r="H26" s="11">
        <f t="shared" si="2"/>
        <v>-24.872804951645094</v>
      </c>
      <c r="I26" s="11">
        <f>'RD T1'!E25</f>
        <v>306.85441869761098</v>
      </c>
      <c r="J26" s="11">
        <f t="shared" si="5"/>
        <v>281.98161374596589</v>
      </c>
      <c r="L26" s="10" t="str">
        <f>name!D22</f>
        <v>62 Leisure, travel and related personal service occupations</v>
      </c>
      <c r="M26" s="11">
        <v>184.68109088265953</v>
      </c>
      <c r="N26" s="11">
        <v>207.7612005136078</v>
      </c>
      <c r="O26" s="11">
        <v>198.46082888973393</v>
      </c>
      <c r="P26" s="11">
        <v>193.87490527455404</v>
      </c>
      <c r="Q26" s="11">
        <v>209.93640702482563</v>
      </c>
      <c r="R26" s="11"/>
      <c r="S26" s="11">
        <f t="shared" si="3"/>
        <v>11.475578135091695</v>
      </c>
      <c r="T26" s="11">
        <f>'RD T1'!T25</f>
        <v>87.409085773896877</v>
      </c>
      <c r="U26" s="11">
        <f t="shared" si="6"/>
        <v>98.884663908988571</v>
      </c>
      <c r="W26" s="10" t="str">
        <f>name!D22</f>
        <v>62 Leisure, travel and related personal service occupations</v>
      </c>
      <c r="X26" s="11">
        <v>442.70881565524849</v>
      </c>
      <c r="Y26" s="11">
        <v>472.5342263254683</v>
      </c>
      <c r="Z26" s="11">
        <v>429.20684779063481</v>
      </c>
      <c r="AA26" s="11">
        <v>398.26146576677797</v>
      </c>
      <c r="AB26" s="11">
        <v>392.85846470389714</v>
      </c>
      <c r="AC26" s="11"/>
      <c r="AD26" s="11">
        <f t="shared" si="4"/>
        <v>-36.34838308673767</v>
      </c>
      <c r="AE26" s="11">
        <f>'RD T1'!T54</f>
        <v>219.44533292371412</v>
      </c>
      <c r="AF26" s="11">
        <f t="shared" si="7"/>
        <v>183.09694983697645</v>
      </c>
    </row>
    <row r="27" spans="1:32">
      <c r="A27" s="10" t="str">
        <f>name!D23</f>
        <v>63 Community and civil enforcement occupations</v>
      </c>
      <c r="B27" s="11">
        <v>28.840224624383737</v>
      </c>
      <c r="C27" s="11">
        <v>24.875420380183126</v>
      </c>
      <c r="D27" s="11">
        <v>31.002949965390982</v>
      </c>
      <c r="E27" s="11">
        <v>23.001968670549161</v>
      </c>
      <c r="F27" s="11">
        <v>25.111456131993485</v>
      </c>
      <c r="G27" s="11"/>
      <c r="H27" s="11">
        <f t="shared" si="2"/>
        <v>-5.8914938333974973</v>
      </c>
      <c r="I27" s="11">
        <f>'RD T1'!E26</f>
        <v>12.102982215956883</v>
      </c>
      <c r="J27" s="11">
        <f t="shared" si="5"/>
        <v>6.2114883825593861</v>
      </c>
      <c r="L27" s="10" t="str">
        <f>name!D23</f>
        <v>63 Community and civil enforcement occupations</v>
      </c>
      <c r="M27" s="11">
        <v>22.290786952543879</v>
      </c>
      <c r="N27" s="11">
        <v>16.842116200071658</v>
      </c>
      <c r="O27" s="11">
        <v>24.287524520410017</v>
      </c>
      <c r="P27" s="11">
        <v>13.869065289823112</v>
      </c>
      <c r="Q27" s="11">
        <v>16.058275525866105</v>
      </c>
      <c r="R27" s="11"/>
      <c r="S27" s="11">
        <f t="shared" si="3"/>
        <v>-8.2292489945439122</v>
      </c>
      <c r="T27" s="11">
        <f>'RD T1'!T26</f>
        <v>6.4325245854912039</v>
      </c>
      <c r="U27" s="11">
        <f t="shared" si="6"/>
        <v>-1.7967244090527084</v>
      </c>
      <c r="W27" s="10" t="str">
        <f>name!D23</f>
        <v>63 Community and civil enforcement occupations</v>
      </c>
      <c r="X27" s="11">
        <v>6.5494376718399119</v>
      </c>
      <c r="Y27" s="11">
        <v>8.0333041801115392</v>
      </c>
      <c r="Z27" s="11">
        <v>6.7154254449809176</v>
      </c>
      <c r="AA27" s="11">
        <v>9.1329033807260522</v>
      </c>
      <c r="AB27" s="11">
        <v>9.0531806061273876</v>
      </c>
      <c r="AC27" s="11"/>
      <c r="AD27" s="11">
        <f t="shared" si="4"/>
        <v>2.33775516114647</v>
      </c>
      <c r="AE27" s="11">
        <f>'RD T1'!T55</f>
        <v>5.6704576304656813</v>
      </c>
      <c r="AF27" s="11">
        <f t="shared" si="7"/>
        <v>8.0082127916121522</v>
      </c>
    </row>
    <row r="28" spans="1:32">
      <c r="A28" s="10" t="str">
        <f>name!D24</f>
        <v>71 Sales occupations</v>
      </c>
      <c r="B28" s="11">
        <v>1992.1189392123574</v>
      </c>
      <c r="C28" s="11">
        <v>1892.2329930164867</v>
      </c>
      <c r="D28" s="11">
        <v>1855.6966390660123</v>
      </c>
      <c r="E28" s="11">
        <v>1827.9786053280959</v>
      </c>
      <c r="F28" s="11">
        <v>1776.4423055232701</v>
      </c>
      <c r="G28" s="11"/>
      <c r="H28" s="11">
        <f t="shared" si="2"/>
        <v>-79.254333542742188</v>
      </c>
      <c r="I28" s="11">
        <f>'RD T1'!E27</f>
        <v>843.54206288157229</v>
      </c>
      <c r="J28" s="11">
        <f t="shared" si="5"/>
        <v>764.2877293388301</v>
      </c>
      <c r="L28" s="10" t="str">
        <f>name!D24</f>
        <v>71 Sales occupations</v>
      </c>
      <c r="M28" s="11">
        <v>793.63754454260561</v>
      </c>
      <c r="N28" s="11">
        <v>788.63363985370268</v>
      </c>
      <c r="O28" s="11">
        <v>774.40548986854833</v>
      </c>
      <c r="P28" s="11">
        <v>770.47287003575786</v>
      </c>
      <c r="Q28" s="11">
        <v>770.22168150481446</v>
      </c>
      <c r="R28" s="11"/>
      <c r="S28" s="11">
        <f t="shared" si="3"/>
        <v>-4.1838083637338741</v>
      </c>
      <c r="T28" s="11">
        <f>'RD T1'!T27</f>
        <v>262.38387373165409</v>
      </c>
      <c r="U28" s="11">
        <f t="shared" si="6"/>
        <v>258.20006536792022</v>
      </c>
      <c r="W28" s="10" t="str">
        <f>name!D24</f>
        <v>71 Sales occupations</v>
      </c>
      <c r="X28" s="11">
        <v>1198.4813946697545</v>
      </c>
      <c r="Y28" s="11">
        <v>1103.5993531627848</v>
      </c>
      <c r="Z28" s="11">
        <v>1081.291149197466</v>
      </c>
      <c r="AA28" s="11">
        <v>1057.5057352923379</v>
      </c>
      <c r="AB28" s="11">
        <v>1006.220624018454</v>
      </c>
      <c r="AC28" s="11"/>
      <c r="AD28" s="11">
        <f t="shared" si="4"/>
        <v>-75.070525179011952</v>
      </c>
      <c r="AE28" s="11">
        <f>'RD T1'!T56</f>
        <v>581.15818914991826</v>
      </c>
      <c r="AF28" s="11">
        <f t="shared" si="7"/>
        <v>506.08766397090631</v>
      </c>
    </row>
    <row r="29" spans="1:32">
      <c r="A29" s="10" t="str">
        <f>name!D25</f>
        <v>72 Customer service occupations</v>
      </c>
      <c r="B29" s="11">
        <v>459.59571905867102</v>
      </c>
      <c r="C29" s="11">
        <v>498.82909103944002</v>
      </c>
      <c r="D29" s="11">
        <v>508.15214932829099</v>
      </c>
      <c r="E29" s="11">
        <v>567.71572285790808</v>
      </c>
      <c r="F29" s="11">
        <v>631.80430785816031</v>
      </c>
      <c r="G29" s="11"/>
      <c r="H29" s="11">
        <f t="shared" si="2"/>
        <v>123.65215852986933</v>
      </c>
      <c r="I29" s="11">
        <f>'RD T1'!E28</f>
        <v>265.41487977859879</v>
      </c>
      <c r="J29" s="11">
        <f t="shared" si="5"/>
        <v>389.06703830846811</v>
      </c>
      <c r="L29" s="10" t="str">
        <f>name!D25</f>
        <v>72 Customer service occupations</v>
      </c>
      <c r="M29" s="11">
        <v>181.54292303428872</v>
      </c>
      <c r="N29" s="11">
        <v>170.95875554882193</v>
      </c>
      <c r="O29" s="11">
        <v>197.23484610684486</v>
      </c>
      <c r="P29" s="11">
        <v>245.36036355002184</v>
      </c>
      <c r="Q29" s="11">
        <v>284.46328361232622</v>
      </c>
      <c r="R29" s="11"/>
      <c r="S29" s="11">
        <f t="shared" si="3"/>
        <v>87.228437505481367</v>
      </c>
      <c r="T29" s="11">
        <f>'RD T1'!T28</f>
        <v>87.206216901277514</v>
      </c>
      <c r="U29" s="11">
        <f t="shared" si="6"/>
        <v>174.43465440675888</v>
      </c>
      <c r="W29" s="10" t="str">
        <f>name!D25</f>
        <v>72 Customer service occupations</v>
      </c>
      <c r="X29" s="11">
        <v>278.05279602438247</v>
      </c>
      <c r="Y29" s="11">
        <v>327.87033549061783</v>
      </c>
      <c r="Z29" s="11">
        <v>310.91730322144628</v>
      </c>
      <c r="AA29" s="11">
        <v>322.35535930788836</v>
      </c>
      <c r="AB29" s="11">
        <v>347.34102424583415</v>
      </c>
      <c r="AC29" s="11"/>
      <c r="AD29" s="11">
        <f t="shared" si="4"/>
        <v>36.423721024387874</v>
      </c>
      <c r="AE29" s="11">
        <f>'RD T1'!T57</f>
        <v>178.20866287732127</v>
      </c>
      <c r="AF29" s="11">
        <f t="shared" si="7"/>
        <v>214.63238390170915</v>
      </c>
    </row>
    <row r="30" spans="1:32">
      <c r="A30" s="10" t="str">
        <f>name!D26</f>
        <v>81 Process, plant and machine operatives</v>
      </c>
      <c r="B30" s="11">
        <v>713.31333030825101</v>
      </c>
      <c r="C30" s="11">
        <v>691.72064265695496</v>
      </c>
      <c r="D30" s="11">
        <v>609.71859517402538</v>
      </c>
      <c r="E30" s="11">
        <v>638.68146878490086</v>
      </c>
      <c r="F30" s="11">
        <v>598.38816602412339</v>
      </c>
      <c r="G30" s="11"/>
      <c r="H30" s="11">
        <f t="shared" si="2"/>
        <v>-11.330429149901988</v>
      </c>
      <c r="I30" s="11">
        <f>'RD T1'!E29</f>
        <v>247.65266980838439</v>
      </c>
      <c r="J30" s="11">
        <f t="shared" si="5"/>
        <v>236.3222406584824</v>
      </c>
      <c r="L30" s="10" t="str">
        <f>name!D26</f>
        <v>81 Process, plant and machine operatives</v>
      </c>
      <c r="M30" s="11">
        <v>556.98642676520933</v>
      </c>
      <c r="N30" s="11">
        <v>528.98645036415655</v>
      </c>
      <c r="O30" s="11">
        <v>469.64960221281223</v>
      </c>
      <c r="P30" s="11">
        <v>473.51931016809766</v>
      </c>
      <c r="Q30" s="11">
        <v>433.81990973379123</v>
      </c>
      <c r="R30" s="11"/>
      <c r="S30" s="11">
        <f t="shared" si="3"/>
        <v>-35.829692479020991</v>
      </c>
      <c r="T30" s="11">
        <f>'RD T1'!T29</f>
        <v>166.60105864395433</v>
      </c>
      <c r="U30" s="11">
        <f t="shared" si="6"/>
        <v>130.77136616493334</v>
      </c>
      <c r="W30" s="10" t="str">
        <f>name!D26</f>
        <v>81 Process, plant and machine operatives</v>
      </c>
      <c r="X30" s="11">
        <v>156.32690354304097</v>
      </c>
      <c r="Y30" s="11">
        <v>162.7341922927977</v>
      </c>
      <c r="Z30" s="11">
        <v>140.06899296121219</v>
      </c>
      <c r="AA30" s="11">
        <v>165.16215861680436</v>
      </c>
      <c r="AB30" s="11">
        <v>164.56825629033261</v>
      </c>
      <c r="AC30" s="11"/>
      <c r="AD30" s="11">
        <f t="shared" si="4"/>
        <v>24.499263329120424</v>
      </c>
      <c r="AE30" s="11">
        <f>'RD T1'!T58</f>
        <v>81.051611164430128</v>
      </c>
      <c r="AF30" s="11">
        <f t="shared" si="7"/>
        <v>105.55087449355055</v>
      </c>
    </row>
    <row r="31" spans="1:32">
      <c r="A31" s="10" t="str">
        <f>name!D27</f>
        <v>82 Transport and mobile machine drivers and operatives</v>
      </c>
      <c r="B31" s="11">
        <v>1054.0123740558722</v>
      </c>
      <c r="C31" s="11">
        <v>1178.8274412312694</v>
      </c>
      <c r="D31" s="11">
        <v>1056.0707054043842</v>
      </c>
      <c r="E31" s="11">
        <v>1085.5936032427051</v>
      </c>
      <c r="F31" s="11">
        <v>1066.5769444018338</v>
      </c>
      <c r="G31" s="11"/>
      <c r="H31" s="11">
        <f t="shared" si="2"/>
        <v>10.5062389974496</v>
      </c>
      <c r="I31" s="11">
        <f>'RD T1'!E30</f>
        <v>573.74958166028853</v>
      </c>
      <c r="J31" s="11">
        <f t="shared" si="5"/>
        <v>584.25582065773813</v>
      </c>
      <c r="L31" s="10" t="str">
        <f>name!D27</f>
        <v>82 Transport and mobile machine drivers and operatives</v>
      </c>
      <c r="M31" s="11">
        <v>988.67241243807359</v>
      </c>
      <c r="N31" s="11">
        <v>1112.3915530177214</v>
      </c>
      <c r="O31" s="11">
        <v>993.83914180756892</v>
      </c>
      <c r="P31" s="11">
        <v>1003.9970233370227</v>
      </c>
      <c r="Q31" s="11">
        <v>975.10462147693943</v>
      </c>
      <c r="R31" s="11"/>
      <c r="S31" s="11">
        <f t="shared" si="3"/>
        <v>-18.734520330629493</v>
      </c>
      <c r="T31" s="11">
        <f>'RD T1'!T30</f>
        <v>522.13344349223473</v>
      </c>
      <c r="U31" s="11">
        <f t="shared" si="6"/>
        <v>503.39892316160524</v>
      </c>
      <c r="W31" s="10" t="str">
        <f>name!D27</f>
        <v>82 Transport and mobile machine drivers and operatives</v>
      </c>
      <c r="X31" s="11">
        <v>65.339961617798295</v>
      </c>
      <c r="Y31" s="11">
        <v>66.435888213547102</v>
      </c>
      <c r="Z31" s="11">
        <v>62.231563596814972</v>
      </c>
      <c r="AA31" s="11">
        <v>81.596579905686156</v>
      </c>
      <c r="AB31" s="11">
        <v>91.472322924895138</v>
      </c>
      <c r="AC31" s="11"/>
      <c r="AD31" s="11">
        <f t="shared" si="4"/>
        <v>29.240759328080166</v>
      </c>
      <c r="AE31" s="11">
        <f>'RD T1'!T59</f>
        <v>51.616138168053766</v>
      </c>
      <c r="AF31" s="11">
        <f t="shared" si="7"/>
        <v>80.856897496133939</v>
      </c>
    </row>
    <row r="32" spans="1:32">
      <c r="A32" s="10" t="str">
        <f>name!D28</f>
        <v>91 Elementary trades and related occupations</v>
      </c>
      <c r="B32" s="11">
        <v>475.90883310534304</v>
      </c>
      <c r="C32" s="11">
        <v>428.55047108245554</v>
      </c>
      <c r="D32" s="11">
        <v>379.27178924284834</v>
      </c>
      <c r="E32" s="11">
        <v>690.72403992776935</v>
      </c>
      <c r="F32" s="11">
        <v>777.66227634020322</v>
      </c>
      <c r="G32" s="11"/>
      <c r="H32" s="11">
        <f t="shared" si="2"/>
        <v>398.39048709735488</v>
      </c>
      <c r="I32" s="11">
        <f>'RD T1'!E31</f>
        <v>322.17752565295439</v>
      </c>
      <c r="J32" s="11">
        <f t="shared" si="5"/>
        <v>720.56801275030921</v>
      </c>
      <c r="L32" s="10" t="str">
        <f>name!D28</f>
        <v>91 Elementary trades and related occupations</v>
      </c>
      <c r="M32" s="11">
        <v>364.33938357079472</v>
      </c>
      <c r="N32" s="11">
        <v>329.59423436194049</v>
      </c>
      <c r="O32" s="11">
        <v>299.01635749787528</v>
      </c>
      <c r="P32" s="11">
        <v>408.34644153742551</v>
      </c>
      <c r="Q32" s="11">
        <v>439.7860145001855</v>
      </c>
      <c r="R32" s="11"/>
      <c r="S32" s="11">
        <f t="shared" si="3"/>
        <v>140.76965700231023</v>
      </c>
      <c r="T32" s="11">
        <f>'RD T1'!T31</f>
        <v>138.91412051166714</v>
      </c>
      <c r="U32" s="11">
        <f t="shared" si="6"/>
        <v>279.68377751397736</v>
      </c>
      <c r="W32" s="10" t="str">
        <f>name!D28</f>
        <v>91 Elementary trades and related occupations</v>
      </c>
      <c r="X32" s="11">
        <v>111.56944953454892</v>
      </c>
      <c r="Y32" s="11">
        <v>98.956236720515349</v>
      </c>
      <c r="Z32" s="11">
        <v>80.255431744973919</v>
      </c>
      <c r="AA32" s="11">
        <v>282.37759839034544</v>
      </c>
      <c r="AB32" s="11">
        <v>337.87626184001806</v>
      </c>
      <c r="AC32" s="11"/>
      <c r="AD32" s="11">
        <f t="shared" si="4"/>
        <v>257.62083009504414</v>
      </c>
      <c r="AE32" s="11">
        <f>'RD T1'!T60</f>
        <v>183.26340514128734</v>
      </c>
      <c r="AF32" s="11">
        <f t="shared" si="7"/>
        <v>440.88423523633151</v>
      </c>
    </row>
    <row r="33" spans="1:32">
      <c r="A33" s="10" t="str">
        <f>name!D29</f>
        <v>92 Elementary administration and service occupations</v>
      </c>
      <c r="B33" s="11">
        <v>2826.2835298888981</v>
      </c>
      <c r="C33" s="11">
        <v>2861.6919255116009</v>
      </c>
      <c r="D33" s="11">
        <v>2616.9152862125429</v>
      </c>
      <c r="E33" s="11">
        <v>2369.7745651494492</v>
      </c>
      <c r="F33" s="11">
        <v>2210.5081126228129</v>
      </c>
      <c r="G33" s="11"/>
      <c r="H33" s="11">
        <f t="shared" ref="H33" si="8">F33-D33</f>
        <v>-406.40717358973006</v>
      </c>
      <c r="I33" s="11">
        <f>'RD T1'!E32</f>
        <v>1146.5622663860015</v>
      </c>
      <c r="J33" s="11">
        <f>SUM(H33:I33)</f>
        <v>740.15509279627145</v>
      </c>
      <c r="L33" s="10" t="str">
        <f>name!D29</f>
        <v>92 Elementary administration and service occupations</v>
      </c>
      <c r="M33" s="11">
        <v>1401.0103376941013</v>
      </c>
      <c r="N33" s="11">
        <v>1370.1224487542524</v>
      </c>
      <c r="O33" s="11">
        <v>1290.3257579989206</v>
      </c>
      <c r="P33" s="11">
        <v>1258.1566964807359</v>
      </c>
      <c r="Q33" s="11">
        <v>1176.5625522461935</v>
      </c>
      <c r="R33" s="11"/>
      <c r="S33" s="11">
        <f t="shared" ref="S33" si="9">Q33-O33</f>
        <v>-113.76320575272712</v>
      </c>
      <c r="T33" s="11">
        <f>'RD T1'!T32</f>
        <v>501.47084763190941</v>
      </c>
      <c r="U33" s="11">
        <f>SUM(S33:T33)</f>
        <v>387.70764187918229</v>
      </c>
      <c r="W33" s="10" t="str">
        <f>name!D29</f>
        <v>92 Elementary administration and service occupations</v>
      </c>
      <c r="X33" s="11">
        <v>1425.2731921947941</v>
      </c>
      <c r="Y33" s="11">
        <v>1491.5694767573452</v>
      </c>
      <c r="Z33" s="11">
        <v>1326.5895282136114</v>
      </c>
      <c r="AA33" s="11">
        <v>1111.6178686687058</v>
      </c>
      <c r="AB33" s="11">
        <v>1033.9455603766266</v>
      </c>
      <c r="AC33" s="11"/>
      <c r="AD33" s="11">
        <f t="shared" ref="AD33" si="10">AB33-Z33</f>
        <v>-292.64396783698476</v>
      </c>
      <c r="AE33" s="11">
        <f>'RD T1'!T61</f>
        <v>645.09141875409216</v>
      </c>
      <c r="AF33" s="11">
        <f>SUM(AD33:AE33)</f>
        <v>352.4474509171074</v>
      </c>
    </row>
    <row r="34" spans="1:32">
      <c r="H34" s="11"/>
      <c r="L34" s="10"/>
      <c r="S34" s="11"/>
      <c r="W34" s="10"/>
      <c r="AD34" s="11"/>
    </row>
    <row r="35" spans="1:32">
      <c r="A35" s="208" t="str">
        <f>name!D3</f>
        <v>All occupations</v>
      </c>
      <c r="B35" s="26">
        <f>SUM(B8:B33)</f>
        <v>28656.171999997769</v>
      </c>
      <c r="C35" s="26">
        <f t="shared" ref="C35:F35" si="11">SUM(C8:C33)</f>
        <v>30212.759999993865</v>
      </c>
      <c r="D35" s="26">
        <f t="shared" si="11"/>
        <v>29859.680999995217</v>
      </c>
      <c r="E35" s="26">
        <f t="shared" si="11"/>
        <v>30754.748000010703</v>
      </c>
      <c r="F35" s="26">
        <f t="shared" si="11"/>
        <v>32070.091000012515</v>
      </c>
      <c r="G35" s="11"/>
      <c r="H35" s="26">
        <f>F35-D35</f>
        <v>2210.4100000172984</v>
      </c>
      <c r="I35" s="26">
        <f>SUM(I8:I33)</f>
        <v>15060.496664983217</v>
      </c>
      <c r="J35" s="26">
        <f>SUM(J8:J33)</f>
        <v>17270.906665000519</v>
      </c>
      <c r="L35" s="208" t="str">
        <f>name!D3</f>
        <v>All occupations</v>
      </c>
      <c r="M35" s="26">
        <f>SUM(M8:M33)</f>
        <v>15097.294000001102</v>
      </c>
      <c r="N35" s="26">
        <f t="shared" ref="N35:P35" si="12">SUM(N8:N33)</f>
        <v>15791.443999999361</v>
      </c>
      <c r="O35" s="26">
        <f t="shared" si="12"/>
        <v>15479.516000000252</v>
      </c>
      <c r="P35" s="26">
        <f t="shared" si="12"/>
        <v>15910.1880000028</v>
      </c>
      <c r="Q35" s="26">
        <f>SUM(Q8:Q33)</f>
        <v>16483.507000001864</v>
      </c>
      <c r="R35" s="11"/>
      <c r="S35" s="26">
        <f>Q35-O35</f>
        <v>1003.9910000016116</v>
      </c>
      <c r="T35" s="26">
        <f>SUM(T8:T33)</f>
        <v>6506.3943905286387</v>
      </c>
      <c r="U35" s="26">
        <f>SUM(U8:U33)</f>
        <v>7510.3853905302549</v>
      </c>
      <c r="W35" s="208" t="str">
        <f>name!D3</f>
        <v>All occupations</v>
      </c>
      <c r="X35" s="26">
        <f>SUM(X8:X33)</f>
        <v>13558.877999996659</v>
      </c>
      <c r="Y35" s="26">
        <f t="shared" ref="Y35:AB35" si="13">SUM(Y8:Y33)</f>
        <v>14421.315999994515</v>
      </c>
      <c r="Z35" s="26">
        <f t="shared" si="13"/>
        <v>14380.164999994944</v>
      </c>
      <c r="AA35" s="26">
        <f t="shared" si="13"/>
        <v>14844.560000007921</v>
      </c>
      <c r="AB35" s="26">
        <f t="shared" si="13"/>
        <v>15586.584000010662</v>
      </c>
      <c r="AC35" s="11"/>
      <c r="AD35" s="26">
        <f>AB35-Z35</f>
        <v>1206.4190000157178</v>
      </c>
      <c r="AE35" s="26">
        <f>SUM(AE8:AE33)</f>
        <v>8554.1022744545808</v>
      </c>
      <c r="AF35" s="26">
        <f>SUM(AF8:AF33)</f>
        <v>9760.5212744703022</v>
      </c>
    </row>
    <row r="36" spans="1:3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6">
      <c r="A38" s="17" t="str">
        <f>CONCATENATE(A$1," (Continued)")</f>
        <v>Occupation Table 2  Employment Change by Occupation (SOC 2020) and Replacement Demand, 2015-2035, England (Continued)</v>
      </c>
      <c r="L38" s="17" t="str">
        <f>CONCATENATE(L$1," (Continued)")</f>
        <v>Occupation Table 2.1  Males: Employment Change by Occupation (SOC 2020) and Replacement Demand, 2015-2035, England (Continued)</v>
      </c>
      <c r="W38" s="17" t="str">
        <f>CONCATENATE(W$1," (Continued)")</f>
        <v>Occupation Table 2.2  Females: Employment Change by Occupation (SOC 2020) and Replacement Demand, 2015-2035, England (Continued)</v>
      </c>
    </row>
    <row r="40" spans="1:32">
      <c r="F40" s="15" t="s">
        <v>123</v>
      </c>
      <c r="J40" s="15" t="s">
        <v>123</v>
      </c>
      <c r="Q40" s="15" t="s">
        <v>123</v>
      </c>
      <c r="U40" s="15" t="s">
        <v>123</v>
      </c>
      <c r="AB40" s="15" t="s">
        <v>123</v>
      </c>
      <c r="AF40" s="15" t="s">
        <v>123</v>
      </c>
    </row>
    <row r="41" spans="1:32" ht="12.95">
      <c r="A41" s="28"/>
      <c r="B41" s="28"/>
      <c r="C41" s="28"/>
      <c r="D41" s="28"/>
      <c r="E41" s="28"/>
      <c r="F41" s="28"/>
      <c r="H41" s="80" t="str">
        <f>$H$4</f>
        <v>2020-2035</v>
      </c>
      <c r="I41" s="28"/>
      <c r="J41" s="28"/>
      <c r="L41" s="28"/>
      <c r="M41" s="28"/>
      <c r="N41" s="28"/>
      <c r="O41" s="28"/>
      <c r="P41" s="28"/>
      <c r="Q41" s="28"/>
      <c r="S41" s="80" t="str">
        <f>$H$4</f>
        <v>2020-2035</v>
      </c>
      <c r="T41" s="28"/>
      <c r="U41" s="28"/>
      <c r="W41" s="28"/>
      <c r="X41" s="28"/>
      <c r="Y41" s="28"/>
      <c r="Z41" s="28"/>
      <c r="AA41" s="28"/>
      <c r="AB41" s="28"/>
      <c r="AD41" s="80" t="str">
        <f>$H$4</f>
        <v>2020-2035</v>
      </c>
      <c r="AE41" s="28"/>
      <c r="AF41" s="28"/>
    </row>
    <row r="42" spans="1:3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ht="12.95">
      <c r="A43" s="31" t="s">
        <v>124</v>
      </c>
      <c r="B43" s="27">
        <f>B$6</f>
        <v>2015</v>
      </c>
      <c r="C43" s="27">
        <f>C$6</f>
        <v>2019</v>
      </c>
      <c r="D43" s="27">
        <f>D$6</f>
        <v>2020</v>
      </c>
      <c r="E43" s="27">
        <f>E$6</f>
        <v>2025</v>
      </c>
      <c r="F43" s="27">
        <f>F$6</f>
        <v>2035</v>
      </c>
      <c r="H43" s="50" t="str">
        <f t="shared" si="14"/>
        <v>Change</v>
      </c>
      <c r="I43" s="50" t="str">
        <f t="shared" si="14"/>
        <v>Demand</v>
      </c>
      <c r="J43" s="50" t="str">
        <f t="shared" si="14"/>
        <v>Requirement</v>
      </c>
      <c r="L43" s="31" t="s">
        <v>124</v>
      </c>
      <c r="M43" s="27">
        <f>M$6</f>
        <v>2015</v>
      </c>
      <c r="N43" s="27">
        <f>N$6</f>
        <v>2019</v>
      </c>
      <c r="O43" s="27">
        <f>O$6</f>
        <v>2020</v>
      </c>
      <c r="P43" s="27">
        <f>P$6</f>
        <v>2025</v>
      </c>
      <c r="Q43" s="27">
        <f>Q$6</f>
        <v>2035</v>
      </c>
      <c r="S43" s="50" t="str">
        <f t="shared" ref="S43:U43" si="17">S6</f>
        <v>Change</v>
      </c>
      <c r="T43" s="50" t="str">
        <f t="shared" si="17"/>
        <v>Demand</v>
      </c>
      <c r="U43" s="50" t="str">
        <f t="shared" si="17"/>
        <v>Requirement</v>
      </c>
      <c r="W43" s="31" t="s">
        <v>124</v>
      </c>
      <c r="X43" s="27">
        <f>X$6</f>
        <v>2015</v>
      </c>
      <c r="Y43" s="27">
        <f>Y$6</f>
        <v>2019</v>
      </c>
      <c r="Z43" s="27">
        <f>Z$6</f>
        <v>2020</v>
      </c>
      <c r="AA43" s="27">
        <f>AA$6</f>
        <v>2025</v>
      </c>
      <c r="AB43" s="27">
        <f>AB$6</f>
        <v>2035</v>
      </c>
      <c r="AD43" s="50" t="str">
        <f t="shared" ref="AD43:AF43" si="18">AD6</f>
        <v>Change</v>
      </c>
      <c r="AE43" s="50" t="str">
        <f t="shared" si="18"/>
        <v>Demand</v>
      </c>
      <c r="AF43" s="50" t="str">
        <f t="shared" si="18"/>
        <v>Requirement</v>
      </c>
    </row>
    <row r="44" spans="1:32">
      <c r="G44" s="11"/>
      <c r="R44" s="11"/>
      <c r="AC44" s="11"/>
    </row>
    <row r="45" spans="1:32">
      <c r="A45" t="str">
        <f t="shared" ref="A45:A70" si="19">A8</f>
        <v>11 Corporate managers and directors</v>
      </c>
      <c r="B45" s="343">
        <f t="shared" ref="B45:F54" si="20">B8/B$35*100</f>
        <v>6.6283578945122725</v>
      </c>
      <c r="C45" s="343">
        <f t="shared" si="20"/>
        <v>7.4552721299528475</v>
      </c>
      <c r="D45" s="343">
        <f t="shared" si="20"/>
        <v>7.7286160705874272</v>
      </c>
      <c r="E45" s="343">
        <f t="shared" si="20"/>
        <v>6.8454539122546443</v>
      </c>
      <c r="F45" s="343">
        <f t="shared" si="20"/>
        <v>7.1210464021094628</v>
      </c>
      <c r="H45" s="278">
        <f t="shared" ref="H45:H70" si="21">IF(D8&gt;0,(H8/D8)*100,0)</f>
        <v>-1.0405869810230659</v>
      </c>
      <c r="I45" s="54">
        <f t="shared" ref="I45:I70" si="22">IF(D8&gt;0,I8/D8*100,0)</f>
        <v>48.920093904988995</v>
      </c>
      <c r="J45" s="54">
        <f t="shared" ref="J45:J70" si="23">IF(D8&gt;0,(J8/D8)*100,0)</f>
        <v>47.879506923965934</v>
      </c>
      <c r="L45" t="str">
        <f t="shared" ref="L45:L70" si="24">L8</f>
        <v>11 Corporate managers and directors</v>
      </c>
      <c r="M45" s="343">
        <f t="shared" ref="M45:Q45" si="25">M8/M$35*100</f>
        <v>8.7016589857873914</v>
      </c>
      <c r="N45" s="343">
        <f t="shared" si="25"/>
        <v>9.4867198379354907</v>
      </c>
      <c r="O45" s="343">
        <f t="shared" si="25"/>
        <v>9.8095652131340589</v>
      </c>
      <c r="P45" s="343">
        <f t="shared" si="25"/>
        <v>8.3116785098542767</v>
      </c>
      <c r="Q45" s="343">
        <f t="shared" si="25"/>
        <v>8.3279310367709023</v>
      </c>
      <c r="S45" s="278">
        <f t="shared" ref="S45:S70" si="26">IF(O8&gt;0,(S8/O8)*100,0)</f>
        <v>-9.5976748021308484</v>
      </c>
      <c r="T45" s="54">
        <f t="shared" ref="T45:T70" si="27">IF(O8&gt;0,T8/O8*100,0)</f>
        <v>42.103784379754558</v>
      </c>
      <c r="U45" s="54">
        <f t="shared" ref="U45:U70" si="28">IF(O8&gt;0,(U8/O8)*100,0)</f>
        <v>32.506109577623711</v>
      </c>
      <c r="W45" t="str">
        <f t="shared" ref="W45:W70" si="29">W8</f>
        <v>11 Corporate managers and directors</v>
      </c>
      <c r="X45" s="343">
        <f t="shared" ref="X45:AB45" si="30">X8/X$35*100</f>
        <v>4.3198161312844183</v>
      </c>
      <c r="Y45" s="343">
        <f t="shared" si="30"/>
        <v>5.2308223835117387</v>
      </c>
      <c r="Z45" s="343">
        <f t="shared" si="30"/>
        <v>5.4885801914964354</v>
      </c>
      <c r="AA45" s="343">
        <f t="shared" si="30"/>
        <v>5.2739752697063862</v>
      </c>
      <c r="AB45" s="343">
        <f t="shared" si="30"/>
        <v>5.8447121313274186</v>
      </c>
      <c r="AD45" s="278">
        <f t="shared" ref="AD45:AD70" si="31">IF(Z8&gt;0,(AD8/Z8)*100,0)</f>
        <v>15.422423024680773</v>
      </c>
      <c r="AE45" s="54">
        <f t="shared" ref="AE45:AE70" si="32">IF(Z8&gt;0,AE8/Z8*100,0)</f>
        <v>62.034014699292925</v>
      </c>
      <c r="AF45" s="54">
        <f t="shared" ref="AF45:AF70" si="33">IF(Z8&gt;0,(AF8/Z8)*100,0)</f>
        <v>77.456437723973693</v>
      </c>
    </row>
    <row r="46" spans="1:32">
      <c r="A46" t="str">
        <f t="shared" si="19"/>
        <v>12 Other managers and proprietors</v>
      </c>
      <c r="B46" s="343">
        <f t="shared" si="20"/>
        <v>3.2227658585868633</v>
      </c>
      <c r="C46" s="343">
        <f t="shared" si="20"/>
        <v>3.2745906935361551</v>
      </c>
      <c r="D46" s="343">
        <f t="shared" si="20"/>
        <v>3.3482395721490414</v>
      </c>
      <c r="E46" s="343">
        <f t="shared" si="20"/>
        <v>3.3885655933742189</v>
      </c>
      <c r="F46" s="343">
        <f t="shared" si="20"/>
        <v>3.6440406759181241</v>
      </c>
      <c r="H46" s="278">
        <f t="shared" si="21"/>
        <v>16.891173775169506</v>
      </c>
      <c r="I46" s="54">
        <f t="shared" si="22"/>
        <v>60.958109846885044</v>
      </c>
      <c r="J46" s="54">
        <f t="shared" si="23"/>
        <v>77.849283622054557</v>
      </c>
      <c r="L46" t="str">
        <f t="shared" si="24"/>
        <v>12 Other managers and proprietors</v>
      </c>
      <c r="M46" s="343">
        <f t="shared" ref="M46:Q46" si="34">M9/M$35*100</f>
        <v>3.7097985075305413</v>
      </c>
      <c r="N46" s="343">
        <f t="shared" si="34"/>
        <v>3.7536666787325439</v>
      </c>
      <c r="O46" s="343">
        <f t="shared" si="34"/>
        <v>3.7468638818705746</v>
      </c>
      <c r="P46" s="343">
        <f t="shared" si="34"/>
        <v>4.1153553963531593</v>
      </c>
      <c r="Q46" s="343">
        <f t="shared" si="34"/>
        <v>4.4671818223693052</v>
      </c>
      <c r="S46" s="278">
        <f t="shared" si="26"/>
        <v>26.957380406707188</v>
      </c>
      <c r="T46" s="54">
        <f t="shared" si="27"/>
        <v>59.698996681407813</v>
      </c>
      <c r="U46" s="54">
        <f t="shared" si="28"/>
        <v>86.656377088115008</v>
      </c>
      <c r="W46" t="str">
        <f t="shared" si="29"/>
        <v>12 Other managers and proprietors</v>
      </c>
      <c r="X46" s="343">
        <f t="shared" ref="X46:AB46" si="35">X9/X$35*100</f>
        <v>2.6804735620779963</v>
      </c>
      <c r="Y46" s="343">
        <f t="shared" si="35"/>
        <v>2.7499990687512703</v>
      </c>
      <c r="Z46" s="343">
        <f t="shared" si="35"/>
        <v>2.9191407836215375</v>
      </c>
      <c r="AA46" s="343">
        <f t="shared" si="35"/>
        <v>2.6096026330794069</v>
      </c>
      <c r="AB46" s="343">
        <f t="shared" si="35"/>
        <v>2.7735322406183696</v>
      </c>
      <c r="AD46" s="278">
        <f t="shared" si="31"/>
        <v>2.9829322213990714</v>
      </c>
      <c r="AE46" s="54">
        <f t="shared" si="32"/>
        <v>62.697796969353249</v>
      </c>
      <c r="AF46" s="54">
        <f t="shared" si="33"/>
        <v>65.680729190752331</v>
      </c>
    </row>
    <row r="47" spans="1:32">
      <c r="A47" t="str">
        <f t="shared" si="19"/>
        <v>21 Science, research, engineering and technology professionals</v>
      </c>
      <c r="B47" s="343">
        <f t="shared" si="20"/>
        <v>5.531373475416288</v>
      </c>
      <c r="C47" s="343">
        <f t="shared" si="20"/>
        <v>6.0380792514089592</v>
      </c>
      <c r="D47" s="343">
        <f t="shared" si="20"/>
        <v>6.3566386865058906</v>
      </c>
      <c r="E47" s="343">
        <f t="shared" si="20"/>
        <v>7.6467922295740811</v>
      </c>
      <c r="F47" s="343">
        <f t="shared" si="20"/>
        <v>8.3609828469783327</v>
      </c>
      <c r="H47" s="278">
        <f t="shared" si="21"/>
        <v>41.268337519893777</v>
      </c>
      <c r="I47" s="54">
        <f t="shared" si="22"/>
        <v>48.132220530222725</v>
      </c>
      <c r="J47" s="54">
        <f t="shared" si="23"/>
        <v>89.400558050116501</v>
      </c>
      <c r="L47" t="str">
        <f t="shared" si="24"/>
        <v>21 Science, research, engineering and technology professionals</v>
      </c>
      <c r="M47" s="343">
        <f t="shared" ref="M47:Q47" si="36">M10/M$35*100</f>
        <v>8.3443038605548168</v>
      </c>
      <c r="N47" s="343">
        <f t="shared" si="36"/>
        <v>9.2680206184790705</v>
      </c>
      <c r="O47" s="343">
        <f t="shared" si="36"/>
        <v>9.4098376911919654</v>
      </c>
      <c r="P47" s="343">
        <f t="shared" si="36"/>
        <v>10.985061553053312</v>
      </c>
      <c r="Q47" s="343">
        <f t="shared" si="36"/>
        <v>11.828444591867234</v>
      </c>
      <c r="S47" s="278">
        <f t="shared" si="26"/>
        <v>33.855970405847039</v>
      </c>
      <c r="T47" s="54">
        <f t="shared" si="27"/>
        <v>40.469807281504103</v>
      </c>
      <c r="U47" s="54">
        <f t="shared" si="28"/>
        <v>74.325777687351149</v>
      </c>
      <c r="W47" t="str">
        <f t="shared" si="29"/>
        <v>21 Science, research, engineering and technology professionals</v>
      </c>
      <c r="X47" s="343">
        <f t="shared" ref="X47:AB47" si="37">X10/X$35*100</f>
        <v>2.3992826766066093</v>
      </c>
      <c r="Y47" s="343">
        <f t="shared" si="37"/>
        <v>2.501270390040963</v>
      </c>
      <c r="Z47" s="343">
        <f t="shared" si="37"/>
        <v>3.0700252961699803</v>
      </c>
      <c r="AA47" s="343">
        <f t="shared" si="37"/>
        <v>4.0688827104526597</v>
      </c>
      <c r="AB47" s="343">
        <f t="shared" si="37"/>
        <v>4.6939875679565821</v>
      </c>
      <c r="AD47" s="278">
        <f t="shared" si="31"/>
        <v>65.724629302893092</v>
      </c>
      <c r="AE47" s="54">
        <f t="shared" si="32"/>
        <v>73.413512091923465</v>
      </c>
      <c r="AF47" s="54">
        <f t="shared" si="33"/>
        <v>139.13814139481659</v>
      </c>
    </row>
    <row r="48" spans="1:32">
      <c r="A48" t="str">
        <f t="shared" si="19"/>
        <v>22 Health professionals</v>
      </c>
      <c r="B48" s="343">
        <f t="shared" si="20"/>
        <v>4.0809457043351669</v>
      </c>
      <c r="C48" s="343">
        <f t="shared" si="20"/>
        <v>4.4837235795568962</v>
      </c>
      <c r="D48" s="343">
        <f t="shared" si="20"/>
        <v>4.5410156825591814</v>
      </c>
      <c r="E48" s="343">
        <f t="shared" si="20"/>
        <v>4.3637129451991701</v>
      </c>
      <c r="F48" s="343">
        <f t="shared" si="20"/>
        <v>4.4801541788866421</v>
      </c>
      <c r="H48" s="278">
        <f t="shared" si="21"/>
        <v>5.9631808684362637</v>
      </c>
      <c r="I48" s="54">
        <f t="shared" si="22"/>
        <v>53.58014469487302</v>
      </c>
      <c r="J48" s="54">
        <f t="shared" si="23"/>
        <v>59.543325563309288</v>
      </c>
      <c r="L48" t="str">
        <f t="shared" si="24"/>
        <v>22 Health professionals</v>
      </c>
      <c r="M48" s="343">
        <f t="shared" ref="M48:Q48" si="38">M11/M$35*100</f>
        <v>1.923767685722783</v>
      </c>
      <c r="N48" s="343">
        <f t="shared" si="38"/>
        <v>2.1125171654461066</v>
      </c>
      <c r="O48" s="343">
        <f t="shared" si="38"/>
        <v>2.3693371179668801</v>
      </c>
      <c r="P48" s="343">
        <f t="shared" si="38"/>
        <v>2.2966800235598921</v>
      </c>
      <c r="Q48" s="343">
        <f t="shared" si="38"/>
        <v>2.3838940115360705</v>
      </c>
      <c r="S48" s="278">
        <f t="shared" si="26"/>
        <v>7.1401682372305046</v>
      </c>
      <c r="T48" s="54">
        <f t="shared" si="27"/>
        <v>38.793276380570539</v>
      </c>
      <c r="U48" s="54">
        <f t="shared" si="28"/>
        <v>45.933444617801044</v>
      </c>
      <c r="W48" t="str">
        <f t="shared" si="29"/>
        <v>22 Health professionals</v>
      </c>
      <c r="X48" s="343">
        <f t="shared" ref="X48:AB48" si="39">X11/X$35*100</f>
        <v>6.4828812300725556</v>
      </c>
      <c r="Y48" s="343">
        <f t="shared" si="39"/>
        <v>7.0802115353637065</v>
      </c>
      <c r="Z48" s="343">
        <f t="shared" si="39"/>
        <v>6.8787171684236244</v>
      </c>
      <c r="AA48" s="343">
        <f t="shared" si="39"/>
        <v>6.5791293930735577</v>
      </c>
      <c r="AB48" s="343">
        <f t="shared" si="39"/>
        <v>6.6970426993170653</v>
      </c>
      <c r="AD48" s="278">
        <f t="shared" si="31"/>
        <v>5.5267808950319912</v>
      </c>
      <c r="AE48" s="54">
        <f t="shared" si="32"/>
        <v>59.062776972997597</v>
      </c>
      <c r="AF48" s="54">
        <f t="shared" si="33"/>
        <v>64.589557868029587</v>
      </c>
    </row>
    <row r="49" spans="1:32">
      <c r="A49" t="str">
        <f t="shared" si="19"/>
        <v>23 Teaching and other educational professionals</v>
      </c>
      <c r="B49" s="343">
        <f t="shared" si="20"/>
        <v>4.7520275393351374</v>
      </c>
      <c r="C49" s="343">
        <f t="shared" si="20"/>
        <v>4.7702991468471883</v>
      </c>
      <c r="D49" s="343">
        <f t="shared" si="20"/>
        <v>5.0356636853070169</v>
      </c>
      <c r="E49" s="343">
        <f t="shared" si="20"/>
        <v>4.8017639848131006</v>
      </c>
      <c r="F49" s="343">
        <f t="shared" si="20"/>
        <v>4.946730964624285</v>
      </c>
      <c r="H49" s="278">
        <f t="shared" si="21"/>
        <v>5.5058649958021038</v>
      </c>
      <c r="I49" s="54">
        <f t="shared" si="22"/>
        <v>51.189790605202376</v>
      </c>
      <c r="J49" s="54">
        <f t="shared" si="23"/>
        <v>56.695655601004482</v>
      </c>
      <c r="L49" t="str">
        <f t="shared" si="24"/>
        <v>23 Teaching and other educational professionals</v>
      </c>
      <c r="M49" s="343">
        <f t="shared" ref="M49:Q49" si="40">M12/M$35*100</f>
        <v>3.080749333238582</v>
      </c>
      <c r="N49" s="343">
        <f t="shared" si="40"/>
        <v>2.93356836144185</v>
      </c>
      <c r="O49" s="343">
        <f t="shared" si="40"/>
        <v>3.1471142260380289</v>
      </c>
      <c r="P49" s="343">
        <f t="shared" si="40"/>
        <v>3.1186199727450199</v>
      </c>
      <c r="Q49" s="343">
        <f t="shared" si="40"/>
        <v>3.1982042233491619</v>
      </c>
      <c r="S49" s="278">
        <f t="shared" si="26"/>
        <v>8.2146167674551549</v>
      </c>
      <c r="T49" s="54">
        <f t="shared" si="27"/>
        <v>44.156035730669267</v>
      </c>
      <c r="U49" s="54">
        <f t="shared" si="28"/>
        <v>52.370652498124429</v>
      </c>
      <c r="W49" t="str">
        <f t="shared" si="29"/>
        <v>23 Teaching and other educational professionals</v>
      </c>
      <c r="X49" s="343">
        <f t="shared" ref="X49:AB49" si="41">X12/X$35*100</f>
        <v>6.6129321387599473</v>
      </c>
      <c r="Y49" s="343">
        <f t="shared" si="41"/>
        <v>6.781532472627906</v>
      </c>
      <c r="Z49" s="343">
        <f t="shared" si="41"/>
        <v>7.0685910941063117</v>
      </c>
      <c r="AA49" s="343">
        <f t="shared" si="41"/>
        <v>6.6057337665423974</v>
      </c>
      <c r="AB49" s="343">
        <f t="shared" si="41"/>
        <v>6.7958758946153077</v>
      </c>
      <c r="AD49" s="278">
        <f t="shared" si="31"/>
        <v>4.2076627278736147</v>
      </c>
      <c r="AE49" s="54">
        <f t="shared" si="32"/>
        <v>54.560803270789329</v>
      </c>
      <c r="AF49" s="54">
        <f t="shared" si="33"/>
        <v>58.768465998662947</v>
      </c>
    </row>
    <row r="50" spans="1:32">
      <c r="A50" t="str">
        <f t="shared" si="19"/>
        <v>24 Business, media and public service professionals</v>
      </c>
      <c r="B50" s="343">
        <f t="shared" si="20"/>
        <v>6.2708022535103547</v>
      </c>
      <c r="C50" s="343">
        <f t="shared" si="20"/>
        <v>7.0367935420489314</v>
      </c>
      <c r="D50" s="343">
        <f t="shared" si="20"/>
        <v>7.6850817402815865</v>
      </c>
      <c r="E50" s="343">
        <f t="shared" si="20"/>
        <v>7.8931871494520518</v>
      </c>
      <c r="F50" s="343">
        <f t="shared" si="20"/>
        <v>8.3647193800198547</v>
      </c>
      <c r="H50" s="278">
        <f t="shared" si="21"/>
        <v>16.900915747965765</v>
      </c>
      <c r="I50" s="54">
        <f t="shared" si="22"/>
        <v>52.068109179461864</v>
      </c>
      <c r="J50" s="54">
        <f t="shared" si="23"/>
        <v>68.969024927427625</v>
      </c>
      <c r="L50" t="str">
        <f t="shared" si="24"/>
        <v>24 Business, media and public service professionals</v>
      </c>
      <c r="M50" s="343">
        <f t="shared" ref="M50:Q50" si="42">M13/M$35*100</f>
        <v>7.0017746840137702</v>
      </c>
      <c r="N50" s="343">
        <f t="shared" si="42"/>
        <v>7.6252856166838416</v>
      </c>
      <c r="O50" s="343">
        <f t="shared" si="42"/>
        <v>8.2349958781279433</v>
      </c>
      <c r="P50" s="343">
        <f t="shared" si="42"/>
        <v>8.5318305331822408</v>
      </c>
      <c r="Q50" s="343">
        <f t="shared" si="42"/>
        <v>8.8647105112655886</v>
      </c>
      <c r="S50" s="278">
        <f t="shared" si="26"/>
        <v>14.628711592305937</v>
      </c>
      <c r="T50" s="54">
        <f t="shared" si="27"/>
        <v>45.832683293835984</v>
      </c>
      <c r="U50" s="54">
        <f t="shared" si="28"/>
        <v>60.461394886141932</v>
      </c>
      <c r="W50" t="str">
        <f t="shared" si="29"/>
        <v>24 Business, media and public service professionals</v>
      </c>
      <c r="X50" s="343">
        <f t="shared" ref="X50:AB50" si="43">X13/X$35*100</f>
        <v>5.4568923054152583</v>
      </c>
      <c r="Y50" s="343">
        <f t="shared" si="43"/>
        <v>6.3923905180083995</v>
      </c>
      <c r="Z50" s="343">
        <f t="shared" si="43"/>
        <v>7.0931271489801535</v>
      </c>
      <c r="AA50" s="343">
        <f t="shared" si="43"/>
        <v>7.2086982659756531</v>
      </c>
      <c r="AB50" s="343">
        <f t="shared" si="43"/>
        <v>7.8359564829140815</v>
      </c>
      <c r="AD50" s="278">
        <f t="shared" si="31"/>
        <v>19.740576763017735</v>
      </c>
      <c r="AE50" s="54">
        <f t="shared" si="32"/>
        <v>59.860760977739346</v>
      </c>
      <c r="AF50" s="54">
        <f t="shared" si="33"/>
        <v>79.601337740757089</v>
      </c>
    </row>
    <row r="51" spans="1:32">
      <c r="A51" t="str">
        <f t="shared" si="19"/>
        <v>31 Science, engineering and technology associate professionals</v>
      </c>
      <c r="B51" s="343">
        <f t="shared" si="20"/>
        <v>1.6166944514141319</v>
      </c>
      <c r="C51" s="343">
        <f t="shared" si="20"/>
        <v>1.8066095465951595</v>
      </c>
      <c r="D51" s="343">
        <f t="shared" si="20"/>
        <v>1.9705750295977147</v>
      </c>
      <c r="E51" s="343">
        <f t="shared" si="20"/>
        <v>1.8124869654266615</v>
      </c>
      <c r="F51" s="343">
        <f t="shared" si="20"/>
        <v>1.8844114410136406</v>
      </c>
      <c r="H51" s="278">
        <f t="shared" si="21"/>
        <v>2.7064659222751613</v>
      </c>
      <c r="I51" s="54">
        <f t="shared" si="22"/>
        <v>40.339805817280251</v>
      </c>
      <c r="J51" s="54">
        <f t="shared" si="23"/>
        <v>43.046271739555415</v>
      </c>
      <c r="L51" t="str">
        <f t="shared" si="24"/>
        <v>31 Science, engineering and technology associate professionals</v>
      </c>
      <c r="M51" s="343">
        <f t="shared" ref="M51:Q51" si="44">M14/M$35*100</f>
        <v>2.2210352635796853</v>
      </c>
      <c r="N51" s="343">
        <f t="shared" si="44"/>
        <v>2.5932561631530127</v>
      </c>
      <c r="O51" s="343">
        <f t="shared" si="44"/>
        <v>2.7358865759647992</v>
      </c>
      <c r="P51" s="343">
        <f t="shared" si="44"/>
        <v>2.3850603776856363</v>
      </c>
      <c r="Q51" s="343">
        <f t="shared" si="44"/>
        <v>2.3915656359678721</v>
      </c>
      <c r="S51" s="278">
        <f t="shared" si="26"/>
        <v>-6.9156960853478724</v>
      </c>
      <c r="T51" s="54">
        <f t="shared" si="27"/>
        <v>33.620757670457721</v>
      </c>
      <c r="U51" s="54">
        <f t="shared" si="28"/>
        <v>26.705061585109846</v>
      </c>
      <c r="W51" t="str">
        <f t="shared" si="29"/>
        <v>31 Science, engineering and technology associate professionals</v>
      </c>
      <c r="X51" s="343">
        <f t="shared" ref="X51:AB51" si="45">X14/X$35*100</f>
        <v>0.94378398511559358</v>
      </c>
      <c r="Y51" s="343">
        <f t="shared" si="45"/>
        <v>0.94522588416330577</v>
      </c>
      <c r="Z51" s="343">
        <f t="shared" si="45"/>
        <v>1.1467560868402202</v>
      </c>
      <c r="AA51" s="343">
        <f t="shared" si="45"/>
        <v>1.1988109364410497</v>
      </c>
      <c r="AB51" s="343">
        <f t="shared" si="45"/>
        <v>1.3480732849043429</v>
      </c>
      <c r="AD51" s="278">
        <f t="shared" si="31"/>
        <v>27.417630179433637</v>
      </c>
      <c r="AE51" s="54">
        <f t="shared" si="32"/>
        <v>57.595335528414715</v>
      </c>
      <c r="AF51" s="54">
        <f t="shared" si="33"/>
        <v>85.012965707848338</v>
      </c>
    </row>
    <row r="52" spans="1:32">
      <c r="A52" t="str">
        <f t="shared" si="19"/>
        <v>32 Health and social care associate professionals</v>
      </c>
      <c r="B52" s="343">
        <f t="shared" si="20"/>
        <v>1.7204043159766709</v>
      </c>
      <c r="C52" s="343">
        <f t="shared" si="20"/>
        <v>1.8396991809347798</v>
      </c>
      <c r="D52" s="343">
        <f t="shared" si="20"/>
        <v>1.8994721293646604</v>
      </c>
      <c r="E52" s="343">
        <f t="shared" si="20"/>
        <v>2.9164403954967111</v>
      </c>
      <c r="F52" s="343">
        <f t="shared" si="20"/>
        <v>3.2903060155129156</v>
      </c>
      <c r="H52" s="278">
        <f t="shared" si="21"/>
        <v>86.045167774641328</v>
      </c>
      <c r="I52" s="54">
        <f t="shared" si="22"/>
        <v>93.629190713404924</v>
      </c>
      <c r="J52" s="54">
        <f t="shared" si="23"/>
        <v>179.67435848804624</v>
      </c>
      <c r="L52" t="str">
        <f t="shared" si="24"/>
        <v>32 Health and social care associate professionals</v>
      </c>
      <c r="M52" s="343">
        <f t="shared" ref="M52:Q52" si="46">M15/M$35*100</f>
        <v>0.7583593922963543</v>
      </c>
      <c r="N52" s="343">
        <f t="shared" si="46"/>
        <v>0.75093646131622671</v>
      </c>
      <c r="O52" s="343">
        <f t="shared" si="46"/>
        <v>0.83767973313075039</v>
      </c>
      <c r="P52" s="343">
        <f t="shared" si="46"/>
        <v>1.0902785878229171</v>
      </c>
      <c r="Q52" s="343">
        <f t="shared" si="46"/>
        <v>1.1837630695477002</v>
      </c>
      <c r="S52" s="278">
        <f t="shared" si="26"/>
        <v>50.480081643639132</v>
      </c>
      <c r="T52" s="54">
        <f t="shared" si="27"/>
        <v>65.107867890590384</v>
      </c>
      <c r="U52" s="54">
        <f t="shared" si="28"/>
        <v>115.58794953422951</v>
      </c>
      <c r="W52" t="str">
        <f t="shared" si="29"/>
        <v>32 Health and social care associate professionals</v>
      </c>
      <c r="X52" s="343">
        <f t="shared" ref="X52:AB52" si="47">X15/X$35*100</f>
        <v>2.7916046803441281</v>
      </c>
      <c r="Y52" s="343">
        <f t="shared" si="47"/>
        <v>3.0319021335744618</v>
      </c>
      <c r="Z52" s="343">
        <f t="shared" si="47"/>
        <v>3.042437622889048</v>
      </c>
      <c r="AA52" s="343">
        <f t="shared" si="47"/>
        <v>4.873694613775954</v>
      </c>
      <c r="AB52" s="343">
        <f t="shared" si="47"/>
        <v>5.5180690324509554</v>
      </c>
      <c r="AD52" s="278">
        <f t="shared" si="31"/>
        <v>96.585970811568259</v>
      </c>
      <c r="AE52" s="54">
        <f t="shared" si="32"/>
        <v>102.08235866358287</v>
      </c>
      <c r="AF52" s="54">
        <f t="shared" si="33"/>
        <v>198.6683294751511</v>
      </c>
    </row>
    <row r="53" spans="1:32">
      <c r="A53" t="str">
        <f t="shared" si="19"/>
        <v>33 Protective service occupations</v>
      </c>
      <c r="B53" s="343">
        <f t="shared" si="20"/>
        <v>1.0278183082030361</v>
      </c>
      <c r="C53" s="343">
        <f t="shared" si="20"/>
        <v>1.0023505944719493</v>
      </c>
      <c r="D53" s="343">
        <f t="shared" si="20"/>
        <v>1.0745491029511725</v>
      </c>
      <c r="E53" s="343">
        <f t="shared" si="20"/>
        <v>0.88836029854128251</v>
      </c>
      <c r="F53" s="343">
        <f t="shared" si="20"/>
        <v>0.91687026461799281</v>
      </c>
      <c r="H53" s="278">
        <f t="shared" si="21"/>
        <v>-8.357558539452894</v>
      </c>
      <c r="I53" s="54">
        <f t="shared" si="22"/>
        <v>30.249353418268715</v>
      </c>
      <c r="J53" s="54">
        <f t="shared" si="23"/>
        <v>21.891794878815823</v>
      </c>
      <c r="L53" t="str">
        <f t="shared" si="24"/>
        <v>33 Protective service occupations</v>
      </c>
      <c r="M53" s="343">
        <f t="shared" ref="M53:Q53" si="48">M16/M$35*100</f>
        <v>1.5215934601220249</v>
      </c>
      <c r="N53" s="343">
        <f t="shared" si="48"/>
        <v>1.457814230561663</v>
      </c>
      <c r="O53" s="343">
        <f t="shared" si="48"/>
        <v>1.5491195562513538</v>
      </c>
      <c r="P53" s="343">
        <f t="shared" si="48"/>
        <v>1.2598914882085364</v>
      </c>
      <c r="Q53" s="343">
        <f t="shared" si="48"/>
        <v>1.2088204032467071</v>
      </c>
      <c r="S53" s="278">
        <f t="shared" si="26"/>
        <v>-16.906111174690562</v>
      </c>
      <c r="T53" s="54">
        <f t="shared" si="27"/>
        <v>23.989015497247795</v>
      </c>
      <c r="U53" s="54">
        <f t="shared" si="28"/>
        <v>7.0829043225572335</v>
      </c>
      <c r="W53" t="str">
        <f t="shared" si="29"/>
        <v>33 Protective service occupations</v>
      </c>
      <c r="X53" s="343">
        <f t="shared" ref="X53:AB53" si="49">X16/X$35*100</f>
        <v>0.47801849155020587</v>
      </c>
      <c r="Y53" s="343">
        <f t="shared" si="49"/>
        <v>0.50361466057040039</v>
      </c>
      <c r="Z53" s="343">
        <f t="shared" si="49"/>
        <v>0.56369815478818297</v>
      </c>
      <c r="AA53" s="343">
        <f t="shared" si="49"/>
        <v>0.49015846059744006</v>
      </c>
      <c r="AB53" s="343">
        <f t="shared" si="49"/>
        <v>0.60811998593378924</v>
      </c>
      <c r="AD53" s="278">
        <f t="shared" si="31"/>
        <v>16.931020180871503</v>
      </c>
      <c r="AE53" s="54">
        <f t="shared" si="32"/>
        <v>48.768868368552461</v>
      </c>
      <c r="AF53" s="54">
        <f t="shared" si="33"/>
        <v>65.699888549423974</v>
      </c>
    </row>
    <row r="54" spans="1:32">
      <c r="A54" t="str">
        <f t="shared" si="19"/>
        <v>34 Culture, media and sports occupations</v>
      </c>
      <c r="B54" s="343">
        <f t="shared" si="20"/>
        <v>2.1893009690282614</v>
      </c>
      <c r="C54" s="343">
        <f t="shared" si="20"/>
        <v>2.0765342209097861</v>
      </c>
      <c r="D54" s="343">
        <f t="shared" si="20"/>
        <v>2.2805613280028472</v>
      </c>
      <c r="E54" s="343">
        <f t="shared" si="20"/>
        <v>2.0231492724290794</v>
      </c>
      <c r="F54" s="343">
        <f t="shared" si="20"/>
        <v>2.1160433135362799</v>
      </c>
      <c r="H54" s="278">
        <f t="shared" si="21"/>
        <v>-0.34529084106848551</v>
      </c>
      <c r="I54" s="54">
        <f t="shared" si="22"/>
        <v>44.585765998154869</v>
      </c>
      <c r="J54" s="54">
        <f t="shared" si="23"/>
        <v>44.240475157086387</v>
      </c>
      <c r="L54" t="str">
        <f t="shared" si="24"/>
        <v>34 Culture, media and sports occupations</v>
      </c>
      <c r="M54" s="343">
        <f t="shared" ref="M54:Q54" si="50">M17/M$35*100</f>
        <v>2.3006846346821286</v>
      </c>
      <c r="N54" s="343">
        <f t="shared" si="50"/>
        <v>2.1594376117118079</v>
      </c>
      <c r="O54" s="343">
        <f t="shared" si="50"/>
        <v>2.2695481476233481</v>
      </c>
      <c r="P54" s="343">
        <f t="shared" si="50"/>
        <v>1.9705662077811257</v>
      </c>
      <c r="Q54" s="343">
        <f t="shared" si="50"/>
        <v>2.0538441295313103</v>
      </c>
      <c r="S54" s="278">
        <f t="shared" si="26"/>
        <v>-3.6347794098646302</v>
      </c>
      <c r="T54" s="54">
        <f t="shared" si="27"/>
        <v>37.26904257478536</v>
      </c>
      <c r="U54" s="54">
        <f t="shared" si="28"/>
        <v>33.634263164920732</v>
      </c>
      <c r="W54" t="str">
        <f t="shared" si="29"/>
        <v>34 Culture, media and sports occupations</v>
      </c>
      <c r="X54" s="343">
        <f t="shared" ref="X54:AB54" si="51">X17/X$35*100</f>
        <v>2.0652795015311294</v>
      </c>
      <c r="Y54" s="343">
        <f t="shared" si="51"/>
        <v>1.9857544159834779</v>
      </c>
      <c r="Z54" s="343">
        <f t="shared" si="51"/>
        <v>2.2924164563616287</v>
      </c>
      <c r="AA54" s="343">
        <f t="shared" si="51"/>
        <v>2.079507052259856</v>
      </c>
      <c r="AB54" s="343">
        <f t="shared" si="51"/>
        <v>2.181821721745524</v>
      </c>
      <c r="AD54" s="278">
        <f t="shared" si="31"/>
        <v>3.1603528497974245</v>
      </c>
      <c r="AE54" s="54">
        <f t="shared" si="32"/>
        <v>52.383277608396327</v>
      </c>
      <c r="AF54" s="54">
        <f t="shared" si="33"/>
        <v>55.543630458193761</v>
      </c>
    </row>
    <row r="55" spans="1:32">
      <c r="A55" t="str">
        <f t="shared" si="19"/>
        <v>35 Business and public service associate professionals</v>
      </c>
      <c r="B55" s="343">
        <f t="shared" ref="B55:F64" si="52">B18/B$35*100</f>
        <v>6.2635402497794921</v>
      </c>
      <c r="C55" s="343">
        <f t="shared" si="52"/>
        <v>6.4026699914587857</v>
      </c>
      <c r="D55" s="343">
        <f t="shared" si="52"/>
        <v>6.6682256720694753</v>
      </c>
      <c r="E55" s="343">
        <f t="shared" si="52"/>
        <v>6.5855684564889359</v>
      </c>
      <c r="F55" s="343">
        <f t="shared" si="52"/>
        <v>6.6758197018724337</v>
      </c>
      <c r="H55" s="278">
        <f t="shared" si="21"/>
        <v>7.5249720289831901</v>
      </c>
      <c r="I55" s="54">
        <f t="shared" si="22"/>
        <v>47.933928146616829</v>
      </c>
      <c r="J55" s="54">
        <f t="shared" si="23"/>
        <v>55.458900175600014</v>
      </c>
      <c r="L55" t="str">
        <f t="shared" si="24"/>
        <v>35 Business and public service associate professionals</v>
      </c>
      <c r="M55" s="343">
        <f t="shared" ref="M55:Q55" si="53">M18/M$35*100</f>
        <v>6.3982272106236939</v>
      </c>
      <c r="N55" s="343">
        <f t="shared" si="53"/>
        <v>6.4493600630110564</v>
      </c>
      <c r="O55" s="343">
        <f t="shared" si="53"/>
        <v>6.8061034216177863</v>
      </c>
      <c r="P55" s="343">
        <f t="shared" si="53"/>
        <v>6.6497899005465264</v>
      </c>
      <c r="Q55" s="343">
        <f t="shared" si="53"/>
        <v>6.5561739398832692</v>
      </c>
      <c r="S55" s="278">
        <f t="shared" si="26"/>
        <v>2.5756228058649802</v>
      </c>
      <c r="T55" s="54">
        <f t="shared" si="27"/>
        <v>39.416097461219017</v>
      </c>
      <c r="U55" s="54">
        <f t="shared" si="28"/>
        <v>41.991720267083998</v>
      </c>
      <c r="W55" t="str">
        <f t="shared" si="29"/>
        <v>35 Business and public service associate professionals</v>
      </c>
      <c r="X55" s="343">
        <f t="shared" ref="X55:AB55" si="54">X18/X$35*100</f>
        <v>6.1135714510461154</v>
      </c>
      <c r="Y55" s="343">
        <f t="shared" si="54"/>
        <v>6.3515440297036649</v>
      </c>
      <c r="Z55" s="343">
        <f t="shared" si="54"/>
        <v>6.5198072895142181</v>
      </c>
      <c r="AA55" s="343">
        <f t="shared" si="54"/>
        <v>6.5167368273543049</v>
      </c>
      <c r="AB55" s="343">
        <f t="shared" si="54"/>
        <v>6.802350425683878</v>
      </c>
      <c r="AD55" s="278">
        <f t="shared" si="31"/>
        <v>13.086644270054132</v>
      </c>
      <c r="AE55" s="54">
        <f t="shared" si="32"/>
        <v>57.505566829099962</v>
      </c>
      <c r="AF55" s="54">
        <f t="shared" si="33"/>
        <v>70.592211099154085</v>
      </c>
    </row>
    <row r="56" spans="1:32">
      <c r="A56" t="str">
        <f t="shared" si="19"/>
        <v>41 Administrative occupations</v>
      </c>
      <c r="B56" s="343">
        <f t="shared" si="52"/>
        <v>8.7566111389218193</v>
      </c>
      <c r="C56" s="343">
        <f t="shared" si="52"/>
        <v>8.1839340738481443</v>
      </c>
      <c r="D56" s="343">
        <f t="shared" si="52"/>
        <v>8.5994210314285056</v>
      </c>
      <c r="E56" s="343">
        <f t="shared" si="52"/>
        <v>8.6372775477912</v>
      </c>
      <c r="F56" s="343">
        <f t="shared" si="52"/>
        <v>8.1321884231857506</v>
      </c>
      <c r="H56" s="278">
        <f t="shared" si="21"/>
        <v>1.5671458652383958</v>
      </c>
      <c r="I56" s="54">
        <f t="shared" si="22"/>
        <v>51.678683554240799</v>
      </c>
      <c r="J56" s="54">
        <f t="shared" si="23"/>
        <v>53.245829419479193</v>
      </c>
      <c r="L56" t="str">
        <f t="shared" si="24"/>
        <v>41 Administrative occupations</v>
      </c>
      <c r="M56" s="343">
        <f t="shared" ref="M56:Q56" si="55">M19/M$35*100</f>
        <v>4.8209737080817456</v>
      </c>
      <c r="N56" s="343">
        <f t="shared" si="55"/>
        <v>4.400223924851657</v>
      </c>
      <c r="O56" s="343">
        <f t="shared" si="55"/>
        <v>5.287328439944174</v>
      </c>
      <c r="P56" s="343">
        <f t="shared" si="55"/>
        <v>5.4988430216827977</v>
      </c>
      <c r="Q56" s="343">
        <f t="shared" si="55"/>
        <v>5.8550659957429998</v>
      </c>
      <c r="S56" s="278">
        <f t="shared" si="26"/>
        <v>17.920074577380927</v>
      </c>
      <c r="T56" s="54">
        <f t="shared" si="27"/>
        <v>41.40190891874748</v>
      </c>
      <c r="U56" s="54">
        <f t="shared" si="28"/>
        <v>59.321983496128404</v>
      </c>
      <c r="W56" t="str">
        <f t="shared" si="29"/>
        <v>41 Administrative occupations</v>
      </c>
      <c r="X56" s="343">
        <f t="shared" ref="X56:AB56" si="56">X19/X$35*100</f>
        <v>13.138793453034815</v>
      </c>
      <c r="Y56" s="343">
        <f t="shared" si="56"/>
        <v>12.327123705788077</v>
      </c>
      <c r="Z56" s="343">
        <f t="shared" si="56"/>
        <v>12.164720196172587</v>
      </c>
      <c r="AA56" s="343">
        <f t="shared" si="56"/>
        <v>12.001006977027094</v>
      </c>
      <c r="AB56" s="343">
        <f t="shared" si="56"/>
        <v>10.540346841514495</v>
      </c>
      <c r="AD56" s="278">
        <f t="shared" si="31"/>
        <v>-6.0839424772225481</v>
      </c>
      <c r="AE56" s="54">
        <f t="shared" si="32"/>
        <v>56.486905493919352</v>
      </c>
      <c r="AF56" s="54">
        <f t="shared" si="33"/>
        <v>50.402963016696802</v>
      </c>
    </row>
    <row r="57" spans="1:32">
      <c r="A57" t="str">
        <f t="shared" si="19"/>
        <v>42 Secretarial and related occupations</v>
      </c>
      <c r="B57" s="343">
        <f t="shared" si="52"/>
        <v>2.2340185957372163</v>
      </c>
      <c r="C57" s="343">
        <f t="shared" si="52"/>
        <v>1.9472377422695437</v>
      </c>
      <c r="D57" s="343">
        <f t="shared" si="52"/>
        <v>1.9151135633346499</v>
      </c>
      <c r="E57" s="343">
        <f t="shared" si="52"/>
        <v>1.7140685992661897</v>
      </c>
      <c r="F57" s="343">
        <f t="shared" si="52"/>
        <v>1.2420419565113656</v>
      </c>
      <c r="H57" s="278">
        <f t="shared" si="21"/>
        <v>-30.344283616743965</v>
      </c>
      <c r="I57" s="54">
        <f t="shared" si="22"/>
        <v>45.785805373934316</v>
      </c>
      <c r="J57" s="54">
        <f t="shared" si="23"/>
        <v>15.441521757190349</v>
      </c>
      <c r="L57" t="str">
        <f t="shared" si="24"/>
        <v>42 Secretarial and related occupations</v>
      </c>
      <c r="M57" s="343">
        <f t="shared" ref="M57:Q57" si="57">M20/M$35*100</f>
        <v>0.30530936970125033</v>
      </c>
      <c r="N57" s="343">
        <f t="shared" si="57"/>
        <v>0.22939070063347672</v>
      </c>
      <c r="O57" s="343">
        <f t="shared" si="57"/>
        <v>0.23063853195638287</v>
      </c>
      <c r="P57" s="343">
        <f t="shared" si="57"/>
        <v>0.20471945634764951</v>
      </c>
      <c r="Q57" s="343">
        <f t="shared" si="57"/>
        <v>0.23023887836671197</v>
      </c>
      <c r="S57" s="278">
        <f t="shared" si="26"/>
        <v>6.3014124895915842</v>
      </c>
      <c r="T57" s="54">
        <f t="shared" si="27"/>
        <v>31.91912550222435</v>
      </c>
      <c r="U57" s="54">
        <f t="shared" si="28"/>
        <v>38.220537991815931</v>
      </c>
      <c r="W57" t="str">
        <f t="shared" si="29"/>
        <v>42 Secretarial and related occupations</v>
      </c>
      <c r="X57" s="343">
        <f t="shared" ref="X57:AB57" si="58">X20/X$35*100</f>
        <v>4.3815628266084383</v>
      </c>
      <c r="Y57" s="343">
        <f t="shared" si="58"/>
        <v>3.8282925196955984</v>
      </c>
      <c r="Z57" s="343">
        <f t="shared" si="58"/>
        <v>3.7283652332445625</v>
      </c>
      <c r="AA57" s="343">
        <f t="shared" si="58"/>
        <v>3.3317675153313466</v>
      </c>
      <c r="AB57" s="343">
        <f t="shared" si="58"/>
        <v>2.3120687899220331</v>
      </c>
      <c r="AD57" s="278">
        <f t="shared" si="31"/>
        <v>-32.784508770292511</v>
      </c>
      <c r="AE57" s="54">
        <f t="shared" si="32"/>
        <v>46.709183140342695</v>
      </c>
      <c r="AF57" s="54">
        <f t="shared" si="33"/>
        <v>13.92467437005018</v>
      </c>
    </row>
    <row r="58" spans="1:32">
      <c r="A58" t="str">
        <f t="shared" si="19"/>
        <v>51 Skilled agricultural and related trades</v>
      </c>
      <c r="B58" s="343">
        <f t="shared" si="52"/>
        <v>1.0428421705441986</v>
      </c>
      <c r="C58" s="343">
        <f t="shared" si="52"/>
        <v>1.0004641552381277</v>
      </c>
      <c r="D58" s="343">
        <f t="shared" si="52"/>
        <v>0.91081691611426674</v>
      </c>
      <c r="E58" s="343">
        <f t="shared" si="52"/>
        <v>0.87608439729727072</v>
      </c>
      <c r="F58" s="343">
        <f t="shared" si="52"/>
        <v>0.9292706799937408</v>
      </c>
      <c r="H58" s="278">
        <f t="shared" si="21"/>
        <v>9.5787079344867667</v>
      </c>
      <c r="I58" s="54">
        <f t="shared" si="22"/>
        <v>58.582099614046136</v>
      </c>
      <c r="J58" s="54">
        <f t="shared" si="23"/>
        <v>68.160807548532901</v>
      </c>
      <c r="L58" t="str">
        <f t="shared" si="24"/>
        <v>51 Skilled agricultural and related trades</v>
      </c>
      <c r="M58" s="343">
        <f t="shared" ref="M58:Q58" si="59">M21/M$35*100</f>
        <v>1.6601724374917595</v>
      </c>
      <c r="N58" s="343">
        <f t="shared" si="59"/>
        <v>1.5977394948666217</v>
      </c>
      <c r="O58" s="343">
        <f t="shared" si="59"/>
        <v>1.4017411350665485</v>
      </c>
      <c r="P58" s="343">
        <f t="shared" si="59"/>
        <v>1.32738327427504</v>
      </c>
      <c r="Q58" s="343">
        <f t="shared" si="59"/>
        <v>1.3725371267870565</v>
      </c>
      <c r="S58" s="278">
        <f t="shared" si="26"/>
        <v>4.2673947016869533</v>
      </c>
      <c r="T58" s="54">
        <f t="shared" si="27"/>
        <v>53.257539717832245</v>
      </c>
      <c r="U58" s="54">
        <f t="shared" si="28"/>
        <v>57.524934419519205</v>
      </c>
      <c r="W58" t="str">
        <f t="shared" si="29"/>
        <v>51 Skilled agricultural and related trades</v>
      </c>
      <c r="X58" s="343">
        <f t="shared" ref="X58:AB58" si="60">X21/X$35*100</f>
        <v>0.35546844130135324</v>
      </c>
      <c r="Y58" s="343">
        <f t="shared" si="60"/>
        <v>0.34644339330990703</v>
      </c>
      <c r="Z58" s="343">
        <f t="shared" si="60"/>
        <v>0.38236197126055971</v>
      </c>
      <c r="AA58" s="343">
        <f t="shared" si="60"/>
        <v>0.39238868810126626</v>
      </c>
      <c r="AB58" s="343">
        <f t="shared" si="60"/>
        <v>0.46049666391821309</v>
      </c>
      <c r="AD58" s="278">
        <f t="shared" si="31"/>
        <v>30.538576211732092</v>
      </c>
      <c r="AE58" s="54">
        <f t="shared" si="32"/>
        <v>79.594242782282819</v>
      </c>
      <c r="AF58" s="54">
        <f t="shared" si="33"/>
        <v>110.1328189940149</v>
      </c>
    </row>
    <row r="59" spans="1:32">
      <c r="A59" t="str">
        <f t="shared" si="19"/>
        <v>52 Skilled metal, electrical and electronic trades</v>
      </c>
      <c r="B59" s="343">
        <f t="shared" si="52"/>
        <v>3.6367644143597917</v>
      </c>
      <c r="C59" s="343">
        <f t="shared" si="52"/>
        <v>3.5223013066878894</v>
      </c>
      <c r="D59" s="343">
        <f t="shared" si="52"/>
        <v>3.0877043873783854</v>
      </c>
      <c r="E59" s="343">
        <f t="shared" si="52"/>
        <v>2.9822252586699483</v>
      </c>
      <c r="F59" s="343">
        <f t="shared" si="52"/>
        <v>2.6986984842060391</v>
      </c>
      <c r="H59" s="278">
        <f t="shared" si="21"/>
        <v>-6.1285170471823687</v>
      </c>
      <c r="I59" s="54">
        <f t="shared" si="22"/>
        <v>37.527345412475668</v>
      </c>
      <c r="J59" s="54">
        <f t="shared" si="23"/>
        <v>31.398828365293301</v>
      </c>
      <c r="L59" t="str">
        <f t="shared" si="24"/>
        <v>52 Skilled metal, electrical and electronic trades</v>
      </c>
      <c r="M59" s="343">
        <f t="shared" ref="M59:Q59" si="61">M22/M$35*100</f>
        <v>6.7828212128144134</v>
      </c>
      <c r="N59" s="343">
        <f t="shared" si="61"/>
        <v>6.5477473757424951</v>
      </c>
      <c r="O59" s="343">
        <f t="shared" si="61"/>
        <v>5.8081328097282929</v>
      </c>
      <c r="P59" s="343">
        <f t="shared" si="61"/>
        <v>5.5106868164153164</v>
      </c>
      <c r="Q59" s="343">
        <f t="shared" si="61"/>
        <v>4.9452402352211804</v>
      </c>
      <c r="S59" s="278">
        <f t="shared" si="26"/>
        <v>-9.3342841077717527</v>
      </c>
      <c r="T59" s="54">
        <f t="shared" si="27"/>
        <v>35.809441136329156</v>
      </c>
      <c r="U59" s="54">
        <f t="shared" si="28"/>
        <v>26.475157028557405</v>
      </c>
      <c r="W59" t="str">
        <f t="shared" si="29"/>
        <v>52 Skilled metal, electrical and electronic trades</v>
      </c>
      <c r="X59" s="343">
        <f t="shared" ref="X59:AB59" si="62">X22/X$35*100</f>
        <v>0.13375004790680267</v>
      </c>
      <c r="Y59" s="343">
        <f t="shared" si="62"/>
        <v>0.20941625691075835</v>
      </c>
      <c r="Z59" s="343">
        <f t="shared" si="62"/>
        <v>0.15930159849274092</v>
      </c>
      <c r="AA59" s="343">
        <f t="shared" si="62"/>
        <v>0.27225617002823216</v>
      </c>
      <c r="AB59" s="343">
        <f t="shared" si="62"/>
        <v>0.32288049364253379</v>
      </c>
      <c r="AD59" s="278">
        <f t="shared" si="31"/>
        <v>119.68922157061203</v>
      </c>
      <c r="AE59" s="54">
        <f t="shared" si="32"/>
        <v>104.95046976975672</v>
      </c>
      <c r="AF59" s="54">
        <f t="shared" si="33"/>
        <v>224.63969134036876</v>
      </c>
    </row>
    <row r="60" spans="1:32">
      <c r="A60" t="str">
        <f t="shared" si="19"/>
        <v>53 Skilled construction and building trades</v>
      </c>
      <c r="B60" s="343">
        <f t="shared" si="52"/>
        <v>3.2042901918290698</v>
      </c>
      <c r="C60" s="343">
        <f t="shared" si="52"/>
        <v>3.0033581806341769</v>
      </c>
      <c r="D60" s="343">
        <f t="shared" si="52"/>
        <v>2.5774299409604366</v>
      </c>
      <c r="E60" s="343">
        <f t="shared" si="52"/>
        <v>2.5208076425186721</v>
      </c>
      <c r="F60" s="343">
        <f t="shared" si="52"/>
        <v>2.2410227133964091</v>
      </c>
      <c r="H60" s="278">
        <f t="shared" si="21"/>
        <v>-6.6155817663665824</v>
      </c>
      <c r="I60" s="54">
        <f t="shared" si="22"/>
        <v>41.695270857831666</v>
      </c>
      <c r="J60" s="54">
        <f t="shared" si="23"/>
        <v>35.079689091465092</v>
      </c>
      <c r="L60" t="str">
        <f t="shared" si="24"/>
        <v>53 Skilled construction and building trades</v>
      </c>
      <c r="M60" s="343">
        <f t="shared" ref="M60:Q60" si="63">M23/M$35*100</f>
        <v>5.9845180869162862</v>
      </c>
      <c r="N60" s="343">
        <f t="shared" si="63"/>
        <v>5.6298690826330118</v>
      </c>
      <c r="O60" s="343">
        <f t="shared" si="63"/>
        <v>4.8496118845188496</v>
      </c>
      <c r="P60" s="343">
        <f t="shared" si="63"/>
        <v>4.7939281871505584</v>
      </c>
      <c r="Q60" s="343">
        <f t="shared" si="63"/>
        <v>4.2719611469359942</v>
      </c>
      <c r="S60" s="278">
        <f t="shared" si="26"/>
        <v>-6.1979023689374957</v>
      </c>
      <c r="T60" s="54">
        <f t="shared" si="27"/>
        <v>41.768605949867279</v>
      </c>
      <c r="U60" s="54">
        <f t="shared" si="28"/>
        <v>35.570703580929781</v>
      </c>
      <c r="W60" t="str">
        <f t="shared" si="29"/>
        <v>53 Skilled construction and building trades</v>
      </c>
      <c r="X60" s="343">
        <f t="shared" ref="X60:AB60" si="64">X23/X$35*100</f>
        <v>0.10861236958255589</v>
      </c>
      <c r="Y60" s="343">
        <f t="shared" si="64"/>
        <v>0.12730998750685119</v>
      </c>
      <c r="Z60" s="343">
        <f t="shared" si="64"/>
        <v>0.13154168096922625</v>
      </c>
      <c r="AA60" s="343">
        <f t="shared" si="64"/>
        <v>8.4509415306632724E-2</v>
      </c>
      <c r="AB60" s="343">
        <f t="shared" si="64"/>
        <v>9.3214836712232324E-2</v>
      </c>
      <c r="AD60" s="278">
        <f t="shared" si="31"/>
        <v>-23.191597785168145</v>
      </c>
      <c r="AE60" s="54">
        <f t="shared" si="32"/>
        <v>38.784895896066615</v>
      </c>
      <c r="AF60" s="54">
        <f t="shared" si="33"/>
        <v>15.593298110898468</v>
      </c>
    </row>
    <row r="61" spans="1:32">
      <c r="A61" t="str">
        <f t="shared" si="19"/>
        <v>54 Textiles, printing and other skilled trades</v>
      </c>
      <c r="B61" s="343">
        <f t="shared" si="52"/>
        <v>2.2001121980314986</v>
      </c>
      <c r="C61" s="343">
        <f t="shared" si="52"/>
        <v>1.909530215062704</v>
      </c>
      <c r="D61" s="343">
        <f t="shared" si="52"/>
        <v>1.8210982783636702</v>
      </c>
      <c r="E61" s="343">
        <f t="shared" si="52"/>
        <v>1.8729142083609447</v>
      </c>
      <c r="F61" s="343">
        <f t="shared" si="52"/>
        <v>1.8321379367727704</v>
      </c>
      <c r="H61" s="278">
        <f t="shared" si="21"/>
        <v>8.0537421705153971</v>
      </c>
      <c r="I61" s="54">
        <f t="shared" si="22"/>
        <v>45.981998388475965</v>
      </c>
      <c r="J61" s="54">
        <f t="shared" si="23"/>
        <v>54.035740558991364</v>
      </c>
      <c r="L61" t="str">
        <f t="shared" si="24"/>
        <v>54 Textiles, printing and other skilled trades</v>
      </c>
      <c r="M61" s="343">
        <f t="shared" ref="M61:Q61" si="65">M24/M$35*100</f>
        <v>2.6611934219201654</v>
      </c>
      <c r="N61" s="343">
        <f t="shared" si="65"/>
        <v>2.3057090552837538</v>
      </c>
      <c r="O61" s="343">
        <f t="shared" si="65"/>
        <v>2.0566586550021655</v>
      </c>
      <c r="P61" s="343">
        <f t="shared" si="65"/>
        <v>2.1463444197629973</v>
      </c>
      <c r="Q61" s="343">
        <f t="shared" si="65"/>
        <v>2.1025459141637688</v>
      </c>
      <c r="S61" s="278">
        <f t="shared" si="26"/>
        <v>8.8617998446103048</v>
      </c>
      <c r="T61" s="54">
        <f t="shared" si="27"/>
        <v>35.322034592725778</v>
      </c>
      <c r="U61" s="54">
        <f t="shared" si="28"/>
        <v>44.183834437336081</v>
      </c>
      <c r="W61" t="str">
        <f t="shared" si="29"/>
        <v>54 Textiles, printing and other skilled trades</v>
      </c>
      <c r="X61" s="343">
        <f t="shared" ref="X61:AB61" si="66">X24/X$35*100</f>
        <v>1.6867158244577285</v>
      </c>
      <c r="Y61" s="343">
        <f t="shared" si="66"/>
        <v>1.4757115559793208</v>
      </c>
      <c r="Z61" s="343">
        <f t="shared" si="66"/>
        <v>1.567529517564143</v>
      </c>
      <c r="AA61" s="343">
        <f t="shared" si="66"/>
        <v>1.5798556018219376</v>
      </c>
      <c r="AB61" s="343">
        <f t="shared" si="66"/>
        <v>1.5461694533528161</v>
      </c>
      <c r="AD61" s="278">
        <f t="shared" si="31"/>
        <v>6.9124880535937043</v>
      </c>
      <c r="AE61" s="54">
        <f t="shared" si="32"/>
        <v>61.037517268063304</v>
      </c>
      <c r="AF61" s="54">
        <f t="shared" si="33"/>
        <v>67.950005321657002</v>
      </c>
    </row>
    <row r="62" spans="1:32">
      <c r="A62" t="str">
        <f t="shared" si="19"/>
        <v>61 Caring personal service occupations</v>
      </c>
      <c r="B62" s="343">
        <f t="shared" si="52"/>
        <v>7.0848500427905536</v>
      </c>
      <c r="C62" s="343">
        <f t="shared" si="52"/>
        <v>6.916962527725917</v>
      </c>
      <c r="D62" s="343">
        <f t="shared" si="52"/>
        <v>6.7644192230072786</v>
      </c>
      <c r="E62" s="343">
        <f t="shared" si="52"/>
        <v>6.8834896357078623</v>
      </c>
      <c r="F62" s="343">
        <f t="shared" si="52"/>
        <v>7.1470050417843876</v>
      </c>
      <c r="H62" s="278">
        <f t="shared" si="21"/>
        <v>13.477197580706296</v>
      </c>
      <c r="I62" s="54">
        <f t="shared" si="22"/>
        <v>59.948816841125755</v>
      </c>
      <c r="J62" s="54">
        <f t="shared" si="23"/>
        <v>73.426014421832051</v>
      </c>
      <c r="L62" t="str">
        <f t="shared" si="24"/>
        <v>61 Caring personal service occupations</v>
      </c>
      <c r="M62" s="343">
        <f t="shared" ref="M62:Q62" si="67">M25/M$35*100</f>
        <v>2.0616928612089551</v>
      </c>
      <c r="N62" s="343">
        <f t="shared" si="67"/>
        <v>2.0421409941212234</v>
      </c>
      <c r="O62" s="343">
        <f t="shared" si="67"/>
        <v>2.0121604389947398</v>
      </c>
      <c r="P62" s="343">
        <f t="shared" si="67"/>
        <v>2.3517105154475257</v>
      </c>
      <c r="Q62" s="343">
        <f t="shared" si="67"/>
        <v>2.6350823080107744</v>
      </c>
      <c r="S62" s="278">
        <f t="shared" si="26"/>
        <v>39.451701783511936</v>
      </c>
      <c r="T62" s="54">
        <f t="shared" si="27"/>
        <v>55.489604703712637</v>
      </c>
      <c r="U62" s="54">
        <f t="shared" si="28"/>
        <v>94.941306487224566</v>
      </c>
      <c r="W62" t="str">
        <f t="shared" si="29"/>
        <v>61 Caring personal service occupations</v>
      </c>
      <c r="X62" s="343">
        <f t="shared" ref="X62:AB62" si="68">X25/X$35*100</f>
        <v>12.677944160059901</v>
      </c>
      <c r="Y62" s="343">
        <f t="shared" si="68"/>
        <v>12.254926917240608</v>
      </c>
      <c r="Z62" s="343">
        <f t="shared" si="68"/>
        <v>11.879984022388236</v>
      </c>
      <c r="AA62" s="343">
        <f t="shared" si="68"/>
        <v>11.740585957713423</v>
      </c>
      <c r="AB62" s="343">
        <f t="shared" si="68"/>
        <v>11.918564349813323</v>
      </c>
      <c r="AD62" s="278">
        <f t="shared" si="31"/>
        <v>8.7414611418877328</v>
      </c>
      <c r="AE62" s="54">
        <f t="shared" si="32"/>
        <v>60.761831528246823</v>
      </c>
      <c r="AF62" s="54">
        <f t="shared" si="33"/>
        <v>69.50329267013457</v>
      </c>
    </row>
    <row r="63" spans="1:32">
      <c r="A63" t="str">
        <f t="shared" si="19"/>
        <v>62 Leisure, travel and related personal service occupations</v>
      </c>
      <c r="B63" s="343">
        <f t="shared" si="52"/>
        <v>2.1893709548433642</v>
      </c>
      <c r="C63" s="343">
        <f t="shared" si="52"/>
        <v>2.251682490574229</v>
      </c>
      <c r="D63" s="343">
        <f t="shared" si="52"/>
        <v>2.1020575426792694</v>
      </c>
      <c r="E63" s="343">
        <f t="shared" si="52"/>
        <v>1.9253494486156268</v>
      </c>
      <c r="F63" s="343">
        <f t="shared" si="52"/>
        <v>1.8796169668757343</v>
      </c>
      <c r="H63" s="278">
        <f t="shared" si="21"/>
        <v>-3.96273472025727</v>
      </c>
      <c r="I63" s="54">
        <f t="shared" si="22"/>
        <v>48.888039020985424</v>
      </c>
      <c r="J63" s="54">
        <f t="shared" si="23"/>
        <v>44.925304300728151</v>
      </c>
      <c r="L63" t="str">
        <f t="shared" si="24"/>
        <v>62 Leisure, travel and related personal service occupations</v>
      </c>
      <c r="M63" s="343">
        <f t="shared" ref="M63:Q63" si="69">M26/M$35*100</f>
        <v>1.2232727989707695</v>
      </c>
      <c r="N63" s="343">
        <f t="shared" si="69"/>
        <v>1.3156567601646576</v>
      </c>
      <c r="O63" s="343">
        <f t="shared" si="69"/>
        <v>1.2820867841716155</v>
      </c>
      <c r="P63" s="343">
        <f t="shared" si="69"/>
        <v>1.2185582299500164</v>
      </c>
      <c r="Q63" s="343">
        <f t="shared" si="69"/>
        <v>1.2736149353702577</v>
      </c>
      <c r="S63" s="278">
        <f t="shared" si="26"/>
        <v>5.7822887263398446</v>
      </c>
      <c r="T63" s="54">
        <f t="shared" si="27"/>
        <v>44.043495264479574</v>
      </c>
      <c r="U63" s="54">
        <f t="shared" si="28"/>
        <v>49.825783990819424</v>
      </c>
      <c r="W63" t="str">
        <f t="shared" si="29"/>
        <v>62 Leisure, travel and related personal service occupations</v>
      </c>
      <c r="X63" s="343">
        <f t="shared" ref="X63:AB63" si="70">X26/X$35*100</f>
        <v>3.2650844388109226</v>
      </c>
      <c r="Y63" s="343">
        <f t="shared" si="70"/>
        <v>3.2766373493629013</v>
      </c>
      <c r="Z63" s="343">
        <f t="shared" si="70"/>
        <v>2.9847143463985688</v>
      </c>
      <c r="AA63" s="343">
        <f t="shared" si="70"/>
        <v>2.6828782110521665</v>
      </c>
      <c r="AB63" s="343">
        <f t="shared" si="70"/>
        <v>2.5204911140480069</v>
      </c>
      <c r="AD63" s="278">
        <f t="shared" si="31"/>
        <v>-8.4687332631906767</v>
      </c>
      <c r="AE63" s="54">
        <f t="shared" si="32"/>
        <v>51.128106192461907</v>
      </c>
      <c r="AF63" s="54">
        <f t="shared" si="33"/>
        <v>42.659372929271235</v>
      </c>
    </row>
    <row r="64" spans="1:32">
      <c r="A64" t="str">
        <f t="shared" si="19"/>
        <v>63 Community and civil enforcement occupations</v>
      </c>
      <c r="B64" s="343">
        <f t="shared" si="52"/>
        <v>0.10064227917247978</v>
      </c>
      <c r="C64" s="343">
        <f t="shared" si="52"/>
        <v>8.2334154112991262E-2</v>
      </c>
      <c r="D64" s="343">
        <f t="shared" si="52"/>
        <v>0.10382880502104476</v>
      </c>
      <c r="E64" s="343">
        <f t="shared" si="52"/>
        <v>7.4791601838328045E-2</v>
      </c>
      <c r="F64" s="343">
        <f t="shared" si="52"/>
        <v>7.8301792570478479E-2</v>
      </c>
      <c r="H64" s="278">
        <f t="shared" si="21"/>
        <v>-19.003010487628604</v>
      </c>
      <c r="I64" s="54">
        <f t="shared" si="22"/>
        <v>39.038163237587419</v>
      </c>
      <c r="J64" s="54">
        <f t="shared" si="23"/>
        <v>20.035152749958812</v>
      </c>
      <c r="L64" t="str">
        <f t="shared" si="24"/>
        <v>63 Community and civil enforcement occupations</v>
      </c>
      <c r="M64" s="343">
        <f t="shared" ref="M64:Q64" si="71">M27/M$35*100</f>
        <v>0.14764756487183897</v>
      </c>
      <c r="N64" s="343">
        <f t="shared" si="71"/>
        <v>0.10665342700814655</v>
      </c>
      <c r="O64" s="343">
        <f t="shared" si="71"/>
        <v>0.15690105892464351</v>
      </c>
      <c r="P64" s="343">
        <f t="shared" si="71"/>
        <v>8.7170970511603454E-2</v>
      </c>
      <c r="Q64" s="343">
        <f t="shared" si="71"/>
        <v>9.7420260906033451E-2</v>
      </c>
      <c r="S64" s="278">
        <f t="shared" si="26"/>
        <v>-33.882617339731205</v>
      </c>
      <c r="T64" s="54">
        <f t="shared" si="27"/>
        <v>26.484891780904363</v>
      </c>
      <c r="U64" s="54">
        <f t="shared" si="28"/>
        <v>-7.3977255588268429</v>
      </c>
      <c r="W64" t="str">
        <f t="shared" si="29"/>
        <v>63 Community and civil enforcement occupations</v>
      </c>
      <c r="X64" s="343">
        <f t="shared" ref="X64:AB64" si="72">X27/X$35*100</f>
        <v>4.830368465474448E-2</v>
      </c>
      <c r="Y64" s="343">
        <f t="shared" si="72"/>
        <v>5.5704376633273933E-2</v>
      </c>
      <c r="Z64" s="343">
        <f t="shared" si="72"/>
        <v>4.6699223861362361E-2</v>
      </c>
      <c r="AA64" s="343">
        <f t="shared" si="72"/>
        <v>6.1523570794426906E-2</v>
      </c>
      <c r="AB64" s="343">
        <f t="shared" si="72"/>
        <v>5.8083160531654632E-2</v>
      </c>
      <c r="AD64" s="278">
        <f t="shared" si="31"/>
        <v>34.811720870100629</v>
      </c>
      <c r="AE64" s="54">
        <f t="shared" si="32"/>
        <v>84.439290956669893</v>
      </c>
      <c r="AF64" s="54">
        <f t="shared" si="33"/>
        <v>119.25101182677054</v>
      </c>
    </row>
    <row r="65" spans="1:32">
      <c r="A65" t="str">
        <f t="shared" si="19"/>
        <v>71 Sales occupations</v>
      </c>
      <c r="B65" s="343">
        <f t="shared" ref="B65:F70" si="73">B28/B$35*100</f>
        <v>6.9517971179559934</v>
      </c>
      <c r="C65" s="343">
        <f t="shared" si="73"/>
        <v>6.2630259301595448</v>
      </c>
      <c r="D65" s="343">
        <f t="shared" si="73"/>
        <v>6.2147235902028211</v>
      </c>
      <c r="E65" s="343">
        <f t="shared" si="73"/>
        <v>5.9437281207033781</v>
      </c>
      <c r="F65" s="343">
        <f t="shared" si="73"/>
        <v>5.5392493445764686</v>
      </c>
      <c r="H65" s="278">
        <f t="shared" si="21"/>
        <v>-4.2708669011025187</v>
      </c>
      <c r="I65" s="54">
        <f t="shared" si="22"/>
        <v>45.456894468814369</v>
      </c>
      <c r="J65" s="54">
        <f t="shared" si="23"/>
        <v>41.186027567711854</v>
      </c>
      <c r="L65" t="str">
        <f t="shared" si="24"/>
        <v>71 Sales occupations</v>
      </c>
      <c r="M65" s="343">
        <f t="shared" ref="M65:Q65" si="74">M28/M$35*100</f>
        <v>5.2568198283914169</v>
      </c>
      <c r="N65" s="343">
        <f t="shared" si="74"/>
        <v>4.9940565274064523</v>
      </c>
      <c r="O65" s="343">
        <f t="shared" si="74"/>
        <v>5.0027758611350368</v>
      </c>
      <c r="P65" s="343">
        <f t="shared" si="74"/>
        <v>4.8426383775956783</v>
      </c>
      <c r="Q65" s="343">
        <f t="shared" si="74"/>
        <v>4.6726808894777507</v>
      </c>
      <c r="S65" s="278">
        <f t="shared" si="26"/>
        <v>-0.54026067976920666</v>
      </c>
      <c r="T65" s="54">
        <f t="shared" si="27"/>
        <v>33.881974903895959</v>
      </c>
      <c r="U65" s="54">
        <f t="shared" si="28"/>
        <v>33.341714224126747</v>
      </c>
      <c r="W65" t="str">
        <f t="shared" si="29"/>
        <v>71 Sales occupations</v>
      </c>
      <c r="X65" s="343">
        <f t="shared" ref="X65:AB65" si="75">X28/X$35*100</f>
        <v>8.8390897437830027</v>
      </c>
      <c r="Y65" s="343">
        <f t="shared" si="75"/>
        <v>7.6525564876548335</v>
      </c>
      <c r="Z65" s="343">
        <f t="shared" si="75"/>
        <v>7.5193236600403832</v>
      </c>
      <c r="AA65" s="343">
        <f t="shared" si="75"/>
        <v>7.1238604262556366</v>
      </c>
      <c r="AB65" s="343">
        <f t="shared" si="75"/>
        <v>6.4556840935625512</v>
      </c>
      <c r="AD65" s="278">
        <f t="shared" si="31"/>
        <v>-6.9426745270900705</v>
      </c>
      <c r="AE65" s="54">
        <f t="shared" si="32"/>
        <v>53.746688815612117</v>
      </c>
      <c r="AF65" s="54">
        <f t="shared" si="33"/>
        <v>46.804014288522055</v>
      </c>
    </row>
    <row r="66" spans="1:32">
      <c r="A66" t="str">
        <f t="shared" si="19"/>
        <v>72 Customer service occupations</v>
      </c>
      <c r="B66" s="343">
        <f t="shared" si="73"/>
        <v>1.6038280306898869</v>
      </c>
      <c r="C66" s="343">
        <f t="shared" si="73"/>
        <v>1.65105435928244</v>
      </c>
      <c r="D66" s="343">
        <f t="shared" si="73"/>
        <v>1.7018003284374417</v>
      </c>
      <c r="E66" s="343">
        <f t="shared" si="73"/>
        <v>1.845944967124135</v>
      </c>
      <c r="F66" s="343">
        <f t="shared" si="73"/>
        <v>1.970073324263139</v>
      </c>
      <c r="H66" s="278">
        <f t="shared" si="21"/>
        <v>24.33368798957574</v>
      </c>
      <c r="I66" s="54">
        <f t="shared" si="22"/>
        <v>52.231379937965762</v>
      </c>
      <c r="J66" s="54">
        <f t="shared" si="23"/>
        <v>76.565067927541492</v>
      </c>
      <c r="L66" t="str">
        <f t="shared" si="24"/>
        <v>72 Customer service occupations</v>
      </c>
      <c r="M66" s="343">
        <f t="shared" ref="M66:Q66" si="76">M29/M$35*100</f>
        <v>1.2024865054245846</v>
      </c>
      <c r="N66" s="343">
        <f t="shared" si="76"/>
        <v>1.0826036906367071</v>
      </c>
      <c r="O66" s="343">
        <f t="shared" si="76"/>
        <v>1.2741667511234953</v>
      </c>
      <c r="P66" s="343">
        <f t="shared" si="76"/>
        <v>1.5421587950436455</v>
      </c>
      <c r="Q66" s="343">
        <f t="shared" si="76"/>
        <v>1.7257449134598239</v>
      </c>
      <c r="S66" s="278">
        <f t="shared" si="26"/>
        <v>44.225672708071329</v>
      </c>
      <c r="T66" s="54">
        <f t="shared" si="27"/>
        <v>44.214406643964274</v>
      </c>
      <c r="U66" s="54">
        <f t="shared" si="28"/>
        <v>88.440079352035596</v>
      </c>
      <c r="W66" t="str">
        <f t="shared" si="29"/>
        <v>72 Customer service occupations</v>
      </c>
      <c r="X66" s="343">
        <f t="shared" ref="X66:AB66" si="77">X29/X$35*100</f>
        <v>2.0507065261922928</v>
      </c>
      <c r="Y66" s="343">
        <f t="shared" si="77"/>
        <v>2.2735119006527733</v>
      </c>
      <c r="Z66" s="343">
        <f t="shared" si="77"/>
        <v>2.162126117617952</v>
      </c>
      <c r="AA66" s="343">
        <f t="shared" si="77"/>
        <v>2.1715386600055262</v>
      </c>
      <c r="AB66" s="343">
        <f t="shared" si="77"/>
        <v>2.2284615041088962</v>
      </c>
      <c r="AD66" s="278">
        <f t="shared" si="31"/>
        <v>11.714922471987869</v>
      </c>
      <c r="AE66" s="54">
        <f t="shared" si="32"/>
        <v>57.317061813827323</v>
      </c>
      <c r="AF66" s="54">
        <f t="shared" si="33"/>
        <v>69.031984285815184</v>
      </c>
    </row>
    <row r="67" spans="1:32">
      <c r="A67" t="str">
        <f t="shared" si="19"/>
        <v>81 Process, plant and machine operatives</v>
      </c>
      <c r="B67" s="343">
        <f t="shared" si="73"/>
        <v>2.4892135987608763</v>
      </c>
      <c r="C67" s="343">
        <f t="shared" si="73"/>
        <v>2.2894983532027378</v>
      </c>
      <c r="D67" s="343">
        <f t="shared" si="73"/>
        <v>2.0419461117957791</v>
      </c>
      <c r="E67" s="343">
        <f t="shared" si="73"/>
        <v>2.0766922518262176</v>
      </c>
      <c r="F67" s="343">
        <f t="shared" si="73"/>
        <v>1.8658761087515776</v>
      </c>
      <c r="H67" s="278">
        <f t="shared" si="21"/>
        <v>-1.8583046735958686</v>
      </c>
      <c r="I67" s="54">
        <f t="shared" si="22"/>
        <v>40.61753598603952</v>
      </c>
      <c r="J67" s="54">
        <f t="shared" si="23"/>
        <v>38.759231312443653</v>
      </c>
      <c r="L67" t="str">
        <f t="shared" si="24"/>
        <v>81 Process, plant and machine operatives</v>
      </c>
      <c r="M67" s="343">
        <f t="shared" ref="M67:Q67" si="78">M30/M$35*100</f>
        <v>3.6893129773134756</v>
      </c>
      <c r="N67" s="343">
        <f t="shared" si="78"/>
        <v>3.3498295049153066</v>
      </c>
      <c r="O67" s="343">
        <f t="shared" si="78"/>
        <v>3.0340070207156642</v>
      </c>
      <c r="P67" s="343">
        <f t="shared" si="78"/>
        <v>2.9762018536048371</v>
      </c>
      <c r="Q67" s="343">
        <f t="shared" si="78"/>
        <v>2.6318422999046391</v>
      </c>
      <c r="S67" s="278">
        <f t="shared" si="26"/>
        <v>-7.6290264721198442</v>
      </c>
      <c r="T67" s="54">
        <f t="shared" si="27"/>
        <v>35.473480198640182</v>
      </c>
      <c r="U67" s="54">
        <f t="shared" si="28"/>
        <v>27.844453726520342</v>
      </c>
      <c r="W67" t="str">
        <f t="shared" si="29"/>
        <v>81 Process, plant and machine operatives</v>
      </c>
      <c r="X67" s="343">
        <f t="shared" ref="X67:AB67" si="79">X30/X$35*100</f>
        <v>1.1529486698167759</v>
      </c>
      <c r="Y67" s="343">
        <f t="shared" si="79"/>
        <v>1.1284281704447749</v>
      </c>
      <c r="Z67" s="343">
        <f t="shared" si="79"/>
        <v>0.97404301662228099</v>
      </c>
      <c r="AA67" s="343">
        <f t="shared" si="79"/>
        <v>1.1126106709576857</v>
      </c>
      <c r="AB67" s="343">
        <f t="shared" si="79"/>
        <v>1.0558327359620301</v>
      </c>
      <c r="AD67" s="278">
        <f t="shared" si="31"/>
        <v>17.490854193479311</v>
      </c>
      <c r="AE67" s="54">
        <f t="shared" si="32"/>
        <v>57.865491463106956</v>
      </c>
      <c r="AF67" s="54">
        <f t="shared" si="33"/>
        <v>75.356345656586271</v>
      </c>
    </row>
    <row r="68" spans="1:32">
      <c r="A68" t="str">
        <f t="shared" si="19"/>
        <v>82 Transport and mobile machine drivers and operatives</v>
      </c>
      <c r="B68" s="343">
        <f t="shared" si="73"/>
        <v>3.6781338905138981</v>
      </c>
      <c r="C68" s="343">
        <f t="shared" si="73"/>
        <v>3.9017535678021762</v>
      </c>
      <c r="D68" s="343">
        <f t="shared" si="73"/>
        <v>3.5367782576262399</v>
      </c>
      <c r="E68" s="343">
        <f t="shared" si="73"/>
        <v>3.529840671243111</v>
      </c>
      <c r="F68" s="343">
        <f t="shared" si="73"/>
        <v>3.3257683752796883</v>
      </c>
      <c r="H68" s="278">
        <f t="shared" si="21"/>
        <v>0.99484238542784076</v>
      </c>
      <c r="I68" s="54">
        <f t="shared" si="22"/>
        <v>54.328709121856747</v>
      </c>
      <c r="J68" s="54">
        <f t="shared" si="23"/>
        <v>55.323551507284584</v>
      </c>
      <c r="L68" t="str">
        <f t="shared" si="24"/>
        <v>82 Transport and mobile machine drivers and operatives</v>
      </c>
      <c r="M68" s="343">
        <f t="shared" ref="M68:Q68" si="80">M31/M$35*100</f>
        <v>6.5486729770116519</v>
      </c>
      <c r="N68" s="343">
        <f t="shared" si="80"/>
        <v>7.0442674717889409</v>
      </c>
      <c r="O68" s="343">
        <f t="shared" si="80"/>
        <v>6.4203502345134877</v>
      </c>
      <c r="P68" s="343">
        <f t="shared" si="80"/>
        <v>6.31040326699374</v>
      </c>
      <c r="Q68" s="343">
        <f t="shared" si="80"/>
        <v>5.9156381070898876</v>
      </c>
      <c r="S68" s="278">
        <f t="shared" si="26"/>
        <v>-1.8850656552483567</v>
      </c>
      <c r="T68" s="54">
        <f t="shared" si="27"/>
        <v>52.537017463670423</v>
      </c>
      <c r="U68" s="54">
        <f t="shared" si="28"/>
        <v>50.651951808422069</v>
      </c>
      <c r="W68" t="str">
        <f t="shared" si="29"/>
        <v>82 Transport and mobile machine drivers and operatives</v>
      </c>
      <c r="X68" s="343">
        <f t="shared" ref="X68:AB68" si="81">X31/X$35*100</f>
        <v>0.48189799788606696</v>
      </c>
      <c r="Y68" s="343">
        <f t="shared" si="81"/>
        <v>0.46067840281408701</v>
      </c>
      <c r="Z68" s="343">
        <f t="shared" si="81"/>
        <v>0.43275973256799805</v>
      </c>
      <c r="AA68" s="343">
        <f t="shared" si="81"/>
        <v>0.54967328035079932</v>
      </c>
      <c r="AB68" s="343">
        <f t="shared" si="81"/>
        <v>0.58686574893403565</v>
      </c>
      <c r="AD68" s="278">
        <f t="shared" si="31"/>
        <v>46.987023365706847</v>
      </c>
      <c r="AE68" s="54">
        <f t="shared" si="32"/>
        <v>82.942055742747712</v>
      </c>
      <c r="AF68" s="54">
        <f t="shared" si="33"/>
        <v>129.92907910845457</v>
      </c>
    </row>
    <row r="69" spans="1:32">
      <c r="A69" t="str">
        <f t="shared" si="19"/>
        <v>91 Elementary trades and related occupations</v>
      </c>
      <c r="B69" s="343">
        <f t="shared" si="73"/>
        <v>1.6607550830773212</v>
      </c>
      <c r="C69" s="343">
        <f t="shared" si="73"/>
        <v>1.4184419797547214</v>
      </c>
      <c r="D69" s="343">
        <f t="shared" si="73"/>
        <v>1.270180311848975</v>
      </c>
      <c r="E69" s="343">
        <f t="shared" si="73"/>
        <v>2.2459102572634606</v>
      </c>
      <c r="F69" s="343">
        <f t="shared" si="73"/>
        <v>2.4248832856130647</v>
      </c>
      <c r="H69" s="278">
        <f t="shared" si="21"/>
        <v>105.04089636950688</v>
      </c>
      <c r="I69" s="54">
        <f t="shared" si="22"/>
        <v>84.946345810777828</v>
      </c>
      <c r="J69" s="54">
        <f t="shared" si="23"/>
        <v>189.98724218028468</v>
      </c>
      <c r="L69" t="str">
        <f t="shared" si="24"/>
        <v>91 Elementary trades and related occupations</v>
      </c>
      <c r="M69" s="343">
        <f t="shared" ref="M69:Q70" si="82">M32/M$35*100</f>
        <v>2.413276071664022</v>
      </c>
      <c r="N69" s="343">
        <f t="shared" si="82"/>
        <v>2.0871697000094089</v>
      </c>
      <c r="O69" s="343">
        <f t="shared" si="82"/>
        <v>1.9316906129227194</v>
      </c>
      <c r="P69" s="343">
        <f t="shared" si="82"/>
        <v>2.5665720702819703</v>
      </c>
      <c r="Q69" s="343">
        <f t="shared" si="82"/>
        <v>2.6680366896445991</v>
      </c>
      <c r="S69" s="278">
        <f t="shared" si="26"/>
        <v>47.077577354045083</v>
      </c>
      <c r="T69" s="54">
        <f t="shared" si="27"/>
        <v>46.457030536416127</v>
      </c>
      <c r="U69" s="54">
        <f t="shared" si="28"/>
        <v>93.534607890461217</v>
      </c>
      <c r="W69" t="str">
        <f t="shared" si="29"/>
        <v>91 Elementary trades and related occupations</v>
      </c>
      <c r="X69" s="343">
        <f t="shared" ref="X69:AB70" si="83">X32/X$35*100</f>
        <v>0.82285163665147232</v>
      </c>
      <c r="Y69" s="343">
        <f t="shared" si="83"/>
        <v>0.68618035081231832</v>
      </c>
      <c r="Z69" s="343">
        <f t="shared" si="83"/>
        <v>0.55809812853331053</v>
      </c>
      <c r="AA69" s="343">
        <f t="shared" si="83"/>
        <v>1.9022294927582548</v>
      </c>
      <c r="AB69" s="343">
        <f t="shared" si="83"/>
        <v>2.1677377277778564</v>
      </c>
      <c r="AD69" s="278">
        <f t="shared" si="31"/>
        <v>321.0011141846208</v>
      </c>
      <c r="AE69" s="54">
        <f t="shared" si="32"/>
        <v>228.35015793527819</v>
      </c>
      <c r="AF69" s="54">
        <f t="shared" si="33"/>
        <v>549.35127211989902</v>
      </c>
    </row>
    <row r="70" spans="1:32">
      <c r="A70" t="str">
        <f t="shared" si="19"/>
        <v>92 Elementary administration and service occupations</v>
      </c>
      <c r="B70" s="343">
        <f t="shared" si="73"/>
        <v>9.862739272674375</v>
      </c>
      <c r="C70" s="343">
        <f t="shared" si="73"/>
        <v>9.471799085923239</v>
      </c>
      <c r="D70" s="343">
        <f t="shared" si="73"/>
        <v>8.7640430124252244</v>
      </c>
      <c r="E70" s="343">
        <f t="shared" si="73"/>
        <v>7.7053941887237203</v>
      </c>
      <c r="F70" s="343">
        <f t="shared" si="73"/>
        <v>6.8927403811294159</v>
      </c>
      <c r="H70" s="278">
        <f t="shared" si="21"/>
        <v>-15.530008775252426</v>
      </c>
      <c r="I70" s="54">
        <f t="shared" si="22"/>
        <v>43.813503342151328</v>
      </c>
      <c r="J70" s="54">
        <f t="shared" si="23"/>
        <v>28.283494566898902</v>
      </c>
      <c r="L70" t="str">
        <f t="shared" si="24"/>
        <v>92 Elementary administration and service occupations</v>
      </c>
      <c r="M70" s="343">
        <f t="shared" si="82"/>
        <v>9.2798771600658974</v>
      </c>
      <c r="N70" s="343">
        <f t="shared" si="82"/>
        <v>8.6763594814654574</v>
      </c>
      <c r="O70" s="343">
        <f t="shared" si="82"/>
        <v>8.3356983383647112</v>
      </c>
      <c r="P70" s="343">
        <f t="shared" si="82"/>
        <v>7.9078681941439948</v>
      </c>
      <c r="Q70" s="343">
        <f t="shared" si="82"/>
        <v>7.1378169235834372</v>
      </c>
      <c r="S70" s="278">
        <f t="shared" si="26"/>
        <v>-8.816626735341222</v>
      </c>
      <c r="T70" s="54">
        <f t="shared" si="27"/>
        <v>38.863894991107266</v>
      </c>
      <c r="U70" s="54">
        <f t="shared" si="28"/>
        <v>30.047268255766046</v>
      </c>
      <c r="W70" t="str">
        <f t="shared" si="29"/>
        <v>92 Elementary administration and service occupations</v>
      </c>
      <c r="X70" s="343">
        <f t="shared" si="83"/>
        <v>10.511734025449195</v>
      </c>
      <c r="Y70" s="343">
        <f t="shared" si="83"/>
        <v>10.342811132894617</v>
      </c>
      <c r="Z70" s="343">
        <f t="shared" si="83"/>
        <v>9.2251342610747358</v>
      </c>
      <c r="AA70" s="343">
        <f t="shared" si="83"/>
        <v>7.4883854332369078</v>
      </c>
      <c r="AB70" s="343">
        <f t="shared" si="83"/>
        <v>6.633561018732002</v>
      </c>
      <c r="AD70" s="278">
        <f t="shared" si="31"/>
        <v>-22.059873202154687</v>
      </c>
      <c r="AE70" s="54">
        <f t="shared" si="32"/>
        <v>48.627808755793048</v>
      </c>
      <c r="AF70" s="54">
        <f t="shared" si="33"/>
        <v>26.567935553638357</v>
      </c>
    </row>
    <row r="71" spans="1:32">
      <c r="H71" s="278"/>
      <c r="I71" s="54"/>
      <c r="J71" s="54"/>
      <c r="S71" s="278"/>
      <c r="T71" s="54"/>
      <c r="U71" s="54"/>
      <c r="AD71" s="278"/>
      <c r="AE71" s="54"/>
      <c r="AF71" s="54"/>
    </row>
    <row r="72" spans="1:32">
      <c r="A72" s="21" t="str">
        <f>A35</f>
        <v>All occupations</v>
      </c>
      <c r="B72" s="336">
        <f>B35/B$35*100</f>
        <v>100</v>
      </c>
      <c r="C72" s="336">
        <f>C35/C$35*100</f>
        <v>100</v>
      </c>
      <c r="D72" s="336">
        <f>D35/D$35*100</f>
        <v>100</v>
      </c>
      <c r="E72" s="336">
        <f>E35/E$35*100</f>
        <v>100</v>
      </c>
      <c r="F72" s="336">
        <f>F35/F$35*100</f>
        <v>100</v>
      </c>
      <c r="H72" s="344">
        <f>IF(D35&gt;0,(H35/D35)*100,0)</f>
        <v>7.4026577846483104</v>
      </c>
      <c r="I72" s="53">
        <f>IF(D35&gt;0,I35/D35*100,0)</f>
        <v>50.437567182936846</v>
      </c>
      <c r="J72" s="53">
        <f>IF(D35&gt;0,(J35/D35)*100,0)</f>
        <v>57.840224967585172</v>
      </c>
      <c r="L72" s="21" t="str">
        <f>L35</f>
        <v>All occupations</v>
      </c>
      <c r="M72" s="336">
        <f>M35/M$35*100</f>
        <v>100</v>
      </c>
      <c r="N72" s="336">
        <f>N35/N$35*100</f>
        <v>100</v>
      </c>
      <c r="O72" s="336">
        <f>O35/O$35*100</f>
        <v>100</v>
      </c>
      <c r="P72" s="336">
        <f>P35/P$35*100</f>
        <v>100</v>
      </c>
      <c r="Q72" s="336">
        <f>Q35/Q$35*100</f>
        <v>100</v>
      </c>
      <c r="S72" s="344">
        <f t="shared" ref="S72" si="84">IF(O35&gt;0,(S35/O35)*100,0)</f>
        <v>6.4859327643163729</v>
      </c>
      <c r="T72" s="53">
        <f t="shared" ref="T72" si="85">IF(O35&gt;0,T35/O35*100,0)</f>
        <v>42.032285702786396</v>
      </c>
      <c r="U72" s="53">
        <f t="shared" ref="U72" si="86">IF(O35&gt;0,(U35/O35)*100,0)</f>
        <v>48.518218467102798</v>
      </c>
      <c r="W72" s="21" t="str">
        <f>W35</f>
        <v>All occupations</v>
      </c>
      <c r="X72" s="336">
        <f>X35/X$35*100</f>
        <v>100</v>
      </c>
      <c r="Y72" s="336">
        <f>Y35/Y$35*100</f>
        <v>100</v>
      </c>
      <c r="Z72" s="336">
        <f>Z35/Z$35*100</f>
        <v>100</v>
      </c>
      <c r="AA72" s="336">
        <f>AA35/AA$35*100</f>
        <v>100</v>
      </c>
      <c r="AB72" s="336">
        <f>AB35/AB$35*100</f>
        <v>100</v>
      </c>
      <c r="AD72" s="344">
        <f t="shared" ref="AD72" si="87">IF(Z35&gt;0,(AD35/Z35)*100,0)</f>
        <v>8.3894656286359854</v>
      </c>
      <c r="AE72" s="53">
        <f t="shared" ref="AE72" si="88">IF(Z35&gt;0,AE35/Z35*100,0)</f>
        <v>59.485425059153272</v>
      </c>
      <c r="AF72" s="53">
        <f t="shared" ref="AF72" si="89">IF(Z35&gt;0,(AF35/Z35)*100,0)</f>
        <v>67.874890687789275</v>
      </c>
    </row>
    <row r="73" spans="1:32">
      <c r="B73" s="335"/>
      <c r="C73" s="335"/>
      <c r="D73" s="335"/>
      <c r="E73" s="335"/>
      <c r="F73" s="335"/>
      <c r="M73" s="335"/>
      <c r="N73" s="335"/>
      <c r="O73" s="335"/>
      <c r="P73" s="335"/>
      <c r="Q73" s="335"/>
      <c r="X73" s="335"/>
      <c r="Y73" s="335"/>
      <c r="Z73" s="335"/>
      <c r="AA73" s="335"/>
      <c r="AB73" s="335"/>
    </row>
    <row r="74" spans="1:32">
      <c r="B74" s="335"/>
      <c r="C74" s="335"/>
      <c r="D74" s="335"/>
      <c r="E74" s="335"/>
      <c r="F74" s="335"/>
      <c r="M74" s="335"/>
      <c r="N74" s="335"/>
      <c r="O74" s="335"/>
      <c r="P74" s="335"/>
      <c r="Q74" s="335"/>
      <c r="X74" s="335"/>
      <c r="Y74" s="335"/>
      <c r="Z74" s="335"/>
      <c r="AA74" s="335"/>
      <c r="AB74" s="335"/>
    </row>
    <row r="75" spans="1:32" ht="15.6">
      <c r="A75" s="17" t="str">
        <f>CONCATENATE(A$1," (Continued)")</f>
        <v>Occupation Table 2  Employment Change by Occupation (SOC 2020) and Replacement Demand, 2015-2035, England (Continued)</v>
      </c>
      <c r="B75" s="335"/>
      <c r="C75" s="335"/>
      <c r="D75" s="335"/>
      <c r="E75" s="335"/>
      <c r="F75" s="335"/>
      <c r="L75" s="17" t="str">
        <f>CONCATENATE(L$1," (Continued)")</f>
        <v>Occupation Table 2.1  Males: Employment Change by Occupation (SOC 2020) and Replacement Demand, 2015-2035, England (Continued)</v>
      </c>
      <c r="M75" s="335"/>
      <c r="N75" s="335"/>
      <c r="O75" s="335"/>
      <c r="P75" s="335"/>
      <c r="Q75" s="335"/>
      <c r="W75" s="17" t="str">
        <f>CONCATENATE(W$1," (Continued)")</f>
        <v>Occupation Table 2.2  Females: Employment Change by Occupation (SOC 2020) and Replacement Demand, 2015-2035, England (Continued)</v>
      </c>
      <c r="X75" s="335"/>
      <c r="Y75" s="335"/>
      <c r="Z75" s="335"/>
      <c r="AA75" s="335"/>
      <c r="AB75" s="335"/>
    </row>
    <row r="77" spans="1:32">
      <c r="F77" s="15" t="s">
        <v>178</v>
      </c>
      <c r="J77" s="15" t="s">
        <v>178</v>
      </c>
      <c r="Q77" s="15" t="s">
        <v>178</v>
      </c>
      <c r="U77" s="15" t="s">
        <v>178</v>
      </c>
      <c r="AB77" s="15" t="s">
        <v>178</v>
      </c>
      <c r="AF77" s="15" t="s">
        <v>178</v>
      </c>
    </row>
    <row r="78" spans="1:32" ht="12.95">
      <c r="A78" s="28"/>
      <c r="B78" s="28"/>
      <c r="C78" s="28"/>
      <c r="D78" s="28"/>
      <c r="E78" s="28"/>
      <c r="F78" s="28"/>
      <c r="H78" s="80" t="str">
        <f>$H$4</f>
        <v>2020-2035</v>
      </c>
      <c r="I78" s="28"/>
      <c r="J78" s="28"/>
      <c r="L78" s="28"/>
      <c r="M78" s="28"/>
      <c r="N78" s="28"/>
      <c r="O78" s="28"/>
      <c r="P78" s="28"/>
      <c r="Q78" s="28"/>
      <c r="S78" s="80" t="str">
        <f>$H$4</f>
        <v>2020-2035</v>
      </c>
      <c r="T78" s="28"/>
      <c r="U78" s="28"/>
      <c r="W78" s="28"/>
      <c r="X78" s="28"/>
      <c r="Y78" s="28"/>
      <c r="Z78" s="28"/>
      <c r="AA78" s="28"/>
      <c r="AB78" s="28"/>
      <c r="AD78" s="80" t="str">
        <f>$H$4</f>
        <v>2020-2035</v>
      </c>
      <c r="AE78" s="28"/>
      <c r="AF78" s="28"/>
    </row>
    <row r="79" spans="1:3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ht="12.95">
      <c r="A80" s="31" t="s">
        <v>125</v>
      </c>
      <c r="B80" s="51" t="str">
        <f>CONCATENATE(B$6,"-",C$6)</f>
        <v>2015-2019</v>
      </c>
      <c r="C80" s="51" t="str">
        <f>CONCATENATE(C$6,"-",D$6)</f>
        <v>2019-2020</v>
      </c>
      <c r="D80" s="51" t="str">
        <f>CONCATENATE(D$6,"-",E$6)</f>
        <v>2020-2025</v>
      </c>
      <c r="E80" s="51" t="str">
        <f>CONCATENATE(E$6,"-",F$6)</f>
        <v>2025-2035</v>
      </c>
      <c r="F80" s="51" t="str">
        <f>CONCATENATE(D$6,"-",F$6)</f>
        <v>2020-2035</v>
      </c>
      <c r="H80" s="50" t="str">
        <f t="shared" si="90"/>
        <v>Change</v>
      </c>
      <c r="I80" s="50" t="str">
        <f t="shared" si="90"/>
        <v>Demand</v>
      </c>
      <c r="J80" s="50" t="str">
        <f t="shared" si="90"/>
        <v>Requirement</v>
      </c>
      <c r="L80" s="31" t="s">
        <v>125</v>
      </c>
      <c r="M80" s="51" t="str">
        <f>CONCATENATE(M$6,"-",N$6)</f>
        <v>2015-2019</v>
      </c>
      <c r="N80" s="51" t="str">
        <f>CONCATENATE(N$6,"-",O$6)</f>
        <v>2019-2020</v>
      </c>
      <c r="O80" s="51" t="str">
        <f>CONCATENATE(O$6,"-",P$6)</f>
        <v>2020-2025</v>
      </c>
      <c r="P80" s="51" t="str">
        <f>CONCATENATE(P$6,"-",Q$6)</f>
        <v>2025-2035</v>
      </c>
      <c r="Q80" s="51" t="str">
        <f>CONCATENATE(O$6,"-",Q$6)</f>
        <v>2020-2035</v>
      </c>
      <c r="S80" s="50" t="str">
        <f t="shared" ref="S80:U80" si="93">S43</f>
        <v>Change</v>
      </c>
      <c r="T80" s="50" t="str">
        <f t="shared" si="93"/>
        <v>Demand</v>
      </c>
      <c r="U80" s="50" t="str">
        <f t="shared" si="93"/>
        <v>Requirement</v>
      </c>
      <c r="W80" s="31" t="s">
        <v>125</v>
      </c>
      <c r="X80" s="51" t="str">
        <f>CONCATENATE(X$6,"-",Y$6)</f>
        <v>2015-2019</v>
      </c>
      <c r="Y80" s="51" t="str">
        <f>CONCATENATE(Y$6,"-",Z$6)</f>
        <v>2019-2020</v>
      </c>
      <c r="Z80" s="51" t="str">
        <f>CONCATENATE(Z$6,"-",AA$6)</f>
        <v>2020-2025</v>
      </c>
      <c r="AA80" s="51" t="str">
        <f>CONCATENATE(AA$6,"-",AB$6)</f>
        <v>2025-2035</v>
      </c>
      <c r="AB80" s="51" t="str">
        <f>CONCATENATE(Z$6,"-",AB$6)</f>
        <v>2020-2035</v>
      </c>
      <c r="AD80" s="50" t="str">
        <f t="shared" ref="AD80:AF80" si="94">AD43</f>
        <v>Change</v>
      </c>
      <c r="AE80" s="50" t="str">
        <f t="shared" si="94"/>
        <v>Demand</v>
      </c>
      <c r="AF80" s="50" t="str">
        <f t="shared" si="94"/>
        <v>Requirement</v>
      </c>
    </row>
    <row r="82" spans="1:32">
      <c r="A82" t="str">
        <f t="shared" ref="A82:A107" si="95">A8</f>
        <v>11 Corporate managers and directors</v>
      </c>
      <c r="B82" s="335">
        <f t="shared" ref="B82:E107" si="96">IF(AND(C$6-B$6 &lt;&gt; 0,B8&lt;&gt;0,C8&lt;&gt;0),(EXP(LN(C8/B8)/(C$6-B$6))-1)*100,0)</f>
        <v>4.3536019403848547</v>
      </c>
      <c r="C82" s="335">
        <f t="shared" si="96"/>
        <v>2.4549618675290263</v>
      </c>
      <c r="D82" s="335">
        <f t="shared" si="96"/>
        <v>-1.8194399156840846</v>
      </c>
      <c r="E82" s="335">
        <f t="shared" si="96"/>
        <v>0.81681159219311184</v>
      </c>
      <c r="F82" s="335">
        <f t="shared" ref="F82:F107" si="97">IF(AND(F$6-D$6 &lt;&gt; 0,D8&lt;&gt;0,F8&lt;&gt;0),(EXP(LN(F8/D8)/(F$6-D$6))-1)*100,0)</f>
        <v>-6.9711619613654907E-2</v>
      </c>
      <c r="H82" s="335">
        <f t="shared" ref="H82:H107" si="98">IF($F$6-$D$6 &lt;&gt; 0,(EXP(LN(1+(H45/100))/($F$6-$D$6))-1)*100,0)</f>
        <v>-6.9711619613654907E-2</v>
      </c>
      <c r="I82" s="335">
        <f t="shared" ref="I82:I107" si="99">IF(D8&gt;0,((1+(I8/D8))^(1/($F$6-$D$6))-1)*100,0)</f>
        <v>2.6904885677180079</v>
      </c>
      <c r="J82" s="335">
        <f t="shared" ref="J82:J107" si="100">IF($F$6-$D$6 &lt;&gt; 0,(EXP(LN(1+(J45/100))/($F$6-$D$6))-1)*100,0)</f>
        <v>2.6424948596565745</v>
      </c>
      <c r="K82" s="30"/>
      <c r="L82" t="str">
        <f t="shared" ref="L82:L107" si="101">L8</f>
        <v>11 Corporate managers and directors</v>
      </c>
      <c r="M82" s="335">
        <f t="shared" ref="M82:P107" si="102">IF(AND(N$6-M$6 &lt;&gt; 0,M8&lt;&gt;0,N8&lt;&gt;0),(EXP(LN(N8/M8)/(N$6-M$6))-1)*100,0)</f>
        <v>3.3377941728607752</v>
      </c>
      <c r="N82" s="335">
        <f t="shared" si="102"/>
        <v>1.3606102012602372</v>
      </c>
      <c r="O82" s="335">
        <f t="shared" si="102"/>
        <v>-2.7272078019884516</v>
      </c>
      <c r="P82" s="335">
        <f t="shared" si="102"/>
        <v>0.37423975137680365</v>
      </c>
      <c r="Q82" s="335">
        <f t="shared" ref="Q82:Q107" si="103">IF(AND(Q$6-O$6 &lt;&gt; 0,O8&lt;&gt;0,Q8&lt;&gt;0),(EXP(LN(Q8/O8)/(Q$6-O$6))-1)*100,0)</f>
        <v>-0.67041063793328304</v>
      </c>
      <c r="S82" s="335">
        <f t="shared" ref="S82:S107" si="104">IF($F$6-$D$6 &lt;&gt; 0,(EXP(LN(1+(S45/100))/($F$6-$D$6))-1)*100,0)</f>
        <v>-0.67041063793328304</v>
      </c>
      <c r="T82" s="335">
        <f t="shared" ref="T82:T107" si="105">IF(O8&gt;0,((1+(T8/O8))^(1/($F$6-$D$6))-1)*100,0)</f>
        <v>2.3702372012106565</v>
      </c>
      <c r="U82" s="335">
        <f t="shared" ref="U82:U107" si="106">IF($F$6-$D$6 &lt;&gt; 0,(EXP(LN(1+(U45/100))/($F$6-$D$6))-1)*100,0)</f>
        <v>1.8941052880190767</v>
      </c>
      <c r="W82" t="str">
        <f t="shared" ref="W82:W107" si="107">W8</f>
        <v>11 Corporate managers and directors</v>
      </c>
      <c r="X82" s="335">
        <f t="shared" ref="X82:AA107" si="108">IF(AND(Y$6-X$6 &lt;&gt; 0,X8&lt;&gt;0,Y8&lt;&gt;0),(EXP(LN(Y8/X8)/(Y$6-X$6))-1)*100,0)</f>
        <v>6.5298861629421445</v>
      </c>
      <c r="Y82" s="335">
        <f t="shared" si="108"/>
        <v>4.628263251343534</v>
      </c>
      <c r="Z82" s="335">
        <f t="shared" si="108"/>
        <v>-0.16190008749010776</v>
      </c>
      <c r="AA82" s="335">
        <f t="shared" si="108"/>
        <v>1.526839088289611</v>
      </c>
      <c r="AB82" s="335">
        <f t="shared" ref="AB82:AB107" si="109">IF(AND(AB$6-Z$6 &lt;&gt; 0,Z8&lt;&gt;0,AB8&lt;&gt;0),(EXP(LN(AB8/Z8)/(AB$6-Z$6))-1)*100,0)</f>
        <v>0.96077580729421186</v>
      </c>
      <c r="AD82" s="335">
        <f t="shared" ref="AD82:AD107" si="110">IF($F$6-$D$6 &lt;&gt; 0,(EXP(LN(1+(AD45/100))/($F$6-$D$6))-1)*100,0)</f>
        <v>0.96077580729421186</v>
      </c>
      <c r="AE82" s="335">
        <f t="shared" ref="AE82:AE107" si="111">IF(Z8&gt;0,((1+(AE8/Z8))^(1/($F$6-$D$6))-1)*100,0)</f>
        <v>3.2698975497083671</v>
      </c>
      <c r="AF82" s="335">
        <f t="shared" ref="AF82:AF107" si="112">IF($F$6-$D$6 &lt;&gt; 0,(EXP(LN(1+(AF45/100))/($F$6-$D$6))-1)*100,0)</f>
        <v>3.8977439383488743</v>
      </c>
    </row>
    <row r="83" spans="1:32">
      <c r="A83" t="str">
        <f t="shared" si="95"/>
        <v>12 Other managers and proprietors</v>
      </c>
      <c r="B83" s="335">
        <f t="shared" si="96"/>
        <v>1.7361090177420824</v>
      </c>
      <c r="C83" s="335">
        <f t="shared" si="96"/>
        <v>1.0541758724765815</v>
      </c>
      <c r="D83" s="335">
        <f t="shared" si="96"/>
        <v>0.83360078576304453</v>
      </c>
      <c r="E83" s="335">
        <f t="shared" si="96"/>
        <v>1.1522468180341638</v>
      </c>
      <c r="F83" s="335">
        <f t="shared" si="97"/>
        <v>1.0459197464713021</v>
      </c>
      <c r="H83" s="335">
        <f t="shared" si="98"/>
        <v>1.0459197464713021</v>
      </c>
      <c r="I83" s="335">
        <f t="shared" si="99"/>
        <v>3.2240411893677878</v>
      </c>
      <c r="J83" s="335">
        <f t="shared" si="100"/>
        <v>3.913061761997727</v>
      </c>
      <c r="K83" s="30"/>
      <c r="L83" t="str">
        <f t="shared" si="101"/>
        <v>12 Other managers and proprietors</v>
      </c>
      <c r="M83" s="335">
        <f t="shared" si="102"/>
        <v>1.4278054098016968</v>
      </c>
      <c r="N83" s="335">
        <f t="shared" si="102"/>
        <v>-2.1529483758280232</v>
      </c>
      <c r="O83" s="335">
        <f t="shared" si="102"/>
        <v>2.4546025319838405</v>
      </c>
      <c r="P83" s="335">
        <f t="shared" si="102"/>
        <v>1.1812542985589092</v>
      </c>
      <c r="Q83" s="335">
        <f t="shared" si="103"/>
        <v>1.6039355146640899</v>
      </c>
      <c r="S83" s="335">
        <f t="shared" si="104"/>
        <v>1.6039355146640899</v>
      </c>
      <c r="T83" s="335">
        <f t="shared" si="105"/>
        <v>3.1700115538666696</v>
      </c>
      <c r="U83" s="335">
        <f t="shared" si="106"/>
        <v>4.2484297597473741</v>
      </c>
      <c r="W83" t="str">
        <f t="shared" si="107"/>
        <v>12 Other managers and proprietors</v>
      </c>
      <c r="X83" s="335">
        <f t="shared" si="108"/>
        <v>2.20579947386077</v>
      </c>
      <c r="Y83" s="335">
        <f t="shared" si="108"/>
        <v>5.8477107886135915</v>
      </c>
      <c r="Z83" s="335">
        <f t="shared" si="108"/>
        <v>-1.5933244670060631</v>
      </c>
      <c r="AA83" s="335">
        <f t="shared" si="108"/>
        <v>1.1030471876019021</v>
      </c>
      <c r="AB83" s="335">
        <f t="shared" si="109"/>
        <v>0.1961459945617916</v>
      </c>
      <c r="AD83" s="335">
        <f t="shared" si="110"/>
        <v>0.1961459945617916</v>
      </c>
      <c r="AE83" s="335">
        <f t="shared" si="111"/>
        <v>3.2980472052061005</v>
      </c>
      <c r="AF83" s="335">
        <f t="shared" si="112"/>
        <v>3.4232385969136914</v>
      </c>
    </row>
    <row r="84" spans="1:32">
      <c r="A84" t="str">
        <f t="shared" si="95"/>
        <v>21 Science, research, engineering and technology professionals</v>
      </c>
      <c r="B84" s="335">
        <f t="shared" si="96"/>
        <v>3.5760901362786868</v>
      </c>
      <c r="C84" s="335">
        <f t="shared" si="96"/>
        <v>4.0455428956742034</v>
      </c>
      <c r="D84" s="335">
        <f t="shared" si="96"/>
        <v>4.3796303516185464</v>
      </c>
      <c r="E84" s="335">
        <f t="shared" si="96"/>
        <v>1.3203324624912582</v>
      </c>
      <c r="F84" s="335">
        <f t="shared" si="97"/>
        <v>2.3300034935685332</v>
      </c>
      <c r="H84" s="335">
        <f t="shared" si="98"/>
        <v>2.3300034935685332</v>
      </c>
      <c r="I84" s="335">
        <f t="shared" si="99"/>
        <v>2.6541793686660764</v>
      </c>
      <c r="J84" s="335">
        <f t="shared" si="100"/>
        <v>4.3499111504866628</v>
      </c>
      <c r="K84" s="30"/>
      <c r="L84" t="str">
        <f t="shared" si="101"/>
        <v>21 Science, research, engineering and technology professionals</v>
      </c>
      <c r="M84" s="335">
        <f t="shared" si="102"/>
        <v>3.8197319329034807</v>
      </c>
      <c r="N84" s="335">
        <f t="shared" si="102"/>
        <v>-0.47534655602068376</v>
      </c>
      <c r="O84" s="335">
        <f t="shared" si="102"/>
        <v>3.7116775943236924</v>
      </c>
      <c r="P84" s="335">
        <f t="shared" si="102"/>
        <v>1.099718197121069</v>
      </c>
      <c r="Q84" s="335">
        <f t="shared" si="103"/>
        <v>1.9629792153806003</v>
      </c>
      <c r="S84" s="335">
        <f t="shared" si="104"/>
        <v>1.9629792153806003</v>
      </c>
      <c r="T84" s="335">
        <f t="shared" si="105"/>
        <v>2.2913395146412663</v>
      </c>
      <c r="U84" s="335">
        <f t="shared" si="106"/>
        <v>3.7745297548839263</v>
      </c>
      <c r="W84" t="str">
        <f t="shared" si="107"/>
        <v>21 Science, research, engineering and technology professionals</v>
      </c>
      <c r="X84" s="335">
        <f t="shared" si="108"/>
        <v>2.6160021794590538</v>
      </c>
      <c r="Y84" s="335">
        <f t="shared" si="108"/>
        <v>22.388408670979775</v>
      </c>
      <c r="Z84" s="335">
        <f t="shared" si="108"/>
        <v>6.4700199539758918</v>
      </c>
      <c r="AA84" s="335">
        <f t="shared" si="108"/>
        <v>1.9354015119883883</v>
      </c>
      <c r="AB84" s="335">
        <f t="shared" si="109"/>
        <v>3.4250652951564264</v>
      </c>
      <c r="AD84" s="335">
        <f t="shared" si="110"/>
        <v>3.4250652951564264</v>
      </c>
      <c r="AE84" s="335">
        <f t="shared" si="111"/>
        <v>3.7382368202085736</v>
      </c>
      <c r="AF84" s="335">
        <f t="shared" si="112"/>
        <v>5.9847199617576452</v>
      </c>
    </row>
    <row r="85" spans="1:32">
      <c r="A85" t="str">
        <f t="shared" si="95"/>
        <v>22 Health professionals</v>
      </c>
      <c r="B85" s="335">
        <f t="shared" si="96"/>
        <v>3.7438975318865531</v>
      </c>
      <c r="C85" s="335">
        <f t="shared" si="96"/>
        <v>9.4204891163718329E-2</v>
      </c>
      <c r="D85" s="335">
        <f t="shared" si="96"/>
        <v>-0.20563104485771255</v>
      </c>
      <c r="E85" s="335">
        <f t="shared" si="96"/>
        <v>0.68446820187944013</v>
      </c>
      <c r="F85" s="335">
        <f t="shared" si="97"/>
        <v>0.38688981041488102</v>
      </c>
      <c r="H85" s="335">
        <f t="shared" si="98"/>
        <v>0.38688981041488102</v>
      </c>
      <c r="I85" s="335">
        <f t="shared" si="99"/>
        <v>2.9016498931798917</v>
      </c>
      <c r="J85" s="335">
        <f t="shared" si="100"/>
        <v>3.1633039761165049</v>
      </c>
      <c r="K85" s="30"/>
      <c r="L85" t="str">
        <f t="shared" si="101"/>
        <v>22 Health professionals</v>
      </c>
      <c r="M85" s="335">
        <f t="shared" si="102"/>
        <v>3.5243680987232517</v>
      </c>
      <c r="N85" s="335">
        <f t="shared" si="102"/>
        <v>9.9416231441892933</v>
      </c>
      <c r="O85" s="335">
        <f t="shared" si="102"/>
        <v>-7.4043566718129394E-2</v>
      </c>
      <c r="P85" s="335">
        <f t="shared" si="102"/>
        <v>0.72936021221168268</v>
      </c>
      <c r="Q85" s="335">
        <f t="shared" si="103"/>
        <v>0.4608437986442171</v>
      </c>
      <c r="S85" s="335">
        <f t="shared" si="104"/>
        <v>0.4608437986442171</v>
      </c>
      <c r="T85" s="335">
        <f t="shared" si="105"/>
        <v>2.2094917079066301</v>
      </c>
      <c r="U85" s="335">
        <f t="shared" si="106"/>
        <v>2.5518869035066061</v>
      </c>
      <c r="W85" t="str">
        <f t="shared" si="107"/>
        <v>22 Health professionals</v>
      </c>
      <c r="X85" s="335">
        <f t="shared" si="108"/>
        <v>3.8161279957730443</v>
      </c>
      <c r="Y85" s="335">
        <f t="shared" si="108"/>
        <v>-3.1231083683896377</v>
      </c>
      <c r="Z85" s="335">
        <f t="shared" si="108"/>
        <v>-0.25459753552968811</v>
      </c>
      <c r="AA85" s="335">
        <f t="shared" si="108"/>
        <v>0.6676256640221645</v>
      </c>
      <c r="AB85" s="335">
        <f t="shared" si="109"/>
        <v>0.35927439586598275</v>
      </c>
      <c r="AD85" s="335">
        <f t="shared" si="110"/>
        <v>0.35927439586598275</v>
      </c>
      <c r="AE85" s="335">
        <f t="shared" si="111"/>
        <v>3.142559433792913</v>
      </c>
      <c r="AF85" s="335">
        <f t="shared" si="112"/>
        <v>3.3776888219237522</v>
      </c>
    </row>
    <row r="86" spans="1:32">
      <c r="A86" t="str">
        <f t="shared" si="95"/>
        <v>23 Teaching and other educational professionals</v>
      </c>
      <c r="B86" s="335">
        <f t="shared" si="96"/>
        <v>1.4284346015154714</v>
      </c>
      <c r="C86" s="335">
        <f t="shared" si="96"/>
        <v>4.3291972211953578</v>
      </c>
      <c r="D86" s="335">
        <f t="shared" si="96"/>
        <v>-0.3598849488685385</v>
      </c>
      <c r="E86" s="335">
        <f t="shared" si="96"/>
        <v>0.7188016900561367</v>
      </c>
      <c r="F86" s="335">
        <f t="shared" si="97"/>
        <v>0.3579481614985669</v>
      </c>
      <c r="H86" s="335">
        <f t="shared" si="98"/>
        <v>0.3579481614985669</v>
      </c>
      <c r="I86" s="335">
        <f t="shared" si="99"/>
        <v>2.7940942927201506</v>
      </c>
      <c r="J86" s="335">
        <f t="shared" si="100"/>
        <v>3.0395129184503045</v>
      </c>
      <c r="K86" s="30"/>
      <c r="L86" t="str">
        <f t="shared" si="101"/>
        <v>23 Teaching and other educational professionals</v>
      </c>
      <c r="M86" s="335">
        <f t="shared" si="102"/>
        <v>-9.9963819731474501E-2</v>
      </c>
      <c r="N86" s="335">
        <f t="shared" si="102"/>
        <v>5.1603023017021243</v>
      </c>
      <c r="O86" s="335">
        <f t="shared" si="102"/>
        <v>0.36760864003182459</v>
      </c>
      <c r="P86" s="335">
        <f t="shared" si="102"/>
        <v>0.60783517651781249</v>
      </c>
      <c r="Q86" s="335">
        <f t="shared" si="103"/>
        <v>0.5276958461947423</v>
      </c>
      <c r="S86" s="335">
        <f t="shared" si="104"/>
        <v>0.5276958461947423</v>
      </c>
      <c r="T86" s="335">
        <f t="shared" si="105"/>
        <v>2.4681405692481562</v>
      </c>
      <c r="U86" s="335">
        <f t="shared" si="106"/>
        <v>2.8474247926723262</v>
      </c>
      <c r="W86" t="str">
        <f t="shared" si="107"/>
        <v>23 Teaching and other educational professionals</v>
      </c>
      <c r="X86" s="335">
        <f t="shared" si="108"/>
        <v>2.1947839716577544</v>
      </c>
      <c r="Y86" s="335">
        <f t="shared" si="108"/>
        <v>3.9355191212792517</v>
      </c>
      <c r="Z86" s="335">
        <f t="shared" si="108"/>
        <v>-0.7162131712039832</v>
      </c>
      <c r="AA86" s="335">
        <f t="shared" si="108"/>
        <v>0.77453405418119736</v>
      </c>
      <c r="AB86" s="335">
        <f t="shared" si="109"/>
        <v>0.27514770025145463</v>
      </c>
      <c r="AD86" s="335">
        <f t="shared" si="110"/>
        <v>0.27514770025145463</v>
      </c>
      <c r="AE86" s="335">
        <f t="shared" si="111"/>
        <v>2.9453239066489445</v>
      </c>
      <c r="AF86" s="335">
        <f t="shared" si="112"/>
        <v>3.1298255810058961</v>
      </c>
    </row>
    <row r="87" spans="1:32">
      <c r="A87" t="str">
        <f t="shared" si="95"/>
        <v>24 Business, media and public service professionals</v>
      </c>
      <c r="B87" s="335">
        <f t="shared" si="96"/>
        <v>4.2931974148121332</v>
      </c>
      <c r="C87" s="335">
        <f t="shared" si="96"/>
        <v>7.9365282303106355</v>
      </c>
      <c r="D87" s="335">
        <f t="shared" si="96"/>
        <v>1.131438247221106</v>
      </c>
      <c r="E87" s="335">
        <f t="shared" si="96"/>
        <v>1.0040293700613878</v>
      </c>
      <c r="F87" s="335">
        <f t="shared" si="97"/>
        <v>1.0464811508875016</v>
      </c>
      <c r="H87" s="335">
        <f t="shared" si="98"/>
        <v>1.0464811508875016</v>
      </c>
      <c r="I87" s="335">
        <f t="shared" si="99"/>
        <v>2.8337980784293393</v>
      </c>
      <c r="J87" s="335">
        <f t="shared" si="100"/>
        <v>3.5588311197300992</v>
      </c>
      <c r="K87" s="30"/>
      <c r="L87" t="str">
        <f t="shared" si="101"/>
        <v>24 Business, media and public service professionals</v>
      </c>
      <c r="M87" s="335">
        <f t="shared" si="102"/>
        <v>3.3100755434359863</v>
      </c>
      <c r="N87" s="335">
        <f t="shared" si="102"/>
        <v>5.8626603048466563</v>
      </c>
      <c r="O87" s="335">
        <f t="shared" si="102"/>
        <v>1.2649968845327209</v>
      </c>
      <c r="P87" s="335">
        <f t="shared" si="102"/>
        <v>0.73947060293952926</v>
      </c>
      <c r="Q87" s="335">
        <f t="shared" si="103"/>
        <v>0.91434229810394285</v>
      </c>
      <c r="S87" s="335">
        <f t="shared" si="104"/>
        <v>0.91434229810394285</v>
      </c>
      <c r="T87" s="335">
        <f t="shared" si="105"/>
        <v>2.5471648445607453</v>
      </c>
      <c r="U87" s="335">
        <f t="shared" si="106"/>
        <v>3.2027739944915812</v>
      </c>
      <c r="W87" t="str">
        <f t="shared" si="107"/>
        <v>24 Business, media and public service professionals</v>
      </c>
      <c r="X87" s="335">
        <f t="shared" si="108"/>
        <v>5.6512802303130494</v>
      </c>
      <c r="Y87" s="335">
        <f t="shared" si="108"/>
        <v>10.645415068164098</v>
      </c>
      <c r="Z87" s="335">
        <f t="shared" si="108"/>
        <v>0.96352677550688437</v>
      </c>
      <c r="AA87" s="335">
        <f t="shared" si="108"/>
        <v>1.3308949360991473</v>
      </c>
      <c r="AB87" s="335">
        <f t="shared" si="109"/>
        <v>1.2082905984633463</v>
      </c>
      <c r="AD87" s="335">
        <f t="shared" si="110"/>
        <v>1.2082905984633463</v>
      </c>
      <c r="AE87" s="335">
        <f t="shared" si="111"/>
        <v>3.1769752129117368</v>
      </c>
      <c r="AF87" s="335">
        <f t="shared" si="112"/>
        <v>3.9809955355253557</v>
      </c>
    </row>
    <row r="88" spans="1:32">
      <c r="A88" t="str">
        <f t="shared" si="95"/>
        <v>31 Science, engineering and technology associate professionals</v>
      </c>
      <c r="B88" s="335">
        <f t="shared" si="96"/>
        <v>4.1842679848152597</v>
      </c>
      <c r="C88" s="335">
        <f t="shared" si="96"/>
        <v>7.8011607991455456</v>
      </c>
      <c r="D88" s="335">
        <f t="shared" si="96"/>
        <v>-1.0759734877868854</v>
      </c>
      <c r="E88" s="335">
        <f t="shared" si="96"/>
        <v>0.81122358535556938</v>
      </c>
      <c r="F88" s="335">
        <f t="shared" si="97"/>
        <v>0.17819116067332441</v>
      </c>
      <c r="H88" s="335">
        <f t="shared" si="98"/>
        <v>0.17819116067332441</v>
      </c>
      <c r="I88" s="335">
        <f t="shared" si="99"/>
        <v>2.2850255738884995</v>
      </c>
      <c r="J88" s="335">
        <f t="shared" si="100"/>
        <v>2.4153616386678012</v>
      </c>
      <c r="K88" s="30"/>
      <c r="L88" t="str">
        <f t="shared" si="101"/>
        <v>31 Science, engineering and technology associate professionals</v>
      </c>
      <c r="M88" s="335">
        <f t="shared" si="102"/>
        <v>5.1243138644574193</v>
      </c>
      <c r="N88" s="335">
        <f t="shared" si="102"/>
        <v>3.4161111686874523</v>
      </c>
      <c r="O88" s="335">
        <f t="shared" si="102"/>
        <v>-2.1718491322720967</v>
      </c>
      <c r="P88" s="335">
        <f t="shared" si="102"/>
        <v>0.38197202239924621</v>
      </c>
      <c r="Q88" s="335">
        <f t="shared" si="103"/>
        <v>-0.47662458785867612</v>
      </c>
      <c r="S88" s="335">
        <f t="shared" si="104"/>
        <v>-0.47662458785867612</v>
      </c>
      <c r="T88" s="335">
        <f t="shared" si="105"/>
        <v>1.951024734129958</v>
      </c>
      <c r="U88" s="335">
        <f t="shared" si="106"/>
        <v>1.5904609702767081</v>
      </c>
      <c r="W88" t="str">
        <f t="shared" si="107"/>
        <v>31 Science, engineering and technology associate professionals</v>
      </c>
      <c r="X88" s="335">
        <f t="shared" si="108"/>
        <v>1.5923568340330929</v>
      </c>
      <c r="Y88" s="335">
        <f t="shared" si="108"/>
        <v>20.9746638780002</v>
      </c>
      <c r="Z88" s="335">
        <f t="shared" si="108"/>
        <v>1.5351981015673033</v>
      </c>
      <c r="AA88" s="335">
        <f t="shared" si="108"/>
        <v>1.6751079326481344</v>
      </c>
      <c r="AB88" s="335">
        <f t="shared" si="109"/>
        <v>1.628449914514607</v>
      </c>
      <c r="AD88" s="335">
        <f t="shared" si="110"/>
        <v>1.628449914514607</v>
      </c>
      <c r="AE88" s="335">
        <f t="shared" si="111"/>
        <v>3.0788482396884254</v>
      </c>
      <c r="AF88" s="335">
        <f t="shared" si="112"/>
        <v>4.1869867298657493</v>
      </c>
    </row>
    <row r="89" spans="1:32">
      <c r="A89" t="str">
        <f t="shared" si="95"/>
        <v>32 Health and social care associate professionals</v>
      </c>
      <c r="B89" s="335">
        <f t="shared" si="96"/>
        <v>3.0438624675322989</v>
      </c>
      <c r="C89" s="335">
        <f t="shared" si="96"/>
        <v>2.0424491084338303</v>
      </c>
      <c r="D89" s="335">
        <f t="shared" si="96"/>
        <v>9.5997182500354938</v>
      </c>
      <c r="E89" s="335">
        <f t="shared" si="96"/>
        <v>1.6382363788408405</v>
      </c>
      <c r="F89" s="335">
        <f t="shared" si="97"/>
        <v>4.225637366043733</v>
      </c>
      <c r="H89" s="335">
        <f t="shared" si="98"/>
        <v>4.225637366043733</v>
      </c>
      <c r="I89" s="335">
        <f t="shared" si="99"/>
        <v>4.5036330036659633</v>
      </c>
      <c r="J89" s="335">
        <f t="shared" si="100"/>
        <v>7.0968860269591705</v>
      </c>
      <c r="K89" s="30"/>
      <c r="L89" t="str">
        <f t="shared" si="101"/>
        <v>32 Health and social care associate professionals</v>
      </c>
      <c r="M89" s="335">
        <f t="shared" si="102"/>
        <v>0.88177465586434245</v>
      </c>
      <c r="N89" s="335">
        <f t="shared" si="102"/>
        <v>9.3478754231560259</v>
      </c>
      <c r="O89" s="335">
        <f t="shared" si="102"/>
        <v>5.9925844343730716</v>
      </c>
      <c r="P89" s="335">
        <f t="shared" si="102"/>
        <v>1.1836078927015103</v>
      </c>
      <c r="Q89" s="335">
        <f t="shared" si="103"/>
        <v>2.7618548193626635</v>
      </c>
      <c r="S89" s="335">
        <f t="shared" si="104"/>
        <v>2.7618548193626635</v>
      </c>
      <c r="T89" s="335">
        <f t="shared" si="105"/>
        <v>3.3993601476995261</v>
      </c>
      <c r="U89" s="335">
        <f t="shared" si="106"/>
        <v>5.2547325685919466</v>
      </c>
      <c r="W89" t="str">
        <f t="shared" si="107"/>
        <v>32 Health and social care associate professionals</v>
      </c>
      <c r="X89" s="335">
        <f t="shared" si="108"/>
        <v>3.6717907433603925</v>
      </c>
      <c r="Y89" s="335">
        <f t="shared" si="108"/>
        <v>6.1147787341520043E-2</v>
      </c>
      <c r="Z89" s="335">
        <f t="shared" si="108"/>
        <v>10.582910954618963</v>
      </c>
      <c r="AA89" s="335">
        <f t="shared" si="108"/>
        <v>1.7445705796691025</v>
      </c>
      <c r="AB89" s="335">
        <f t="shared" si="109"/>
        <v>4.6092691944369157</v>
      </c>
      <c r="AD89" s="335">
        <f t="shared" si="110"/>
        <v>4.6092691944369157</v>
      </c>
      <c r="AE89" s="335">
        <f t="shared" si="111"/>
        <v>4.801756155252157</v>
      </c>
      <c r="AF89" s="335">
        <f t="shared" si="112"/>
        <v>7.5670549092907713</v>
      </c>
    </row>
    <row r="90" spans="1:32">
      <c r="A90" t="str">
        <f t="shared" si="95"/>
        <v>33 Protective service occupations</v>
      </c>
      <c r="B90" s="335">
        <f t="shared" si="96"/>
        <v>0.69754488714575125</v>
      </c>
      <c r="C90" s="335">
        <f t="shared" si="96"/>
        <v>5.9501013694403859</v>
      </c>
      <c r="D90" s="335">
        <f t="shared" si="96"/>
        <v>-3.1637468916349443</v>
      </c>
      <c r="E90" s="335">
        <f t="shared" si="96"/>
        <v>0.73738584096516568</v>
      </c>
      <c r="F90" s="335">
        <f t="shared" si="97"/>
        <v>-0.58014851394102562</v>
      </c>
      <c r="H90" s="335">
        <f t="shared" si="98"/>
        <v>-0.58014851394102562</v>
      </c>
      <c r="I90" s="335">
        <f t="shared" si="99"/>
        <v>1.7774826920394116</v>
      </c>
      <c r="J90" s="335">
        <f t="shared" si="100"/>
        <v>1.3285041498008354</v>
      </c>
      <c r="K90" s="30"/>
      <c r="L90" t="str">
        <f t="shared" si="101"/>
        <v>33 Protective service occupations</v>
      </c>
      <c r="M90" s="335">
        <f t="shared" si="102"/>
        <v>5.3335436350354648E-2</v>
      </c>
      <c r="N90" s="335">
        <f t="shared" si="102"/>
        <v>4.1641523595979058</v>
      </c>
      <c r="O90" s="335">
        <f t="shared" si="102"/>
        <v>-3.5209034781149229</v>
      </c>
      <c r="P90" s="335">
        <f t="shared" si="102"/>
        <v>-5.9781519047819032E-2</v>
      </c>
      <c r="Q90" s="335">
        <f t="shared" si="103"/>
        <v>-1.2270695218629668</v>
      </c>
      <c r="S90" s="335">
        <f t="shared" si="104"/>
        <v>-1.2270695218629668</v>
      </c>
      <c r="T90" s="335">
        <f t="shared" si="105"/>
        <v>1.4438089438822965</v>
      </c>
      <c r="U90" s="335">
        <f t="shared" si="106"/>
        <v>0.45726330737501097</v>
      </c>
      <c r="W90" t="str">
        <f t="shared" si="107"/>
        <v>33 Protective service occupations</v>
      </c>
      <c r="X90" s="335">
        <f t="shared" si="108"/>
        <v>2.8865730173627258</v>
      </c>
      <c r="Y90" s="335">
        <f t="shared" si="108"/>
        <v>11.611058000118213</v>
      </c>
      <c r="Z90" s="335">
        <f t="shared" si="108"/>
        <v>-2.1369673025724234</v>
      </c>
      <c r="AA90" s="335">
        <f t="shared" si="108"/>
        <v>2.6794748538239821</v>
      </c>
      <c r="AB90" s="335">
        <f t="shared" si="109"/>
        <v>1.0482157147176263</v>
      </c>
      <c r="AD90" s="335">
        <f t="shared" si="110"/>
        <v>1.0482157147176263</v>
      </c>
      <c r="AE90" s="335">
        <f t="shared" si="111"/>
        <v>2.6835332545744439</v>
      </c>
      <c r="AF90" s="335">
        <f t="shared" si="112"/>
        <v>3.4240358797387849</v>
      </c>
    </row>
    <row r="91" spans="1:32">
      <c r="A91" t="str">
        <f t="shared" si="95"/>
        <v>34 Culture, media and sports occupations</v>
      </c>
      <c r="B91" s="335">
        <f t="shared" si="96"/>
        <v>3.3668960068844456E-4</v>
      </c>
      <c r="C91" s="335">
        <f t="shared" si="96"/>
        <v>8.541901597263335</v>
      </c>
      <c r="D91" s="335">
        <f t="shared" si="96"/>
        <v>-1.7884339696198626</v>
      </c>
      <c r="E91" s="335">
        <f t="shared" si="96"/>
        <v>0.87149663767172036</v>
      </c>
      <c r="F91" s="335">
        <f t="shared" si="97"/>
        <v>-2.3056564612755626E-2</v>
      </c>
      <c r="H91" s="335">
        <f t="shared" si="98"/>
        <v>-2.3056564612755626E-2</v>
      </c>
      <c r="I91" s="335">
        <f t="shared" si="99"/>
        <v>2.4884761830394231</v>
      </c>
      <c r="J91" s="335">
        <f t="shared" si="100"/>
        <v>2.4721408581218629</v>
      </c>
      <c r="K91" s="30"/>
      <c r="L91" t="str">
        <f t="shared" si="101"/>
        <v>34 Culture, media and sports occupations</v>
      </c>
      <c r="M91" s="335">
        <f t="shared" si="102"/>
        <v>-0.45909719072475541</v>
      </c>
      <c r="N91" s="335">
        <f t="shared" si="102"/>
        <v>3.0230189345286984</v>
      </c>
      <c r="O91" s="335">
        <f t="shared" si="102"/>
        <v>-2.2506421833243584</v>
      </c>
      <c r="P91" s="335">
        <f t="shared" si="102"/>
        <v>0.7708856633754646</v>
      </c>
      <c r="Q91" s="335">
        <f t="shared" si="103"/>
        <v>-0.24652783131223766</v>
      </c>
      <c r="S91" s="335">
        <f t="shared" si="104"/>
        <v>-0.24652783131223766</v>
      </c>
      <c r="T91" s="335">
        <f t="shared" si="105"/>
        <v>2.1342741922369513</v>
      </c>
      <c r="U91" s="335">
        <f t="shared" si="106"/>
        <v>1.9517116703432258</v>
      </c>
      <c r="W91" t="str">
        <f t="shared" si="107"/>
        <v>34 Culture, media and sports occupations</v>
      </c>
      <c r="X91" s="335">
        <f t="shared" si="108"/>
        <v>0.56155045124255398</v>
      </c>
      <c r="Y91" s="335">
        <f t="shared" si="108"/>
        <v>15.11368492514007</v>
      </c>
      <c r="Z91" s="335">
        <f t="shared" si="108"/>
        <v>-1.3052461879276334</v>
      </c>
      <c r="AA91" s="335">
        <f t="shared" si="108"/>
        <v>0.97276474073773045</v>
      </c>
      <c r="AB91" s="335">
        <f t="shared" si="109"/>
        <v>0.20764471989740407</v>
      </c>
      <c r="AD91" s="335">
        <f t="shared" si="110"/>
        <v>0.20764471989740407</v>
      </c>
      <c r="AE91" s="335">
        <f t="shared" si="111"/>
        <v>2.8479928853913927</v>
      </c>
      <c r="AF91" s="335">
        <f t="shared" si="112"/>
        <v>2.9888357784806363</v>
      </c>
    </row>
    <row r="92" spans="1:32">
      <c r="A92" t="str">
        <f t="shared" si="95"/>
        <v>35 Business and public service associate professionals</v>
      </c>
      <c r="B92" s="335">
        <f t="shared" si="96"/>
        <v>1.8892505341293386</v>
      </c>
      <c r="C92" s="335">
        <f t="shared" si="96"/>
        <v>2.9304648779779896</v>
      </c>
      <c r="D92" s="335">
        <f t="shared" si="96"/>
        <v>0.34182547634016291</v>
      </c>
      <c r="E92" s="335">
        <f t="shared" si="96"/>
        <v>0.55645050137105301</v>
      </c>
      <c r="F92" s="335">
        <f t="shared" si="97"/>
        <v>0.48485786703520439</v>
      </c>
      <c r="H92" s="335">
        <f t="shared" si="98"/>
        <v>0.48485786703520439</v>
      </c>
      <c r="I92" s="335">
        <f t="shared" si="99"/>
        <v>2.6450126621981429</v>
      </c>
      <c r="J92" s="335">
        <f t="shared" si="100"/>
        <v>2.9850947092935343</v>
      </c>
      <c r="K92" s="30"/>
      <c r="L92" t="str">
        <f t="shared" si="101"/>
        <v>35 Business and public service associate professionals</v>
      </c>
      <c r="M92" s="335">
        <f t="shared" si="102"/>
        <v>1.331605667963176</v>
      </c>
      <c r="N92" s="335">
        <f t="shared" si="102"/>
        <v>3.446893413824581</v>
      </c>
      <c r="O92" s="335">
        <f t="shared" si="102"/>
        <v>8.4186334295877074E-2</v>
      </c>
      <c r="P92" s="335">
        <f t="shared" si="102"/>
        <v>0.21245113990564501</v>
      </c>
      <c r="Q92" s="335">
        <f t="shared" si="103"/>
        <v>0.16967795062914348</v>
      </c>
      <c r="S92" s="335">
        <f t="shared" si="104"/>
        <v>0.16967795062914348</v>
      </c>
      <c r="T92" s="335">
        <f t="shared" si="105"/>
        <v>2.2400048585858867</v>
      </c>
      <c r="U92" s="335">
        <f t="shared" si="106"/>
        <v>2.3648532236279163</v>
      </c>
      <c r="W92" t="str">
        <f t="shared" si="107"/>
        <v>35 Business and public service associate professionals</v>
      </c>
      <c r="X92" s="335">
        <f t="shared" si="108"/>
        <v>2.5277354706280342</v>
      </c>
      <c r="Y92" s="335">
        <f t="shared" si="108"/>
        <v>2.3562631515227972</v>
      </c>
      <c r="Z92" s="335">
        <f t="shared" si="108"/>
        <v>0.62821679701154931</v>
      </c>
      <c r="AA92" s="335">
        <f t="shared" si="108"/>
        <v>0.92092985564977692</v>
      </c>
      <c r="AB92" s="335">
        <f t="shared" si="109"/>
        <v>0.82326435150315014</v>
      </c>
      <c r="AD92" s="335">
        <f t="shared" si="110"/>
        <v>0.82326435150315014</v>
      </c>
      <c r="AE92" s="335">
        <f t="shared" si="111"/>
        <v>3.0749328468418824</v>
      </c>
      <c r="AF92" s="335">
        <f t="shared" si="112"/>
        <v>3.6248575508964764</v>
      </c>
    </row>
    <row r="93" spans="1:32">
      <c r="A93" t="str">
        <f t="shared" si="95"/>
        <v>41 Administrative occupations</v>
      </c>
      <c r="B93" s="335">
        <f t="shared" si="96"/>
        <v>-0.36783423931791015</v>
      </c>
      <c r="C93" s="335">
        <f t="shared" si="96"/>
        <v>3.8488886833917269</v>
      </c>
      <c r="D93" s="335">
        <f t="shared" si="96"/>
        <v>0.68086412075964997</v>
      </c>
      <c r="E93" s="335">
        <f t="shared" si="96"/>
        <v>-0.18361029007486485</v>
      </c>
      <c r="F93" s="335">
        <f t="shared" si="97"/>
        <v>0.10371994793105799</v>
      </c>
      <c r="H93" s="335">
        <f t="shared" si="98"/>
        <v>0.10371994793105799</v>
      </c>
      <c r="I93" s="335">
        <f t="shared" si="99"/>
        <v>2.816220843531636</v>
      </c>
      <c r="J93" s="335">
        <f t="shared" si="100"/>
        <v>2.8867015245526595</v>
      </c>
      <c r="K93" s="30"/>
      <c r="L93" t="str">
        <f t="shared" si="101"/>
        <v>41 Administrative occupations</v>
      </c>
      <c r="M93" s="335">
        <f t="shared" si="102"/>
        <v>-1.1525006942263438</v>
      </c>
      <c r="N93" s="335">
        <f t="shared" si="102"/>
        <v>17.786914063500213</v>
      </c>
      <c r="O93" s="335">
        <f t="shared" si="102"/>
        <v>1.3422619308474326</v>
      </c>
      <c r="P93" s="335">
        <f t="shared" si="102"/>
        <v>0.98653654925922041</v>
      </c>
      <c r="Q93" s="335">
        <f t="shared" si="103"/>
        <v>1.1049727211951632</v>
      </c>
      <c r="S93" s="335">
        <f t="shared" si="104"/>
        <v>1.1049727211951632</v>
      </c>
      <c r="T93" s="335">
        <f t="shared" si="105"/>
        <v>2.3364509559360425</v>
      </c>
      <c r="U93" s="335">
        <f t="shared" si="106"/>
        <v>3.1537562348797676</v>
      </c>
      <c r="W93" t="str">
        <f t="shared" si="107"/>
        <v>41 Administrative occupations</v>
      </c>
      <c r="X93" s="335">
        <f t="shared" si="108"/>
        <v>-5.251916432706949E-2</v>
      </c>
      <c r="Y93" s="335">
        <f t="shared" si="108"/>
        <v>-1.5990376460308764</v>
      </c>
      <c r="Z93" s="335">
        <f t="shared" si="108"/>
        <v>0.3653503321001228</v>
      </c>
      <c r="AA93" s="335">
        <f t="shared" si="108"/>
        <v>-0.80675844664898078</v>
      </c>
      <c r="AB93" s="335">
        <f t="shared" si="109"/>
        <v>-0.41758439989406648</v>
      </c>
      <c r="AD93" s="335">
        <f t="shared" si="110"/>
        <v>-0.41758439989406648</v>
      </c>
      <c r="AE93" s="335">
        <f t="shared" si="111"/>
        <v>3.0303559348723974</v>
      </c>
      <c r="AF93" s="335">
        <f t="shared" si="112"/>
        <v>2.7583430593181024</v>
      </c>
    </row>
    <row r="94" spans="1:32">
      <c r="A94" t="str">
        <f t="shared" si="95"/>
        <v>42 Secretarial and related occupations</v>
      </c>
      <c r="B94" s="335">
        <f t="shared" si="96"/>
        <v>-2.0902131502126053</v>
      </c>
      <c r="C94" s="335">
        <f t="shared" si="96"/>
        <v>-2.7990932503058175</v>
      </c>
      <c r="D94" s="335">
        <f t="shared" si="96"/>
        <v>-1.6142648202533638</v>
      </c>
      <c r="E94" s="335">
        <f t="shared" si="96"/>
        <v>-2.7634349435401329</v>
      </c>
      <c r="F94" s="335">
        <f t="shared" si="97"/>
        <v>-2.3818774306827328</v>
      </c>
      <c r="H94" s="335">
        <f t="shared" si="98"/>
        <v>-2.3818774306827328</v>
      </c>
      <c r="I94" s="335">
        <f t="shared" si="99"/>
        <v>2.5449669289091315</v>
      </c>
      <c r="J94" s="335">
        <f t="shared" si="100"/>
        <v>0.96188944068944515</v>
      </c>
      <c r="K94" s="30"/>
      <c r="L94" t="str">
        <f t="shared" si="101"/>
        <v>42 Secretarial and related occupations</v>
      </c>
      <c r="M94" s="335">
        <f t="shared" si="102"/>
        <v>-5.8458207740620827</v>
      </c>
      <c r="N94" s="335">
        <f t="shared" si="102"/>
        <v>-1.4420662411137708</v>
      </c>
      <c r="O94" s="335">
        <f t="shared" si="102"/>
        <v>-1.8186413354904785</v>
      </c>
      <c r="P94" s="335">
        <f t="shared" si="102"/>
        <v>1.5405203579566651</v>
      </c>
      <c r="Q94" s="335">
        <f t="shared" si="103"/>
        <v>0.40822020494153399</v>
      </c>
      <c r="S94" s="335">
        <f t="shared" si="104"/>
        <v>0.40822020494153399</v>
      </c>
      <c r="T94" s="335">
        <f t="shared" si="105"/>
        <v>1.8639510984662433</v>
      </c>
      <c r="U94" s="335">
        <f t="shared" si="106"/>
        <v>2.1813191947918753</v>
      </c>
      <c r="W94" t="str">
        <f t="shared" si="107"/>
        <v>42 Secretarial and related occupations</v>
      </c>
      <c r="X94" s="335">
        <f t="shared" si="108"/>
        <v>-1.8163206469731685</v>
      </c>
      <c r="Y94" s="335">
        <f t="shared" si="108"/>
        <v>-2.8881314019840398</v>
      </c>
      <c r="Z94" s="335">
        <f t="shared" si="108"/>
        <v>-1.6007156101090159</v>
      </c>
      <c r="AA94" s="335">
        <f t="shared" si="108"/>
        <v>-3.1162439017718646</v>
      </c>
      <c r="AB94" s="335">
        <f t="shared" si="109"/>
        <v>-2.613679263338986</v>
      </c>
      <c r="AD94" s="335">
        <f t="shared" si="110"/>
        <v>-2.613679263338986</v>
      </c>
      <c r="AE94" s="335">
        <f t="shared" si="111"/>
        <v>2.5881394010137893</v>
      </c>
      <c r="AF94" s="335">
        <f t="shared" si="112"/>
        <v>0.87290305814584634</v>
      </c>
    </row>
    <row r="95" spans="1:32">
      <c r="A95" t="str">
        <f t="shared" si="95"/>
        <v>51 Skilled agricultural and related trades</v>
      </c>
      <c r="B95" s="335">
        <f t="shared" si="96"/>
        <v>0.28564994759778806</v>
      </c>
      <c r="C95" s="335">
        <f t="shared" si="96"/>
        <v>-10.024489887175637</v>
      </c>
      <c r="D95" s="335">
        <f t="shared" si="96"/>
        <v>-0.18670941294809396</v>
      </c>
      <c r="E95" s="335">
        <f t="shared" si="96"/>
        <v>1.013270121014731</v>
      </c>
      <c r="F95" s="335">
        <f t="shared" si="97"/>
        <v>0.61168251002796659</v>
      </c>
      <c r="H95" s="335">
        <f t="shared" si="98"/>
        <v>0.61168251002796659</v>
      </c>
      <c r="I95" s="335">
        <f t="shared" si="99"/>
        <v>3.1217507327332861</v>
      </c>
      <c r="J95" s="335">
        <f t="shared" si="100"/>
        <v>3.5257341448873492</v>
      </c>
      <c r="K95" s="30"/>
      <c r="L95" t="str">
        <f t="shared" si="101"/>
        <v>51 Skilled agricultural and related trades</v>
      </c>
      <c r="M95" s="335">
        <f t="shared" si="102"/>
        <v>0.16566435951177461</v>
      </c>
      <c r="N95" s="335">
        <f t="shared" si="102"/>
        <v>-14.000212064932649</v>
      </c>
      <c r="O95" s="335">
        <f t="shared" si="102"/>
        <v>-0.5398084357647992</v>
      </c>
      <c r="P95" s="335">
        <f t="shared" si="102"/>
        <v>0.69089624901323976</v>
      </c>
      <c r="Q95" s="335">
        <f t="shared" si="103"/>
        <v>0.27897853235525627</v>
      </c>
      <c r="S95" s="335">
        <f t="shared" si="104"/>
        <v>0.27897853235525627</v>
      </c>
      <c r="T95" s="335">
        <f t="shared" si="105"/>
        <v>2.887225645834679</v>
      </c>
      <c r="U95" s="335">
        <f t="shared" si="106"/>
        <v>3.0757777687392851</v>
      </c>
      <c r="W95" t="str">
        <f t="shared" si="107"/>
        <v>51 Skilled agricultural and related trades</v>
      </c>
      <c r="X95" s="335">
        <f t="shared" si="108"/>
        <v>0.90277111119596576</v>
      </c>
      <c r="Y95" s="335">
        <f t="shared" si="108"/>
        <v>10.052872910626975</v>
      </c>
      <c r="Z95" s="335">
        <f t="shared" si="108"/>
        <v>1.1600532853987877</v>
      </c>
      <c r="AA95" s="335">
        <f t="shared" si="108"/>
        <v>2.1102553944578828</v>
      </c>
      <c r="AB95" s="335">
        <f t="shared" si="109"/>
        <v>1.792533775357863</v>
      </c>
      <c r="AD95" s="335">
        <f t="shared" si="110"/>
        <v>1.792533775357863</v>
      </c>
      <c r="AE95" s="335">
        <f t="shared" si="111"/>
        <v>3.9807216866200035</v>
      </c>
      <c r="AF95" s="335">
        <f t="shared" si="112"/>
        <v>5.0750468820753403</v>
      </c>
    </row>
    <row r="96" spans="1:32">
      <c r="A96" t="str">
        <f t="shared" si="95"/>
        <v>52 Skilled metal, electrical and electronic trades</v>
      </c>
      <c r="B96" s="335">
        <f t="shared" si="96"/>
        <v>0.52426124684463726</v>
      </c>
      <c r="C96" s="335">
        <f t="shared" si="96"/>
        <v>-13.362886600431557</v>
      </c>
      <c r="D96" s="335">
        <f t="shared" si="96"/>
        <v>-0.10440276600417464</v>
      </c>
      <c r="E96" s="335">
        <f t="shared" si="96"/>
        <v>-0.57852681756275226</v>
      </c>
      <c r="F96" s="335">
        <f t="shared" si="97"/>
        <v>-0.42073602765486662</v>
      </c>
      <c r="H96" s="335">
        <f t="shared" si="98"/>
        <v>-0.42073602765486662</v>
      </c>
      <c r="I96" s="335">
        <f t="shared" si="99"/>
        <v>2.1470755414302323</v>
      </c>
      <c r="J96" s="335">
        <f t="shared" si="100"/>
        <v>1.8371178299870561</v>
      </c>
      <c r="K96" s="30"/>
      <c r="L96" t="str">
        <f t="shared" si="101"/>
        <v>52 Skilled metal, electrical and electronic trades</v>
      </c>
      <c r="M96" s="335">
        <f t="shared" si="102"/>
        <v>0.24231076953706854</v>
      </c>
      <c r="N96" s="335">
        <f t="shared" si="102"/>
        <v>-13.047883794372328</v>
      </c>
      <c r="O96" s="335">
        <f t="shared" si="102"/>
        <v>-0.5012957429170628</v>
      </c>
      <c r="P96" s="335">
        <f t="shared" si="102"/>
        <v>-0.72598264826473358</v>
      </c>
      <c r="Q96" s="335">
        <f t="shared" si="103"/>
        <v>-0.65114344597780871</v>
      </c>
      <c r="S96" s="335">
        <f t="shared" si="104"/>
        <v>-0.65114344597780871</v>
      </c>
      <c r="T96" s="335">
        <f t="shared" si="105"/>
        <v>2.0615118896824436</v>
      </c>
      <c r="U96" s="335">
        <f t="shared" si="106"/>
        <v>1.5781615878810662</v>
      </c>
      <c r="W96" t="str">
        <f t="shared" si="107"/>
        <v>52 Skilled metal, electrical and electronic trades</v>
      </c>
      <c r="X96" s="335">
        <f t="shared" si="108"/>
        <v>13.598970790047794</v>
      </c>
      <c r="Y96" s="335">
        <f t="shared" si="108"/>
        <v>-24.147706480675858</v>
      </c>
      <c r="Z96" s="335">
        <f t="shared" si="108"/>
        <v>12.024292935337911</v>
      </c>
      <c r="AA96" s="335">
        <f t="shared" si="108"/>
        <v>2.2173856949809112</v>
      </c>
      <c r="AB96" s="335">
        <f t="shared" si="109"/>
        <v>5.3870505129285817</v>
      </c>
      <c r="AD96" s="335">
        <f t="shared" si="110"/>
        <v>5.3870505129285817</v>
      </c>
      <c r="AE96" s="335">
        <f t="shared" si="111"/>
        <v>4.9002672286570848</v>
      </c>
      <c r="AF96" s="335">
        <f t="shared" si="112"/>
        <v>8.1666653469951065</v>
      </c>
    </row>
    <row r="97" spans="1:32">
      <c r="A97" t="str">
        <f t="shared" si="95"/>
        <v>53 Skilled construction and building trades</v>
      </c>
      <c r="B97" s="335">
        <f t="shared" si="96"/>
        <v>-0.29616148678105469</v>
      </c>
      <c r="C97" s="335">
        <f t="shared" si="96"/>
        <v>-15.184641352234562</v>
      </c>
      <c r="D97" s="335">
        <f t="shared" si="96"/>
        <v>0.14654462537524449</v>
      </c>
      <c r="E97" s="335">
        <f t="shared" si="96"/>
        <v>-0.75481238156882569</v>
      </c>
      <c r="F97" s="335">
        <f t="shared" si="97"/>
        <v>-0.45526506581279325</v>
      </c>
      <c r="H97" s="335">
        <f t="shared" si="98"/>
        <v>-0.45526506581279325</v>
      </c>
      <c r="I97" s="335">
        <f t="shared" si="99"/>
        <v>2.3505915440169334</v>
      </c>
      <c r="J97" s="335">
        <f t="shared" si="100"/>
        <v>2.0248590580536963</v>
      </c>
      <c r="K97" s="30"/>
      <c r="L97" t="str">
        <f t="shared" si="101"/>
        <v>53 Skilled construction and building trades</v>
      </c>
      <c r="M97" s="335">
        <f t="shared" si="102"/>
        <v>-0.40260923110317925</v>
      </c>
      <c r="N97" s="335">
        <f t="shared" si="102"/>
        <v>-15.560778554824562</v>
      </c>
      <c r="O97" s="335">
        <f t="shared" si="102"/>
        <v>0.31837645372809753</v>
      </c>
      <c r="P97" s="335">
        <f t="shared" si="102"/>
        <v>-0.79558337782970057</v>
      </c>
      <c r="Q97" s="335">
        <f t="shared" si="103"/>
        <v>-0.4256446704653416</v>
      </c>
      <c r="S97" s="335">
        <f t="shared" si="104"/>
        <v>-0.4256446704653416</v>
      </c>
      <c r="T97" s="335">
        <f t="shared" si="105"/>
        <v>2.3541221618678554</v>
      </c>
      <c r="U97" s="335">
        <f t="shared" si="106"/>
        <v>2.0495412309797123</v>
      </c>
      <c r="W97" t="str">
        <f t="shared" si="107"/>
        <v>53 Skilled construction and building trades</v>
      </c>
      <c r="X97" s="335">
        <f t="shared" si="108"/>
        <v>5.6674146507437406</v>
      </c>
      <c r="Y97" s="335">
        <f t="shared" si="108"/>
        <v>3.0290956785345768</v>
      </c>
      <c r="Z97" s="335">
        <f t="shared" si="108"/>
        <v>-7.8852805021456422</v>
      </c>
      <c r="AA97" s="335">
        <f t="shared" si="108"/>
        <v>1.4790414037098687</v>
      </c>
      <c r="AB97" s="335">
        <f t="shared" si="109"/>
        <v>-1.7436601775250304</v>
      </c>
      <c r="AD97" s="335">
        <f t="shared" si="110"/>
        <v>-1.7436601775250304</v>
      </c>
      <c r="AE97" s="335">
        <f t="shared" si="111"/>
        <v>2.2090802618477623</v>
      </c>
      <c r="AF97" s="335">
        <f t="shared" si="112"/>
        <v>0.97073330286330251</v>
      </c>
    </row>
    <row r="98" spans="1:32">
      <c r="A98" t="str">
        <f t="shared" si="95"/>
        <v>54 Textiles, printing and other skilled trades</v>
      </c>
      <c r="B98" s="335">
        <f t="shared" si="96"/>
        <v>-2.1944537784958973</v>
      </c>
      <c r="C98" s="335">
        <f t="shared" si="96"/>
        <v>-5.7456046001181926</v>
      </c>
      <c r="D98" s="335">
        <f t="shared" si="96"/>
        <v>1.1584816034576839</v>
      </c>
      <c r="E98" s="335">
        <f t="shared" si="96"/>
        <v>0.1988714956570492</v>
      </c>
      <c r="F98" s="335">
        <f t="shared" si="97"/>
        <v>0.51772579254762974</v>
      </c>
      <c r="H98" s="335">
        <f t="shared" si="98"/>
        <v>0.51772579254762974</v>
      </c>
      <c r="I98" s="335">
        <f t="shared" si="99"/>
        <v>2.5541612315366669</v>
      </c>
      <c r="J98" s="335">
        <f t="shared" si="100"/>
        <v>2.9219723068927284</v>
      </c>
      <c r="K98" s="30"/>
      <c r="L98" t="str">
        <f t="shared" si="101"/>
        <v>54 Textiles, printing and other skilled trades</v>
      </c>
      <c r="M98" s="335">
        <f t="shared" si="102"/>
        <v>-2.4308101285263839</v>
      </c>
      <c r="N98" s="335">
        <f t="shared" si="102"/>
        <v>-12.563403296822129</v>
      </c>
      <c r="O98" s="335">
        <f t="shared" si="102"/>
        <v>1.4123918931376878</v>
      </c>
      <c r="P98" s="335">
        <f t="shared" si="102"/>
        <v>0.14794404785281046</v>
      </c>
      <c r="Q98" s="335">
        <f t="shared" si="103"/>
        <v>0.56766514992365735</v>
      </c>
      <c r="S98" s="335">
        <f t="shared" si="104"/>
        <v>0.56766514992365735</v>
      </c>
      <c r="T98" s="335">
        <f t="shared" si="105"/>
        <v>2.0370516576543096</v>
      </c>
      <c r="U98" s="335">
        <f t="shared" si="106"/>
        <v>2.4694577648653349</v>
      </c>
      <c r="W98" t="str">
        <f t="shared" si="107"/>
        <v>54 Textiles, printing and other skilled trades</v>
      </c>
      <c r="X98" s="335">
        <f t="shared" si="108"/>
        <v>-1.7833369488820972</v>
      </c>
      <c r="Y98" s="335">
        <f t="shared" si="108"/>
        <v>5.9188423531298495</v>
      </c>
      <c r="Z98" s="335">
        <f t="shared" si="108"/>
        <v>0.79547258311476465</v>
      </c>
      <c r="AA98" s="335">
        <f t="shared" si="108"/>
        <v>0.2726126766704251</v>
      </c>
      <c r="AB98" s="335">
        <f t="shared" si="109"/>
        <v>0.44659725419118335</v>
      </c>
      <c r="AD98" s="335">
        <f t="shared" si="110"/>
        <v>0.44659725419118335</v>
      </c>
      <c r="AE98" s="335">
        <f t="shared" si="111"/>
        <v>3.2274353927469912</v>
      </c>
      <c r="AF98" s="335">
        <f t="shared" si="112"/>
        <v>3.5170772595727984</v>
      </c>
    </row>
    <row r="99" spans="1:32">
      <c r="A99" t="str">
        <f t="shared" si="95"/>
        <v>61 Caring personal service occupations</v>
      </c>
      <c r="B99" s="335">
        <f t="shared" si="96"/>
        <v>0.72545700366948296</v>
      </c>
      <c r="C99" s="335">
        <f t="shared" si="96"/>
        <v>-3.3482203680785361</v>
      </c>
      <c r="D99" s="335">
        <f t="shared" si="96"/>
        <v>0.94412117200162182</v>
      </c>
      <c r="E99" s="335">
        <f t="shared" si="96"/>
        <v>0.79763547892719444</v>
      </c>
      <c r="F99" s="335">
        <f t="shared" si="97"/>
        <v>0.84644040874675142</v>
      </c>
      <c r="H99" s="335">
        <f t="shared" si="98"/>
        <v>0.84644040874675142</v>
      </c>
      <c r="I99" s="335">
        <f t="shared" si="99"/>
        <v>3.1807630938947895</v>
      </c>
      <c r="J99" s="335">
        <f t="shared" si="100"/>
        <v>3.7387354072799361</v>
      </c>
      <c r="K99" s="30"/>
      <c r="L99" t="str">
        <f t="shared" si="101"/>
        <v>61 Caring personal service occupations</v>
      </c>
      <c r="M99" s="335">
        <f t="shared" si="102"/>
        <v>0.88953540252552088</v>
      </c>
      <c r="N99" s="335">
        <f t="shared" si="102"/>
        <v>-3.414392559565238</v>
      </c>
      <c r="O99" s="335">
        <f t="shared" si="102"/>
        <v>3.7356034827075169</v>
      </c>
      <c r="P99" s="335">
        <f t="shared" si="102"/>
        <v>1.5029029131169214</v>
      </c>
      <c r="Q99" s="335">
        <f t="shared" si="103"/>
        <v>2.2417453330319415</v>
      </c>
      <c r="S99" s="335">
        <f t="shared" si="104"/>
        <v>2.2417453330319415</v>
      </c>
      <c r="T99" s="335">
        <f t="shared" si="105"/>
        <v>2.9864506163596038</v>
      </c>
      <c r="U99" s="335">
        <f t="shared" si="106"/>
        <v>4.5506951663913942</v>
      </c>
      <c r="W99" t="str">
        <f t="shared" si="107"/>
        <v>61 Caring personal service occupations</v>
      </c>
      <c r="X99" s="335">
        <f t="shared" si="108"/>
        <v>0.69566116301225112</v>
      </c>
      <c r="Y99" s="335">
        <f t="shared" si="108"/>
        <v>-3.3361459150332839</v>
      </c>
      <c r="Z99" s="335">
        <f t="shared" si="108"/>
        <v>0.40040743768756659</v>
      </c>
      <c r="AA99" s="335">
        <f t="shared" si="108"/>
        <v>0.64026665603758026</v>
      </c>
      <c r="AB99" s="335">
        <f t="shared" si="109"/>
        <v>0.56024998076524835</v>
      </c>
      <c r="AD99" s="335">
        <f t="shared" si="110"/>
        <v>0.56024998076524835</v>
      </c>
      <c r="AE99" s="335">
        <f t="shared" si="111"/>
        <v>3.2156447272598365</v>
      </c>
      <c r="AF99" s="335">
        <f t="shared" si="112"/>
        <v>3.5806286725103664</v>
      </c>
    </row>
    <row r="100" spans="1:32">
      <c r="A100" t="str">
        <f t="shared" si="95"/>
        <v>62 Leisure, travel and related personal service occupations</v>
      </c>
      <c r="B100" s="335">
        <f t="shared" si="96"/>
        <v>2.0445949149226594</v>
      </c>
      <c r="C100" s="335">
        <f t="shared" si="96"/>
        <v>-7.736014102466882</v>
      </c>
      <c r="D100" s="335">
        <f t="shared" si="96"/>
        <v>-1.1587123033164115</v>
      </c>
      <c r="E100" s="335">
        <f t="shared" si="96"/>
        <v>0.178559171912962</v>
      </c>
      <c r="F100" s="335">
        <f t="shared" si="97"/>
        <v>-0.26919628087314074</v>
      </c>
      <c r="H100" s="335">
        <f t="shared" si="98"/>
        <v>-0.26919628087314074</v>
      </c>
      <c r="I100" s="335">
        <f t="shared" si="99"/>
        <v>2.6890148188049467</v>
      </c>
      <c r="J100" s="335">
        <f t="shared" si="100"/>
        <v>2.504503894908594</v>
      </c>
      <c r="K100" s="30"/>
      <c r="L100" t="str">
        <f t="shared" si="101"/>
        <v>62 Leisure, travel and related personal service occupations</v>
      </c>
      <c r="M100" s="335">
        <f t="shared" si="102"/>
        <v>2.9877342605011403</v>
      </c>
      <c r="N100" s="335">
        <f t="shared" si="102"/>
        <v>-4.4764718344341254</v>
      </c>
      <c r="O100" s="335">
        <f t="shared" si="102"/>
        <v>-0.46648082629555665</v>
      </c>
      <c r="P100" s="335">
        <f t="shared" si="102"/>
        <v>0.79909110831672958</v>
      </c>
      <c r="Q100" s="335">
        <f t="shared" si="103"/>
        <v>0.37545585006497628</v>
      </c>
      <c r="S100" s="335">
        <f t="shared" si="104"/>
        <v>0.37545585006497628</v>
      </c>
      <c r="T100" s="335">
        <f t="shared" si="105"/>
        <v>2.4628056021147371</v>
      </c>
      <c r="U100" s="335">
        <f t="shared" si="106"/>
        <v>2.732006503955553</v>
      </c>
      <c r="W100" t="str">
        <f t="shared" si="107"/>
        <v>62 Leisure, travel and related personal service occupations</v>
      </c>
      <c r="X100" s="335">
        <f t="shared" si="108"/>
        <v>1.6433043243318401</v>
      </c>
      <c r="Y100" s="335">
        <f t="shared" si="108"/>
        <v>-9.1691513801564923</v>
      </c>
      <c r="Z100" s="335">
        <f t="shared" si="108"/>
        <v>-1.4854610679515101</v>
      </c>
      <c r="AA100" s="335">
        <f t="shared" si="108"/>
        <v>-0.13650007828023281</v>
      </c>
      <c r="AB100" s="335">
        <f t="shared" si="109"/>
        <v>-0.58819372142634441</v>
      </c>
      <c r="AD100" s="335">
        <f t="shared" si="110"/>
        <v>-0.58819372142634441</v>
      </c>
      <c r="AE100" s="335">
        <f t="shared" si="111"/>
        <v>2.7912978071907846</v>
      </c>
      <c r="AF100" s="335">
        <f t="shared" si="112"/>
        <v>2.3968713593703894</v>
      </c>
    </row>
    <row r="101" spans="1:32">
      <c r="A101" t="str">
        <f t="shared" si="95"/>
        <v>63 Community and civil enforcement occupations</v>
      </c>
      <c r="B101" s="335">
        <f t="shared" si="96"/>
        <v>-3.6297584463488741</v>
      </c>
      <c r="C101" s="335">
        <f t="shared" si="96"/>
        <v>24.632868476423099</v>
      </c>
      <c r="D101" s="335">
        <f t="shared" si="96"/>
        <v>-5.7953375774188798</v>
      </c>
      <c r="E101" s="335">
        <f t="shared" si="96"/>
        <v>0.88130436955931035</v>
      </c>
      <c r="F101" s="335">
        <f t="shared" si="97"/>
        <v>-1.3952298324035661</v>
      </c>
      <c r="H101" s="335">
        <f t="shared" si="98"/>
        <v>-1.3952298324035661</v>
      </c>
      <c r="I101" s="335">
        <f t="shared" si="99"/>
        <v>2.2215043817506608</v>
      </c>
      <c r="J101" s="335">
        <f t="shared" si="100"/>
        <v>1.2248705301125984</v>
      </c>
      <c r="K101" s="30"/>
      <c r="L101" t="str">
        <f t="shared" si="101"/>
        <v>63 Community and civil enforcement occupations</v>
      </c>
      <c r="M101" s="335">
        <f t="shared" si="102"/>
        <v>-6.7673959386469473</v>
      </c>
      <c r="N101" s="335">
        <f t="shared" si="102"/>
        <v>44.207083194846277</v>
      </c>
      <c r="O101" s="335">
        <f t="shared" si="102"/>
        <v>-10.600973810622239</v>
      </c>
      <c r="P101" s="335">
        <f t="shared" si="102"/>
        <v>1.4764279372572187</v>
      </c>
      <c r="Q101" s="335">
        <f t="shared" si="103"/>
        <v>-2.7205641053409724</v>
      </c>
      <c r="S101" s="335">
        <f t="shared" si="104"/>
        <v>-2.7205641053409724</v>
      </c>
      <c r="T101" s="335">
        <f t="shared" si="105"/>
        <v>1.578682798398412</v>
      </c>
      <c r="U101" s="335">
        <f t="shared" si="106"/>
        <v>-0.51106614130208561</v>
      </c>
      <c r="W101" t="str">
        <f t="shared" si="107"/>
        <v>63 Community and civil enforcement occupations</v>
      </c>
      <c r="X101" s="335">
        <f t="shared" si="108"/>
        <v>5.2379911906840659</v>
      </c>
      <c r="Y101" s="335">
        <f t="shared" si="108"/>
        <v>-16.405189017905752</v>
      </c>
      <c r="Z101" s="335">
        <f t="shared" si="108"/>
        <v>6.3425490577790011</v>
      </c>
      <c r="AA101" s="335">
        <f t="shared" si="108"/>
        <v>-8.7636620219766481E-2</v>
      </c>
      <c r="AB101" s="335">
        <f t="shared" si="109"/>
        <v>2.0113535673613736</v>
      </c>
      <c r="AD101" s="335">
        <f t="shared" si="110"/>
        <v>2.0113535673613736</v>
      </c>
      <c r="AE101" s="335">
        <f t="shared" si="111"/>
        <v>4.1654184743932232</v>
      </c>
      <c r="AF101" s="335">
        <f t="shared" si="112"/>
        <v>5.3730232200015937</v>
      </c>
    </row>
    <row r="102" spans="1:32">
      <c r="A102" t="str">
        <f t="shared" si="95"/>
        <v>71 Sales occupations</v>
      </c>
      <c r="B102" s="335">
        <f t="shared" si="96"/>
        <v>-1.2777973602917769</v>
      </c>
      <c r="C102" s="335">
        <f t="shared" si="96"/>
        <v>-1.9308591534613506</v>
      </c>
      <c r="D102" s="335">
        <f t="shared" si="96"/>
        <v>-0.30053554766803492</v>
      </c>
      <c r="E102" s="335">
        <f t="shared" si="96"/>
        <v>-0.28557255988997943</v>
      </c>
      <c r="F102" s="335">
        <f t="shared" si="97"/>
        <v>-0.29056047198369184</v>
      </c>
      <c r="H102" s="335">
        <f t="shared" si="98"/>
        <v>-0.29056047198369184</v>
      </c>
      <c r="I102" s="335">
        <f t="shared" si="99"/>
        <v>2.5295270532733394</v>
      </c>
      <c r="J102" s="335">
        <f t="shared" si="100"/>
        <v>2.326027576113554</v>
      </c>
      <c r="K102" s="30"/>
      <c r="L102" t="str">
        <f t="shared" si="101"/>
        <v>71 Sales occupations</v>
      </c>
      <c r="M102" s="335">
        <f t="shared" si="102"/>
        <v>-0.15799969335660302</v>
      </c>
      <c r="N102" s="335">
        <f t="shared" si="102"/>
        <v>-1.8041520506015707</v>
      </c>
      <c r="O102" s="335">
        <f t="shared" si="102"/>
        <v>-0.10177181417255765</v>
      </c>
      <c r="P102" s="335">
        <f t="shared" si="102"/>
        <v>-3.2606649733035731E-3</v>
      </c>
      <c r="Q102" s="335">
        <f t="shared" si="103"/>
        <v>-3.6108503681808735E-2</v>
      </c>
      <c r="S102" s="335">
        <f t="shared" si="104"/>
        <v>-3.6108503681808735E-2</v>
      </c>
      <c r="T102" s="335">
        <f t="shared" si="105"/>
        <v>1.9642996673711499</v>
      </c>
      <c r="U102" s="335">
        <f t="shared" si="106"/>
        <v>1.9368170975600174</v>
      </c>
      <c r="W102" t="str">
        <f t="shared" si="107"/>
        <v>71 Sales occupations</v>
      </c>
      <c r="X102" s="335">
        <f t="shared" si="108"/>
        <v>-2.0408438743389046</v>
      </c>
      <c r="Y102" s="335">
        <f t="shared" si="108"/>
        <v>-2.0214042262154508</v>
      </c>
      <c r="Z102" s="335">
        <f t="shared" si="108"/>
        <v>-0.44386758774405122</v>
      </c>
      <c r="AA102" s="335">
        <f t="shared" si="108"/>
        <v>-0.49588341407840186</v>
      </c>
      <c r="AB102" s="335">
        <f t="shared" si="109"/>
        <v>-0.47854782567862131</v>
      </c>
      <c r="AD102" s="335">
        <f t="shared" si="110"/>
        <v>-0.47854782567862131</v>
      </c>
      <c r="AE102" s="335">
        <f t="shared" si="111"/>
        <v>2.9090853153509011</v>
      </c>
      <c r="AF102" s="335">
        <f t="shared" si="112"/>
        <v>2.5925588551858336</v>
      </c>
    </row>
    <row r="103" spans="1:32">
      <c r="A103" t="str">
        <f t="shared" si="95"/>
        <v>72 Customer service occupations</v>
      </c>
      <c r="B103" s="335">
        <f t="shared" si="96"/>
        <v>2.0690210771044049</v>
      </c>
      <c r="C103" s="335">
        <f t="shared" si="96"/>
        <v>1.8689884885069397</v>
      </c>
      <c r="D103" s="335">
        <f t="shared" si="96"/>
        <v>2.2415514632082356</v>
      </c>
      <c r="E103" s="335">
        <f t="shared" si="96"/>
        <v>1.0753295640372418</v>
      </c>
      <c r="F103" s="335">
        <f t="shared" si="97"/>
        <v>1.4625845924234326</v>
      </c>
      <c r="H103" s="335">
        <f t="shared" si="98"/>
        <v>1.4625845924234326</v>
      </c>
      <c r="I103" s="335">
        <f t="shared" si="99"/>
        <v>2.8411550211796754</v>
      </c>
      <c r="J103" s="335">
        <f t="shared" si="100"/>
        <v>3.8628699880774997</v>
      </c>
      <c r="K103" s="30"/>
      <c r="L103" t="str">
        <f t="shared" si="101"/>
        <v>72 Customer service occupations</v>
      </c>
      <c r="M103" s="335">
        <f t="shared" si="102"/>
        <v>-1.4905246633815095</v>
      </c>
      <c r="N103" s="335">
        <f t="shared" si="102"/>
        <v>15.369841967830112</v>
      </c>
      <c r="O103" s="335">
        <f t="shared" si="102"/>
        <v>4.4633988797393664</v>
      </c>
      <c r="P103" s="335">
        <f t="shared" si="102"/>
        <v>1.4897496565705826</v>
      </c>
      <c r="Q103" s="335">
        <f t="shared" si="103"/>
        <v>2.4714397551956591</v>
      </c>
      <c r="S103" s="335">
        <f t="shared" si="104"/>
        <v>2.4714397551956591</v>
      </c>
      <c r="T103" s="335">
        <f t="shared" si="105"/>
        <v>2.4709061045294023</v>
      </c>
      <c r="U103" s="335">
        <f t="shared" si="106"/>
        <v>4.314549117031552</v>
      </c>
      <c r="W103" t="str">
        <f t="shared" si="107"/>
        <v>72 Customer service occupations</v>
      </c>
      <c r="X103" s="335">
        <f t="shared" si="108"/>
        <v>4.2062373084281068</v>
      </c>
      <c r="Y103" s="335">
        <f t="shared" si="108"/>
        <v>-5.1706514539668351</v>
      </c>
      <c r="Z103" s="335">
        <f t="shared" si="108"/>
        <v>0.72516803228650506</v>
      </c>
      <c r="AA103" s="335">
        <f t="shared" si="108"/>
        <v>0.7493188355331748</v>
      </c>
      <c r="AB103" s="335">
        <f t="shared" si="109"/>
        <v>0.74126792445048384</v>
      </c>
      <c r="AD103" s="335">
        <f t="shared" si="110"/>
        <v>0.74126792445048384</v>
      </c>
      <c r="AE103" s="335">
        <f t="shared" si="111"/>
        <v>3.0667041420587848</v>
      </c>
      <c r="AF103" s="335">
        <f t="shared" si="112"/>
        <v>3.5614031351684172</v>
      </c>
    </row>
    <row r="104" spans="1:32">
      <c r="A104" t="str">
        <f t="shared" si="95"/>
        <v>81 Process, plant and machine operatives</v>
      </c>
      <c r="B104" s="335">
        <f t="shared" si="96"/>
        <v>-0.76551982696938525</v>
      </c>
      <c r="C104" s="335">
        <f t="shared" si="96"/>
        <v>-11.854792589093933</v>
      </c>
      <c r="D104" s="335">
        <f t="shared" si="96"/>
        <v>0.93248711813207485</v>
      </c>
      <c r="E104" s="335">
        <f t="shared" si="96"/>
        <v>-0.64954324577245481</v>
      </c>
      <c r="F104" s="335">
        <f t="shared" si="97"/>
        <v>-0.12497438125811389</v>
      </c>
      <c r="H104" s="335">
        <f t="shared" si="98"/>
        <v>-0.12497438125811389</v>
      </c>
      <c r="I104" s="335">
        <f t="shared" si="99"/>
        <v>2.2985078193460629</v>
      </c>
      <c r="J104" s="335">
        <f t="shared" si="100"/>
        <v>2.2078200959536831</v>
      </c>
      <c r="K104" s="30"/>
      <c r="L104" t="str">
        <f t="shared" si="101"/>
        <v>81 Process, plant and machine operatives</v>
      </c>
      <c r="M104" s="335">
        <f t="shared" si="102"/>
        <v>-1.2811735267725499</v>
      </c>
      <c r="N104" s="335">
        <f t="shared" si="102"/>
        <v>-11.217082802498357</v>
      </c>
      <c r="O104" s="335">
        <f t="shared" si="102"/>
        <v>0.16425082636184474</v>
      </c>
      <c r="P104" s="335">
        <f t="shared" si="102"/>
        <v>-0.8718095092375866</v>
      </c>
      <c r="Q104" s="335">
        <f t="shared" si="103"/>
        <v>-0.52765230552425102</v>
      </c>
      <c r="S104" s="335">
        <f t="shared" si="104"/>
        <v>-0.52765230552425102</v>
      </c>
      <c r="T104" s="335">
        <f t="shared" si="105"/>
        <v>2.0446606664447753</v>
      </c>
      <c r="U104" s="335">
        <f t="shared" si="106"/>
        <v>1.6511101759638658</v>
      </c>
      <c r="W104" t="str">
        <f t="shared" si="107"/>
        <v>81 Process, plant and machine operatives</v>
      </c>
      <c r="X104" s="335">
        <f t="shared" si="108"/>
        <v>1.0092791442089188</v>
      </c>
      <c r="Y104" s="335">
        <f t="shared" si="108"/>
        <v>-13.927742542762866</v>
      </c>
      <c r="Z104" s="335">
        <f t="shared" si="108"/>
        <v>3.3507681414082002</v>
      </c>
      <c r="AA104" s="335">
        <f t="shared" si="108"/>
        <v>-3.6017060135418166E-2</v>
      </c>
      <c r="AB104" s="335">
        <f t="shared" si="109"/>
        <v>1.0803966382731289</v>
      </c>
      <c r="AD104" s="335">
        <f t="shared" si="110"/>
        <v>1.0803966382731289</v>
      </c>
      <c r="AE104" s="335">
        <f t="shared" si="111"/>
        <v>3.0906189391225469</v>
      </c>
      <c r="AF104" s="335">
        <f t="shared" si="112"/>
        <v>3.8153165244817488</v>
      </c>
    </row>
    <row r="105" spans="1:32">
      <c r="A105" t="str">
        <f t="shared" si="95"/>
        <v>82 Transport and mobile machine drivers and operatives</v>
      </c>
      <c r="B105" s="335">
        <f t="shared" si="96"/>
        <v>2.8374103873298528</v>
      </c>
      <c r="C105" s="335">
        <f t="shared" si="96"/>
        <v>-10.413460998046286</v>
      </c>
      <c r="D105" s="335">
        <f t="shared" si="96"/>
        <v>0.55295917132063277</v>
      </c>
      <c r="E105" s="335">
        <f t="shared" si="96"/>
        <v>-0.17656927446143555</v>
      </c>
      <c r="F105" s="335">
        <f t="shared" si="97"/>
        <v>6.6016875276408982E-2</v>
      </c>
      <c r="H105" s="335">
        <f t="shared" si="98"/>
        <v>6.6016875276408982E-2</v>
      </c>
      <c r="I105" s="335">
        <f t="shared" si="99"/>
        <v>2.9350109137874059</v>
      </c>
      <c r="J105" s="335">
        <f t="shared" si="100"/>
        <v>2.9791147527730377</v>
      </c>
      <c r="K105" s="30"/>
      <c r="L105" t="str">
        <f t="shared" si="101"/>
        <v>82 Transport and mobile machine drivers and operatives</v>
      </c>
      <c r="M105" s="335">
        <f t="shared" si="102"/>
        <v>2.9914841637274314</v>
      </c>
      <c r="N105" s="335">
        <f t="shared" si="102"/>
        <v>-10.65743540469548</v>
      </c>
      <c r="O105" s="335">
        <f t="shared" si="102"/>
        <v>0.20358637722541761</v>
      </c>
      <c r="P105" s="335">
        <f t="shared" si="102"/>
        <v>-0.29156976853363936</v>
      </c>
      <c r="Q105" s="335">
        <f t="shared" si="103"/>
        <v>-0.12679018705805678</v>
      </c>
      <c r="S105" s="335">
        <f t="shared" si="104"/>
        <v>-0.12679018705805678</v>
      </c>
      <c r="T105" s="335">
        <f t="shared" si="105"/>
        <v>2.8549072030602085</v>
      </c>
      <c r="U105" s="335">
        <f t="shared" si="106"/>
        <v>2.7696752520048218</v>
      </c>
      <c r="W105" t="str">
        <f t="shared" si="107"/>
        <v>82 Transport and mobile machine drivers and operatives</v>
      </c>
      <c r="X105" s="335">
        <f t="shared" si="108"/>
        <v>0.41670523350276767</v>
      </c>
      <c r="Y105" s="335">
        <f t="shared" si="108"/>
        <v>-6.3283937790039495</v>
      </c>
      <c r="Z105" s="335">
        <f t="shared" si="108"/>
        <v>5.5679889897130463</v>
      </c>
      <c r="AA105" s="335">
        <f t="shared" si="108"/>
        <v>1.149042320397009</v>
      </c>
      <c r="AB105" s="335">
        <f t="shared" si="109"/>
        <v>2.6010801732986977</v>
      </c>
      <c r="AD105" s="335">
        <f t="shared" si="110"/>
        <v>2.6010801732986977</v>
      </c>
      <c r="AE105" s="335">
        <f t="shared" si="111"/>
        <v>4.1088310868957478</v>
      </c>
      <c r="AF105" s="335">
        <f t="shared" si="112"/>
        <v>5.7076115221863288</v>
      </c>
    </row>
    <row r="106" spans="1:32">
      <c r="A106" t="str">
        <f t="shared" si="95"/>
        <v>91 Elementary trades and related occupations</v>
      </c>
      <c r="B106" s="335">
        <f t="shared" si="96"/>
        <v>-2.5864090940220463</v>
      </c>
      <c r="C106" s="335">
        <f t="shared" si="96"/>
        <v>-11.498921402451501</v>
      </c>
      <c r="D106" s="335">
        <f t="shared" si="96"/>
        <v>12.738124636248349</v>
      </c>
      <c r="E106" s="335">
        <f t="shared" si="96"/>
        <v>1.1925747074215565</v>
      </c>
      <c r="F106" s="335">
        <f t="shared" si="97"/>
        <v>4.9033521437371386</v>
      </c>
      <c r="H106" s="335">
        <f t="shared" si="98"/>
        <v>4.9033521437371386</v>
      </c>
      <c r="I106" s="335">
        <f t="shared" si="99"/>
        <v>4.1844852500664054</v>
      </c>
      <c r="J106" s="335">
        <f t="shared" si="100"/>
        <v>7.3557374274936027</v>
      </c>
      <c r="K106" s="30"/>
      <c r="L106" t="str">
        <f t="shared" si="101"/>
        <v>91 Elementary trades and related occupations</v>
      </c>
      <c r="M106" s="335">
        <f t="shared" si="102"/>
        <v>-2.4744582048160102</v>
      </c>
      <c r="N106" s="335">
        <f t="shared" si="102"/>
        <v>-9.2774307545945849</v>
      </c>
      <c r="O106" s="335">
        <f t="shared" si="102"/>
        <v>6.4306625490428981</v>
      </c>
      <c r="P106" s="335">
        <f t="shared" si="102"/>
        <v>0.7444810059903384</v>
      </c>
      <c r="Q106" s="335">
        <f t="shared" si="103"/>
        <v>2.6052929111471057</v>
      </c>
      <c r="S106" s="335">
        <f t="shared" si="104"/>
        <v>2.6052929111471057</v>
      </c>
      <c r="T106" s="335">
        <f t="shared" si="105"/>
        <v>2.5763752488277447</v>
      </c>
      <c r="U106" s="335">
        <f t="shared" si="106"/>
        <v>4.5002290739004636</v>
      </c>
      <c r="W106" t="str">
        <f t="shared" si="107"/>
        <v>91 Elementary trades and related occupations</v>
      </c>
      <c r="X106" s="335">
        <f t="shared" si="108"/>
        <v>-2.9547082232592059</v>
      </c>
      <c r="Y106" s="335">
        <f t="shared" si="108"/>
        <v>-18.898055944021596</v>
      </c>
      <c r="Z106" s="335">
        <f t="shared" si="108"/>
        <v>28.608940648800463</v>
      </c>
      <c r="AA106" s="335">
        <f t="shared" si="108"/>
        <v>1.8105407271306939</v>
      </c>
      <c r="AB106" s="335">
        <f t="shared" si="109"/>
        <v>10.057307301731399</v>
      </c>
      <c r="AD106" s="335">
        <f t="shared" si="110"/>
        <v>10.057307301731399</v>
      </c>
      <c r="AE106" s="335">
        <f t="shared" si="111"/>
        <v>8.2486482851174436</v>
      </c>
      <c r="AF106" s="335">
        <f t="shared" si="112"/>
        <v>13.283149048582166</v>
      </c>
    </row>
    <row r="107" spans="1:32">
      <c r="A107" t="str">
        <f t="shared" si="95"/>
        <v>92 Elementary administration and service occupations</v>
      </c>
      <c r="B107" s="335">
        <f t="shared" si="96"/>
        <v>0.31174551842354514</v>
      </c>
      <c r="C107" s="335">
        <f t="shared" si="96"/>
        <v>-8.5535636144794971</v>
      </c>
      <c r="D107" s="335">
        <f t="shared" si="96"/>
        <v>-1.9644761175126813</v>
      </c>
      <c r="E107" s="335">
        <f t="shared" si="96"/>
        <v>-0.69330970271912484</v>
      </c>
      <c r="F107" s="335">
        <f t="shared" si="97"/>
        <v>-1.1188527477296928</v>
      </c>
      <c r="H107" s="335">
        <f t="shared" si="98"/>
        <v>-1.1188527477296928</v>
      </c>
      <c r="I107" s="335">
        <f t="shared" si="99"/>
        <v>2.4518907531584588</v>
      </c>
      <c r="J107" s="335">
        <f t="shared" si="100"/>
        <v>1.6743455072561586</v>
      </c>
      <c r="K107" s="30"/>
      <c r="L107" t="str">
        <f t="shared" si="101"/>
        <v>92 Elementary administration and service occupations</v>
      </c>
      <c r="M107" s="335">
        <f t="shared" si="102"/>
        <v>-0.55578804216770417</v>
      </c>
      <c r="N107" s="335">
        <f t="shared" si="102"/>
        <v>-5.8240554213154327</v>
      </c>
      <c r="O107" s="335">
        <f t="shared" si="102"/>
        <v>-0.50366735187591383</v>
      </c>
      <c r="P107" s="335">
        <f t="shared" si="102"/>
        <v>-0.66826326991059615</v>
      </c>
      <c r="Q107" s="335">
        <f t="shared" si="103"/>
        <v>-0.61342824056436207</v>
      </c>
      <c r="S107" s="335">
        <f t="shared" si="104"/>
        <v>-0.61342824056436207</v>
      </c>
      <c r="T107" s="335">
        <f t="shared" si="105"/>
        <v>2.2129578599697552</v>
      </c>
      <c r="U107" s="335">
        <f t="shared" si="106"/>
        <v>1.7669477064124806</v>
      </c>
      <c r="W107" t="str">
        <f t="shared" si="107"/>
        <v>92 Elementary administration and service occupations</v>
      </c>
      <c r="X107" s="335">
        <f t="shared" si="108"/>
        <v>1.1431191517831341</v>
      </c>
      <c r="Y107" s="335">
        <f t="shared" si="108"/>
        <v>-11.060828953298129</v>
      </c>
      <c r="Z107" s="335">
        <f t="shared" si="108"/>
        <v>-3.4741152806187392</v>
      </c>
      <c r="AA107" s="335">
        <f t="shared" si="108"/>
        <v>-0.72172663700618145</v>
      </c>
      <c r="AB107" s="335">
        <f t="shared" si="109"/>
        <v>-1.6478011442666807</v>
      </c>
      <c r="AD107" s="335">
        <f t="shared" si="110"/>
        <v>-1.6478011442666807</v>
      </c>
      <c r="AE107" s="335">
        <f t="shared" si="111"/>
        <v>2.6770395516590995</v>
      </c>
      <c r="AF107" s="335">
        <f t="shared" si="112"/>
        <v>1.5831275419424973</v>
      </c>
    </row>
    <row r="108" spans="1:32">
      <c r="C108" s="335"/>
      <c r="F108" s="335"/>
      <c r="H108" s="335"/>
      <c r="I108" s="335"/>
      <c r="J108" s="335"/>
      <c r="N108" s="335"/>
      <c r="Q108" s="335"/>
      <c r="S108" s="335"/>
      <c r="T108" s="335"/>
      <c r="U108" s="335"/>
      <c r="Y108" s="335"/>
      <c r="AB108" s="335"/>
      <c r="AD108" s="335"/>
      <c r="AE108" s="335"/>
      <c r="AF108" s="335"/>
    </row>
    <row r="109" spans="1:32">
      <c r="A109" s="21" t="str">
        <f>A35</f>
        <v>All occupations</v>
      </c>
      <c r="B109" s="336">
        <f>IF(AND(C$6-B$6 &lt;&gt; 0,B35&lt;&gt;0,C35&lt;&gt;0),(EXP(LN(C35/B35)/(C$6-B$6))-1)*100,0)</f>
        <v>1.3311698180238585</v>
      </c>
      <c r="C109" s="336">
        <f>IF(AND(D$6-C$6 &lt;&gt; 0,C35&lt;&gt;0,D35&lt;&gt;0),(EXP(LN(D35/C35)/(D$6-C$6))-1)*100,0)</f>
        <v>-1.1686419909955892</v>
      </c>
      <c r="D109" s="336">
        <f>IF(AND(E$6-D$6 &lt;&gt; 0,D35&lt;&gt;0,E35&lt;&gt;0),(EXP(LN(E35/D35)/(E$6-D$6))-1)*100,0)</f>
        <v>0.59245370532163832</v>
      </c>
      <c r="E109" s="336">
        <f>IF(AND(F$6-E$6 &lt;&gt; 0,E35&lt;&gt;0,F35&lt;&gt;0),(EXP(LN(F35/E35)/(F$6-E$6))-1)*100,0)</f>
        <v>0.41967279423580361</v>
      </c>
      <c r="F109" s="336">
        <f t="shared" ref="F109" si="113">IF(AND(F$6-D$6 &lt;&gt; 0,D35&lt;&gt;0,F35&lt;&gt;0),(EXP(LN(F35/D35)/(F$6-D$6))-1)*100,0)</f>
        <v>0.47723343115717576</v>
      </c>
      <c r="H109" s="336">
        <f>IF($F$6-$D$6 &lt;&gt; 0,(EXP(LN(1+(H72/100))/($F$6-$D$6))-1)*100,0)</f>
        <v>0.47723343115717576</v>
      </c>
      <c r="I109" s="336">
        <f>IF(D35&gt;0,((1+(I35/D35))^(1/($F$6-$D$6))-1)*100,0)</f>
        <v>2.7599190411477625</v>
      </c>
      <c r="J109" s="336">
        <f t="shared" ref="J109" si="114">IF($F$6-$D$6 &lt;&gt; 0,(EXP(LN(1+(J72/100))/($F$6-$D$6))-1)*100,0)</f>
        <v>3.0895188746703939</v>
      </c>
      <c r="L109" s="21" t="str">
        <f>L35</f>
        <v>All occupations</v>
      </c>
      <c r="M109" s="336">
        <f>IF(AND(N$6-M$6 &lt;&gt; 0,M35&lt;&gt;0,N35&lt;&gt;0),(EXP(LN(N35/M35)/(N$6-M$6))-1)*100,0)</f>
        <v>1.1301573635468465</v>
      </c>
      <c r="N109" s="336">
        <f>IF(AND(O$6-N$6 &lt;&gt; 0,N35&lt;&gt;0,O35&lt;&gt;0),(EXP(LN(O35/N35)/(O$6-N$6))-1)*100,0)</f>
        <v>-1.9752975092025893</v>
      </c>
      <c r="O109" s="336">
        <f>IF(AND(P$6-O$6 &lt;&gt; 0,O35&lt;&gt;0,P35&lt;&gt;0),(EXP(LN(P35/O35)/(P$6-O$6))-1)*100,0)</f>
        <v>0.55035003671537464</v>
      </c>
      <c r="P109" s="336">
        <f>IF(AND(Q$6-P$6 &lt;&gt; 0,P35&lt;&gt;0,Q35&lt;&gt;0),(EXP(LN(Q35/P35)/(Q$6-P$6))-1)*100,0)</f>
        <v>0.35463380786957543</v>
      </c>
      <c r="Q109" s="336">
        <f t="shared" ref="Q109" si="115">IF(AND(Q$6-O$6 &lt;&gt; 0,O35&lt;&gt;0,Q35&lt;&gt;0),(EXP(LN(Q35/O35)/(Q$6-O$6))-1)*100,0)</f>
        <v>0.41983018617532952</v>
      </c>
      <c r="S109" s="336">
        <f t="shared" ref="S109" si="116">IF($F$6-$D$6 &lt;&gt; 0,(EXP(LN(1+(S72/100))/($F$6-$D$6))-1)*100,0)</f>
        <v>0.41983018617532952</v>
      </c>
      <c r="T109" s="336">
        <f t="shared" ref="T109" si="117">IF(O35&gt;0,((1+(T35/O35))^(1/($F$6-$D$6))-1)*100,0)</f>
        <v>2.3668025961462114</v>
      </c>
      <c r="U109" s="336">
        <f t="shared" ref="U109" si="118">IF($F$6-$D$6 &lt;&gt; 0,(EXP(LN(1+(U72/100))/($F$6-$D$6))-1)*100,0)</f>
        <v>2.6719905727177418</v>
      </c>
      <c r="W109" s="21" t="str">
        <f>W35</f>
        <v>All occupations</v>
      </c>
      <c r="X109" s="336">
        <f>IF(AND(Y$6-X$6 &lt;&gt; 0,X35&lt;&gt;0,Y35&lt;&gt;0),(EXP(LN(Y35/X35)/(Y$6-X$6))-1)*100,0)</f>
        <v>1.5535910225281668</v>
      </c>
      <c r="Y109" s="336">
        <f>IF(AND(Z$6-Y$6 &lt;&gt; 0,Y35&lt;&gt;0,Z35&lt;&gt;0),(EXP(LN(Z35/Y35)/(Z$6-Y$6))-1)*100,0)</f>
        <v>-0.28534843837820789</v>
      </c>
      <c r="Z109" s="336">
        <f>IF(AND(AA$6-Z$6 &lt;&gt; 0,Z35&lt;&gt;0,AA35&lt;&gt;0),(EXP(LN(AA35/Z35)/(AA$6-Z$6))-1)*100,0)</f>
        <v>0.63769752103508548</v>
      </c>
      <c r="AA109" s="336">
        <f>IF(AND(AB$6-AA$6 &lt;&gt; 0,AA35&lt;&gt;0,AB35&lt;&gt;0),(EXP(LN(AB35/AA35)/(AB$6-AA$6))-1)*100,0)</f>
        <v>0.48896229887560594</v>
      </c>
      <c r="AB109" s="336">
        <f t="shared" ref="AB109" si="119">IF(AND(AB$6-Z$6 &lt;&gt; 0,Z35&lt;&gt;0,AB35&lt;&gt;0),(EXP(LN(AB35/Z35)/(AB$6-Z$6))-1)*100,0)</f>
        <v>0.53851626577410272</v>
      </c>
      <c r="AD109" s="336">
        <f t="shared" ref="AD109" si="120">IF($F$6-$D$6 &lt;&gt; 0,(EXP(LN(1+(AD72/100))/($F$6-$D$6))-1)*100,0)</f>
        <v>0.53851626577410272</v>
      </c>
      <c r="AE109" s="336">
        <f t="shared" ref="AE109" si="121">IF(Z35&gt;0,((1+(AE35/Z35))^(1/($F$6-$D$6))-1)*100,0)</f>
        <v>3.1608075929145274</v>
      </c>
      <c r="AF109" s="336">
        <f t="shared" ref="AF109" si="122">IF($F$6-$D$6 &lt;&gt; 0,(EXP(LN(1+(AF72/100))/($F$6-$D$6))-1)*100,0)</f>
        <v>3.5139901223437242</v>
      </c>
    </row>
    <row r="112" spans="1:32" ht="15.6">
      <c r="A112" s="17" t="str">
        <f>CONCATENATE(A$1," (Continued)")</f>
        <v>Occupation Table 2  Employment Change by Occupation (SOC 2020) and Replacement Demand, 2015-2035, England (Continued)</v>
      </c>
      <c r="L112" s="17" t="str">
        <f>CONCATENATE(L$1," (Continued)")</f>
        <v>Occupation Table 2.1  Males: Employment Change by Occupation (SOC 2020) and Replacement Demand, 2015-2035, England (Continued)</v>
      </c>
      <c r="W112" s="17" t="str">
        <f>CONCATENATE(W$1," (Continued)")</f>
        <v>Occupation Table 2.2  Females: Employment Change by Occupation (SOC 2020) and Replacement Demand, 2015-2035, England (Continued)</v>
      </c>
    </row>
    <row r="114" spans="1:28">
      <c r="F114" s="15" t="s">
        <v>114</v>
      </c>
      <c r="Q114" s="15" t="s">
        <v>114</v>
      </c>
      <c r="AB114" s="15" t="s">
        <v>114</v>
      </c>
    </row>
    <row r="115" spans="1:28">
      <c r="A115" s="28"/>
      <c r="B115" s="28"/>
      <c r="C115" s="28"/>
      <c r="D115" s="28"/>
      <c r="E115" s="28"/>
      <c r="F115" s="28"/>
      <c r="L115" s="28"/>
      <c r="M115" s="28"/>
      <c r="N115" s="28"/>
      <c r="O115" s="28"/>
      <c r="P115" s="28"/>
      <c r="Q115" s="28"/>
      <c r="W115" s="28"/>
      <c r="X115" s="28"/>
      <c r="Y115" s="28"/>
      <c r="Z115" s="28"/>
      <c r="AA115" s="28"/>
      <c r="AB115" s="28"/>
    </row>
    <row r="117" spans="1:28" ht="12.95">
      <c r="A117" s="31" t="s">
        <v>126</v>
      </c>
      <c r="B117" s="51" t="str">
        <f>CONCATENATE(B$6,"-",C$6)</f>
        <v>2015-2019</v>
      </c>
      <c r="C117" s="51" t="str">
        <f>CONCATENATE(C$6,"-",D$6)</f>
        <v>2019-2020</v>
      </c>
      <c r="D117" s="51" t="str">
        <f>CONCATENATE(D$6,"-",E$6)</f>
        <v>2020-2025</v>
      </c>
      <c r="E117" s="51" t="str">
        <f>CONCATENATE(E$6,"-",F$6)</f>
        <v>2025-2035</v>
      </c>
      <c r="F117" s="51" t="str">
        <f>CONCATENATE(D$6,"-",F$6)</f>
        <v>2020-2035</v>
      </c>
      <c r="L117" s="31" t="s">
        <v>126</v>
      </c>
      <c r="M117" s="51" t="str">
        <f>CONCATENATE(M$6,"-",N$6)</f>
        <v>2015-2019</v>
      </c>
      <c r="N117" s="51" t="str">
        <f>CONCATENATE(N$6,"-",O$6)</f>
        <v>2019-2020</v>
      </c>
      <c r="O117" s="51" t="str">
        <f>CONCATENATE(O$6,"-",P$6)</f>
        <v>2020-2025</v>
      </c>
      <c r="P117" s="51" t="str">
        <f>CONCATENATE(P$6,"-",Q$6)</f>
        <v>2025-2035</v>
      </c>
      <c r="Q117" s="51" t="str">
        <f>CONCATENATE(O$6,"-",Q$6)</f>
        <v>2020-2035</v>
      </c>
      <c r="W117" s="31" t="s">
        <v>126</v>
      </c>
      <c r="X117" s="51" t="str">
        <f>CONCATENATE(X$6,"-",Y$6)</f>
        <v>2015-2019</v>
      </c>
      <c r="Y117" s="51" t="str">
        <f>CONCATENATE(Y$6,"-",Z$6)</f>
        <v>2019-2020</v>
      </c>
      <c r="Z117" s="51" t="str">
        <f>CONCATENATE(Z$6,"-",AA$6)</f>
        <v>2020-2025</v>
      </c>
      <c r="AA117" s="51" t="str">
        <f>CONCATENATE(AA$6,"-",AB$6)</f>
        <v>2025-2035</v>
      </c>
      <c r="AB117" s="51" t="str">
        <f>CONCATENATE(Z$6,"-",AB$6)</f>
        <v>2020-2035</v>
      </c>
    </row>
    <row r="118" spans="1:28" ht="12.95">
      <c r="B118" s="18"/>
      <c r="C118" s="18"/>
      <c r="D118" s="18"/>
      <c r="E118" s="18"/>
      <c r="F118" s="18"/>
      <c r="M118" s="18"/>
      <c r="N118" s="18"/>
      <c r="O118" s="18"/>
      <c r="P118" s="18"/>
      <c r="Q118" s="18"/>
      <c r="X118" s="18"/>
      <c r="Y118" s="18"/>
      <c r="Z118" s="18"/>
      <c r="AA118" s="18"/>
      <c r="AB118" s="18"/>
    </row>
    <row r="119" spans="1:28">
      <c r="A119" t="str">
        <f t="shared" ref="A119:A144" si="123">A8</f>
        <v>11 Corporate managers and directors</v>
      </c>
      <c r="B119" s="225">
        <f t="shared" ref="B119:E144" si="124">C8-B8</f>
        <v>353.00983694221691</v>
      </c>
      <c r="C119" s="225">
        <f t="shared" si="124"/>
        <v>55.296628422686354</v>
      </c>
      <c r="D119" s="225">
        <f t="shared" si="124"/>
        <v>-202.43800422098138</v>
      </c>
      <c r="E119" s="225">
        <f t="shared" si="124"/>
        <v>178.42396113883251</v>
      </c>
      <c r="F119" s="225">
        <f t="shared" ref="F119:F144" si="125">F8-D8</f>
        <v>-24.014043082148874</v>
      </c>
      <c r="L119" t="str">
        <f t="shared" ref="L119:L144" si="126">L8</f>
        <v>11 Corporate managers and directors</v>
      </c>
      <c r="M119" s="225">
        <f t="shared" ref="M119:P144" si="127">N8-M8</f>
        <v>184.37501068257643</v>
      </c>
      <c r="N119" s="225">
        <f t="shared" si="127"/>
        <v>20.383166053132527</v>
      </c>
      <c r="O119" s="225">
        <f t="shared" si="127"/>
        <v>-196.06953982389905</v>
      </c>
      <c r="P119" s="225">
        <f t="shared" si="127"/>
        <v>50.331418527812957</v>
      </c>
      <c r="Q119" s="225">
        <f t="shared" ref="Q119:Q144" si="128">Q8-O8</f>
        <v>-145.73812129608609</v>
      </c>
      <c r="W119" t="str">
        <f t="shared" ref="W119:W144" si="129">W8</f>
        <v>11 Corporate managers and directors</v>
      </c>
      <c r="X119" s="225">
        <f t="shared" ref="X119:AA144" si="130">Y8-X8</f>
        <v>168.63482625964309</v>
      </c>
      <c r="Y119" s="225">
        <f t="shared" si="130"/>
        <v>34.913462369553031</v>
      </c>
      <c r="Z119" s="225">
        <f t="shared" si="130"/>
        <v>-6.3684643970816524</v>
      </c>
      <c r="AA119" s="225">
        <f t="shared" si="130"/>
        <v>128.09254261101728</v>
      </c>
      <c r="AB119" s="225">
        <f t="shared" ref="AB119:AB144" si="131">AB8-Z8</f>
        <v>121.72407821393563</v>
      </c>
    </row>
    <row r="120" spans="1:28">
      <c r="A120" t="str">
        <f t="shared" si="123"/>
        <v>12 Other managers and proprietors</v>
      </c>
      <c r="B120" s="225">
        <f t="shared" si="124"/>
        <v>65.822899626356616</v>
      </c>
      <c r="C120" s="225">
        <f t="shared" si="124"/>
        <v>10.429428139095421</v>
      </c>
      <c r="D120" s="225">
        <f t="shared" si="124"/>
        <v>42.37115369799983</v>
      </c>
      <c r="E120" s="225">
        <f t="shared" si="124"/>
        <v>126.50235178710523</v>
      </c>
      <c r="F120" s="225">
        <f t="shared" si="125"/>
        <v>168.87350548510506</v>
      </c>
      <c r="L120" t="str">
        <f t="shared" si="126"/>
        <v>12 Other managers and proprietors</v>
      </c>
      <c r="M120" s="225">
        <f t="shared" si="127"/>
        <v>32.678984029146704</v>
      </c>
      <c r="N120" s="225">
        <f t="shared" si="127"/>
        <v>-12.761777426299432</v>
      </c>
      <c r="O120" s="225">
        <f t="shared" si="127"/>
        <v>74.764386335661925</v>
      </c>
      <c r="P120" s="225">
        <f t="shared" si="127"/>
        <v>81.587447965007186</v>
      </c>
      <c r="Q120" s="225">
        <f t="shared" si="128"/>
        <v>156.35183430066911</v>
      </c>
      <c r="W120" t="str">
        <f t="shared" si="129"/>
        <v>12 Other managers and proprietors</v>
      </c>
      <c r="X120" s="225">
        <f t="shared" si="130"/>
        <v>33.143915597206899</v>
      </c>
      <c r="Y120" s="225">
        <f t="shared" si="130"/>
        <v>23.191205565395308</v>
      </c>
      <c r="Z120" s="225">
        <f t="shared" si="130"/>
        <v>-32.393232637663289</v>
      </c>
      <c r="AA120" s="225">
        <f t="shared" si="130"/>
        <v>44.914903822100882</v>
      </c>
      <c r="AB120" s="225">
        <f t="shared" si="131"/>
        <v>12.521671184437594</v>
      </c>
    </row>
    <row r="121" spans="1:28">
      <c r="A121" t="str">
        <f t="shared" si="123"/>
        <v>21 Science, research, engineering and technology professionals</v>
      </c>
      <c r="B121" s="225">
        <f t="shared" si="124"/>
        <v>239.1904957600691</v>
      </c>
      <c r="C121" s="225">
        <f t="shared" si="124"/>
        <v>73.801641275329985</v>
      </c>
      <c r="D121" s="225">
        <f t="shared" si="124"/>
        <v>453.67964617696362</v>
      </c>
      <c r="E121" s="225">
        <f t="shared" si="124"/>
        <v>329.62312723147988</v>
      </c>
      <c r="F121" s="225">
        <f t="shared" si="125"/>
        <v>783.3027734084435</v>
      </c>
      <c r="L121" t="str">
        <f t="shared" si="126"/>
        <v>21 Science, research, engineering and technology professionals</v>
      </c>
      <c r="M121" s="225">
        <f t="shared" si="127"/>
        <v>203.79019979411441</v>
      </c>
      <c r="N121" s="225">
        <f t="shared" si="127"/>
        <v>-6.956954893402326</v>
      </c>
      <c r="O121" s="225">
        <f t="shared" si="127"/>
        <v>291.14661402469437</v>
      </c>
      <c r="P121" s="225">
        <f t="shared" si="127"/>
        <v>201.99854728496825</v>
      </c>
      <c r="Q121" s="225">
        <f t="shared" si="128"/>
        <v>493.14516130966263</v>
      </c>
      <c r="W121" t="str">
        <f t="shared" si="129"/>
        <v>21 Science, research, engineering and technology professionals</v>
      </c>
      <c r="X121" s="225">
        <f t="shared" si="130"/>
        <v>35.400295965958037</v>
      </c>
      <c r="Y121" s="225">
        <f t="shared" si="130"/>
        <v>80.758596168724068</v>
      </c>
      <c r="Z121" s="225">
        <f t="shared" si="130"/>
        <v>162.53303215226703</v>
      </c>
      <c r="AA121" s="225">
        <f t="shared" si="130"/>
        <v>127.62457994651652</v>
      </c>
      <c r="AB121" s="225">
        <f t="shared" si="131"/>
        <v>290.15761209878355</v>
      </c>
    </row>
    <row r="122" spans="1:28">
      <c r="A122" t="str">
        <f t="shared" si="123"/>
        <v>22 Health professionals</v>
      </c>
      <c r="B122" s="225">
        <f t="shared" si="124"/>
        <v>185.21382389385326</v>
      </c>
      <c r="C122" s="225">
        <f t="shared" si="124"/>
        <v>1.2761528172679846</v>
      </c>
      <c r="D122" s="225">
        <f t="shared" si="124"/>
        <v>-13.883877232077111</v>
      </c>
      <c r="E122" s="225">
        <f t="shared" si="124"/>
        <v>94.740602369959788</v>
      </c>
      <c r="F122" s="225">
        <f t="shared" si="125"/>
        <v>80.856725137882677</v>
      </c>
      <c r="L122" t="str">
        <f t="shared" si="126"/>
        <v>22 Health professionals</v>
      </c>
      <c r="M122" s="225">
        <f t="shared" si="127"/>
        <v>43.160101781210017</v>
      </c>
      <c r="N122" s="225">
        <f t="shared" si="127"/>
        <v>33.164953097832324</v>
      </c>
      <c r="O122" s="225">
        <f t="shared" si="127"/>
        <v>-1.3558087627406508</v>
      </c>
      <c r="P122" s="225">
        <f t="shared" si="127"/>
        <v>27.543226757285936</v>
      </c>
      <c r="Q122" s="225">
        <f t="shared" si="128"/>
        <v>26.187417994545285</v>
      </c>
      <c r="W122" t="str">
        <f t="shared" si="129"/>
        <v>22 Health professionals</v>
      </c>
      <c r="X122" s="225">
        <f t="shared" si="130"/>
        <v>142.05372211264296</v>
      </c>
      <c r="Y122" s="225">
        <f t="shared" si="130"/>
        <v>-31.888800280566215</v>
      </c>
      <c r="Z122" s="225">
        <f t="shared" si="130"/>
        <v>-12.528068469336176</v>
      </c>
      <c r="AA122" s="225">
        <f t="shared" si="130"/>
        <v>67.197375612674819</v>
      </c>
      <c r="AB122" s="225">
        <f t="shared" si="131"/>
        <v>54.669307143338642</v>
      </c>
    </row>
    <row r="123" spans="1:28">
      <c r="A123" t="str">
        <f t="shared" si="123"/>
        <v>23 Teaching and other educational professionals</v>
      </c>
      <c r="B123" s="225">
        <f t="shared" si="124"/>
        <v>79.489847359557189</v>
      </c>
      <c r="C123" s="225">
        <f t="shared" si="124"/>
        <v>62.394080146582382</v>
      </c>
      <c r="D123" s="225">
        <f t="shared" si="124"/>
        <v>-26.862699580736944</v>
      </c>
      <c r="E123" s="225">
        <f t="shared" si="124"/>
        <v>109.6507087962641</v>
      </c>
      <c r="F123" s="225">
        <f t="shared" si="125"/>
        <v>82.788009215527154</v>
      </c>
      <c r="L123" t="str">
        <f t="shared" si="126"/>
        <v>23 Teaching and other educational professionals</v>
      </c>
      <c r="M123" s="225">
        <f t="shared" si="127"/>
        <v>-1.8569792433138446</v>
      </c>
      <c r="N123" s="225">
        <f t="shared" si="127"/>
        <v>23.905245159052185</v>
      </c>
      <c r="O123" s="225">
        <f t="shared" si="127"/>
        <v>9.0202505115279905</v>
      </c>
      <c r="P123" s="225">
        <f t="shared" si="127"/>
        <v>30.997916360745592</v>
      </c>
      <c r="Q123" s="225">
        <f t="shared" si="128"/>
        <v>40.018166872273582</v>
      </c>
      <c r="W123" t="str">
        <f t="shared" si="129"/>
        <v>23 Teaching and other educational professionals</v>
      </c>
      <c r="X123" s="225">
        <f t="shared" si="130"/>
        <v>81.346826602880924</v>
      </c>
      <c r="Y123" s="225">
        <f t="shared" si="130"/>
        <v>38.48883498752366</v>
      </c>
      <c r="Z123" s="225">
        <f t="shared" si="130"/>
        <v>-35.882950092266356</v>
      </c>
      <c r="AA123" s="225">
        <f t="shared" si="130"/>
        <v>78.652792435521746</v>
      </c>
      <c r="AB123" s="225">
        <f t="shared" si="131"/>
        <v>42.769842343255391</v>
      </c>
    </row>
    <row r="124" spans="1:28">
      <c r="A124" t="str">
        <f t="shared" si="123"/>
        <v>24 Business, media and public service professionals</v>
      </c>
      <c r="B124" s="225">
        <f t="shared" si="124"/>
        <v>329.03766500864776</v>
      </c>
      <c r="C124" s="225">
        <f t="shared" si="124"/>
        <v>168.73134768265163</v>
      </c>
      <c r="D124" s="225">
        <f t="shared" si="124"/>
        <v>132.78892474624399</v>
      </c>
      <c r="E124" s="225">
        <f t="shared" si="124"/>
        <v>255.04330008484294</v>
      </c>
      <c r="F124" s="225">
        <f t="shared" si="125"/>
        <v>387.83222483108693</v>
      </c>
      <c r="L124" t="str">
        <f t="shared" si="126"/>
        <v>24 Business, media and public service professionals</v>
      </c>
      <c r="M124" s="225">
        <f t="shared" si="127"/>
        <v>147.06419873542768</v>
      </c>
      <c r="N124" s="225">
        <f t="shared" si="127"/>
        <v>70.594796555541507</v>
      </c>
      <c r="O124" s="225">
        <f t="shared" si="127"/>
        <v>82.692773116759554</v>
      </c>
      <c r="P124" s="225">
        <f t="shared" si="127"/>
        <v>103.78489998342866</v>
      </c>
      <c r="Q124" s="225">
        <f t="shared" si="128"/>
        <v>186.47767310018821</v>
      </c>
      <c r="W124" t="str">
        <f t="shared" si="129"/>
        <v>24 Business, media and public service professionals</v>
      </c>
      <c r="X124" s="225">
        <f t="shared" si="130"/>
        <v>181.97346627321758</v>
      </c>
      <c r="Y124" s="225">
        <f t="shared" si="130"/>
        <v>98.136551127105804</v>
      </c>
      <c r="Z124" s="225">
        <f t="shared" si="130"/>
        <v>50.096151629503083</v>
      </c>
      <c r="AA124" s="225">
        <f t="shared" si="130"/>
        <v>151.25840010139814</v>
      </c>
      <c r="AB124" s="225">
        <f t="shared" si="131"/>
        <v>201.35455173090122</v>
      </c>
    </row>
    <row r="125" spans="1:28">
      <c r="A125" t="str">
        <f t="shared" si="123"/>
        <v>31 Science, engineering and technology associate professionals</v>
      </c>
      <c r="B125" s="225">
        <f t="shared" si="124"/>
        <v>82.54386373811883</v>
      </c>
      <c r="C125" s="225">
        <f t="shared" si="124"/>
        <v>42.58081125366607</v>
      </c>
      <c r="D125" s="225">
        <f t="shared" si="124"/>
        <v>-30.981618953428097</v>
      </c>
      <c r="E125" s="225">
        <f t="shared" si="124"/>
        <v>46.906665197710936</v>
      </c>
      <c r="F125" s="225">
        <f t="shared" si="125"/>
        <v>15.925046244282839</v>
      </c>
      <c r="L125" t="str">
        <f t="shared" si="126"/>
        <v>31 Science, engineering and technology associate professionals</v>
      </c>
      <c r="M125" s="225">
        <f t="shared" si="127"/>
        <v>74.196371194515564</v>
      </c>
      <c r="N125" s="225">
        <f t="shared" si="127"/>
        <v>13.989405487490103</v>
      </c>
      <c r="O125" s="225">
        <f t="shared" si="127"/>
        <v>-44.034410264968642</v>
      </c>
      <c r="P125" s="225">
        <f t="shared" si="127"/>
        <v>14.746299011041799</v>
      </c>
      <c r="Q125" s="225">
        <f t="shared" si="128"/>
        <v>-29.288111253926843</v>
      </c>
      <c r="W125" t="str">
        <f t="shared" si="129"/>
        <v>31 Science, engineering and technology associate professionals</v>
      </c>
      <c r="X125" s="225">
        <f t="shared" si="130"/>
        <v>8.3474925436024705</v>
      </c>
      <c r="Y125" s="225">
        <f t="shared" si="130"/>
        <v>28.591405766176536</v>
      </c>
      <c r="Z125" s="225">
        <f t="shared" si="130"/>
        <v>13.052791311539465</v>
      </c>
      <c r="AA125" s="225">
        <f t="shared" si="130"/>
        <v>32.160366186669989</v>
      </c>
      <c r="AB125" s="225">
        <f t="shared" si="131"/>
        <v>45.213157498209455</v>
      </c>
    </row>
    <row r="126" spans="1:28">
      <c r="A126" t="str">
        <f t="shared" si="123"/>
        <v>32 Health and social care associate professionals</v>
      </c>
      <c r="B126" s="225">
        <f t="shared" si="124"/>
        <v>62.821878376018049</v>
      </c>
      <c r="C126" s="225">
        <f t="shared" si="124"/>
        <v>11.352420254426079</v>
      </c>
      <c r="D126" s="225">
        <f t="shared" si="124"/>
        <v>329.76757569342499</v>
      </c>
      <c r="E126" s="225">
        <f t="shared" si="124"/>
        <v>158.260239148349</v>
      </c>
      <c r="F126" s="225">
        <f t="shared" si="125"/>
        <v>488.02781484177399</v>
      </c>
      <c r="L126" t="str">
        <f t="shared" si="126"/>
        <v>32 Health and social care associate professionals</v>
      </c>
      <c r="M126" s="225">
        <f t="shared" si="127"/>
        <v>4.0919637327264837</v>
      </c>
      <c r="N126" s="225">
        <f t="shared" si="127"/>
        <v>11.085057554405125</v>
      </c>
      <c r="O126" s="225">
        <f t="shared" si="127"/>
        <v>43.796604727667784</v>
      </c>
      <c r="P126" s="225">
        <f t="shared" si="127"/>
        <v>21.660295385930368</v>
      </c>
      <c r="Q126" s="225">
        <f t="shared" si="128"/>
        <v>65.456900113598152</v>
      </c>
      <c r="W126" t="str">
        <f t="shared" si="129"/>
        <v>32 Health and social care associate professionals</v>
      </c>
      <c r="X126" s="225">
        <f t="shared" si="130"/>
        <v>58.729914643291863</v>
      </c>
      <c r="Y126" s="225">
        <f t="shared" si="130"/>
        <v>0.26736270002010087</v>
      </c>
      <c r="Z126" s="225">
        <f t="shared" si="130"/>
        <v>285.97097096575686</v>
      </c>
      <c r="AA126" s="225">
        <f t="shared" si="130"/>
        <v>136.59994376241787</v>
      </c>
      <c r="AB126" s="225">
        <f t="shared" si="131"/>
        <v>422.57091472817473</v>
      </c>
    </row>
    <row r="127" spans="1:28">
      <c r="A127" t="str">
        <f t="shared" si="123"/>
        <v>33 Protective service occupations</v>
      </c>
      <c r="B127" s="225">
        <f t="shared" si="124"/>
        <v>8.3043972201925271</v>
      </c>
      <c r="C127" s="225">
        <f t="shared" si="124"/>
        <v>18.019154863208485</v>
      </c>
      <c r="D127" s="225">
        <f t="shared" si="124"/>
        <v>-47.643963181016034</v>
      </c>
      <c r="E127" s="225">
        <f t="shared" si="124"/>
        <v>20.828157066531617</v>
      </c>
      <c r="F127" s="225">
        <f t="shared" si="125"/>
        <v>-26.815806114484417</v>
      </c>
      <c r="L127" t="str">
        <f t="shared" si="126"/>
        <v>33 Protective service occupations</v>
      </c>
      <c r="M127" s="225">
        <f t="shared" si="127"/>
        <v>0.49047968375495543</v>
      </c>
      <c r="N127" s="225">
        <f t="shared" si="127"/>
        <v>9.5862917258946254</v>
      </c>
      <c r="O127" s="225">
        <f t="shared" si="127"/>
        <v>-39.345105199049954</v>
      </c>
      <c r="P127" s="225">
        <f t="shared" si="127"/>
        <v>-1.1951085833894979</v>
      </c>
      <c r="Q127" s="225">
        <f t="shared" si="128"/>
        <v>-40.540213782439452</v>
      </c>
      <c r="W127" t="str">
        <f t="shared" si="129"/>
        <v>33 Protective service occupations</v>
      </c>
      <c r="X127" s="225">
        <f t="shared" si="130"/>
        <v>7.8139175364404849</v>
      </c>
      <c r="Y127" s="225">
        <f t="shared" si="130"/>
        <v>8.4328631373103775</v>
      </c>
      <c r="Z127" s="225">
        <f t="shared" si="130"/>
        <v>-8.2988579819654404</v>
      </c>
      <c r="AA127" s="225">
        <f t="shared" si="130"/>
        <v>22.023265649920916</v>
      </c>
      <c r="AB127" s="225">
        <f t="shared" si="131"/>
        <v>13.724407667955475</v>
      </c>
    </row>
    <row r="128" spans="1:28">
      <c r="A128" t="str">
        <f t="shared" si="123"/>
        <v>34 Culture, media and sports occupations</v>
      </c>
      <c r="B128" s="225">
        <f t="shared" si="124"/>
        <v>8.4491988596937517E-3</v>
      </c>
      <c r="C128" s="225">
        <f t="shared" si="124"/>
        <v>53.590037069688606</v>
      </c>
      <c r="D128" s="225">
        <f t="shared" si="124"/>
        <v>-58.753877151291363</v>
      </c>
      <c r="E128" s="225">
        <f t="shared" si="124"/>
        <v>56.40255585115176</v>
      </c>
      <c r="F128" s="225">
        <f t="shared" si="125"/>
        <v>-2.3513213001396025</v>
      </c>
      <c r="L128" t="str">
        <f t="shared" si="126"/>
        <v>34 Culture, media and sports occupations</v>
      </c>
      <c r="M128" s="225">
        <f t="shared" si="127"/>
        <v>-6.3347421424184631</v>
      </c>
      <c r="N128" s="225">
        <f t="shared" si="127"/>
        <v>10.308687470671657</v>
      </c>
      <c r="O128" s="225">
        <f t="shared" si="127"/>
        <v>-37.794280316562606</v>
      </c>
      <c r="P128" s="225">
        <f t="shared" si="127"/>
        <v>25.024752537918062</v>
      </c>
      <c r="Q128" s="225">
        <f t="shared" si="128"/>
        <v>-12.769527778644544</v>
      </c>
      <c r="W128" t="str">
        <f t="shared" si="129"/>
        <v>34 Culture, media and sports occupations</v>
      </c>
      <c r="X128" s="225">
        <f t="shared" si="130"/>
        <v>6.3431913412779295</v>
      </c>
      <c r="Y128" s="225">
        <f t="shared" si="130"/>
        <v>43.28134959901638</v>
      </c>
      <c r="Z128" s="225">
        <f t="shared" si="130"/>
        <v>-20.95959683472887</v>
      </c>
      <c r="AA128" s="225">
        <f t="shared" si="130"/>
        <v>31.377803313234551</v>
      </c>
      <c r="AB128" s="225">
        <f t="shared" si="131"/>
        <v>10.418206478505681</v>
      </c>
    </row>
    <row r="129" spans="1:28">
      <c r="A129" t="str">
        <f t="shared" si="123"/>
        <v>35 Business and public service associate professionals</v>
      </c>
      <c r="B129" s="225">
        <f t="shared" si="124"/>
        <v>139.53245084516971</v>
      </c>
      <c r="C129" s="225">
        <f t="shared" si="124"/>
        <v>56.687595928661494</v>
      </c>
      <c r="D129" s="225">
        <f t="shared" si="124"/>
        <v>34.264069121634293</v>
      </c>
      <c r="E129" s="225">
        <f t="shared" si="124"/>
        <v>115.56647022588709</v>
      </c>
      <c r="F129" s="225">
        <f t="shared" si="125"/>
        <v>149.83053934752138</v>
      </c>
      <c r="L129" t="str">
        <f t="shared" si="126"/>
        <v>35 Business and public service associate professionals</v>
      </c>
      <c r="M129" s="225">
        <f t="shared" si="127"/>
        <v>52.487909932785669</v>
      </c>
      <c r="N129" s="225">
        <f t="shared" si="127"/>
        <v>35.104785417175322</v>
      </c>
      <c r="O129" s="225">
        <f t="shared" si="127"/>
        <v>4.4422066562617601</v>
      </c>
      <c r="P129" s="225">
        <f t="shared" si="127"/>
        <v>22.693315530805194</v>
      </c>
      <c r="Q129" s="225">
        <f t="shared" si="128"/>
        <v>27.135522187066954</v>
      </c>
      <c r="W129" t="str">
        <f t="shared" si="129"/>
        <v>35 Business and public service associate professionals</v>
      </c>
      <c r="X129" s="225">
        <f t="shared" si="130"/>
        <v>87.044540912382899</v>
      </c>
      <c r="Y129" s="225">
        <f t="shared" si="130"/>
        <v>21.582810511491402</v>
      </c>
      <c r="Z129" s="225">
        <f t="shared" si="130"/>
        <v>29.821862465379922</v>
      </c>
      <c r="AA129" s="225">
        <f t="shared" si="130"/>
        <v>92.873154695078142</v>
      </c>
      <c r="AB129" s="225">
        <f t="shared" si="131"/>
        <v>122.69501716045806</v>
      </c>
    </row>
    <row r="130" spans="1:28">
      <c r="A130" t="str">
        <f t="shared" si="123"/>
        <v>41 Administrative occupations</v>
      </c>
      <c r="B130" s="225">
        <f t="shared" si="124"/>
        <v>-36.717189050939396</v>
      </c>
      <c r="C130" s="225">
        <f t="shared" si="124"/>
        <v>95.167327541589657</v>
      </c>
      <c r="D130" s="225">
        <f t="shared" si="124"/>
        <v>88.613256053637542</v>
      </c>
      <c r="E130" s="225">
        <f t="shared" si="124"/>
        <v>-48.372716276534902</v>
      </c>
      <c r="F130" s="225">
        <f t="shared" si="125"/>
        <v>40.24053977710264</v>
      </c>
      <c r="L130" t="str">
        <f t="shared" si="126"/>
        <v>41 Administrative occupations</v>
      </c>
      <c r="M130" s="225">
        <f t="shared" si="127"/>
        <v>-32.977677404332553</v>
      </c>
      <c r="N130" s="225">
        <f t="shared" si="127"/>
        <v>123.59395486619883</v>
      </c>
      <c r="O130" s="225">
        <f t="shared" si="127"/>
        <v>56.423410741045586</v>
      </c>
      <c r="P130" s="225">
        <f t="shared" si="127"/>
        <v>90.243950688258451</v>
      </c>
      <c r="Q130" s="225">
        <f t="shared" si="128"/>
        <v>146.66736142930404</v>
      </c>
      <c r="W130" t="str">
        <f t="shared" si="129"/>
        <v>41 Administrative occupations</v>
      </c>
      <c r="X130" s="225">
        <f t="shared" si="130"/>
        <v>-3.7395116466061609</v>
      </c>
      <c r="Y130" s="225">
        <f t="shared" si="130"/>
        <v>-28.426627324606216</v>
      </c>
      <c r="Z130" s="225">
        <f t="shared" si="130"/>
        <v>32.189845312597299</v>
      </c>
      <c r="AA130" s="225">
        <f t="shared" si="130"/>
        <v>-138.61666696479642</v>
      </c>
      <c r="AB130" s="225">
        <f t="shared" si="131"/>
        <v>-106.42682165219912</v>
      </c>
    </row>
    <row r="131" spans="1:28">
      <c r="A131" t="str">
        <f t="shared" si="123"/>
        <v>42 Secretarial and related occupations</v>
      </c>
      <c r="B131" s="225">
        <f t="shared" si="124"/>
        <v>-51.869945605195198</v>
      </c>
      <c r="C131" s="225">
        <f t="shared" si="124"/>
        <v>-16.467464901828407</v>
      </c>
      <c r="D131" s="225">
        <f t="shared" si="124"/>
        <v>-44.689322547738016</v>
      </c>
      <c r="E131" s="225">
        <f t="shared" si="124"/>
        <v>-128.83349254009909</v>
      </c>
      <c r="F131" s="225">
        <f t="shared" si="125"/>
        <v>-173.5228150878371</v>
      </c>
      <c r="L131" t="str">
        <f t="shared" si="126"/>
        <v>42 Secretarial and related occupations</v>
      </c>
      <c r="M131" s="225">
        <f t="shared" si="127"/>
        <v>-9.8693491216063833</v>
      </c>
      <c r="N131" s="225">
        <f t="shared" si="127"/>
        <v>-0.52237557538767732</v>
      </c>
      <c r="O131" s="225">
        <f t="shared" si="127"/>
        <v>-3.1304780788592836</v>
      </c>
      <c r="P131" s="225">
        <f t="shared" si="127"/>
        <v>5.3801912548080466</v>
      </c>
      <c r="Q131" s="225">
        <f t="shared" si="128"/>
        <v>2.249713175948763</v>
      </c>
      <c r="W131" t="str">
        <f t="shared" si="129"/>
        <v>42 Secretarial and related occupations</v>
      </c>
      <c r="X131" s="225">
        <f t="shared" si="130"/>
        <v>-42.000596483588765</v>
      </c>
      <c r="Y131" s="225">
        <f t="shared" si="130"/>
        <v>-15.945089326439984</v>
      </c>
      <c r="Z131" s="225">
        <f t="shared" si="130"/>
        <v>-41.55884446887967</v>
      </c>
      <c r="AA131" s="225">
        <f t="shared" si="130"/>
        <v>-134.21368379490707</v>
      </c>
      <c r="AB131" s="225">
        <f t="shared" si="131"/>
        <v>-175.77252826378674</v>
      </c>
    </row>
    <row r="132" spans="1:28">
      <c r="A132" t="str">
        <f t="shared" si="123"/>
        <v>51 Skilled agricultural and related trades</v>
      </c>
      <c r="B132" s="225">
        <f t="shared" si="124"/>
        <v>3.4291880284059175</v>
      </c>
      <c r="C132" s="225">
        <f t="shared" si="124"/>
        <v>-30.300808462347447</v>
      </c>
      <c r="D132" s="225">
        <f t="shared" si="124"/>
        <v>-2.5294769895259606</v>
      </c>
      <c r="E132" s="225">
        <f t="shared" si="124"/>
        <v>28.580404054239636</v>
      </c>
      <c r="F132" s="225">
        <f t="shared" si="125"/>
        <v>26.050927064713676</v>
      </c>
      <c r="L132" t="str">
        <f t="shared" si="126"/>
        <v>51 Skilled agricultural and related trades</v>
      </c>
      <c r="M132" s="225">
        <f t="shared" si="127"/>
        <v>1.6650238026197712</v>
      </c>
      <c r="N132" s="225">
        <f t="shared" si="127"/>
        <v>-35.323394316523689</v>
      </c>
      <c r="O132" s="225">
        <f t="shared" si="127"/>
        <v>-5.7935688634598534</v>
      </c>
      <c r="P132" s="225">
        <f t="shared" si="127"/>
        <v>15.053078953817277</v>
      </c>
      <c r="Q132" s="225">
        <f t="shared" si="128"/>
        <v>9.2595100903574235</v>
      </c>
      <c r="W132" t="str">
        <f t="shared" si="129"/>
        <v>51 Skilled agricultural and related trades</v>
      </c>
      <c r="X132" s="225">
        <f t="shared" si="130"/>
        <v>1.7641642257853292</v>
      </c>
      <c r="Y132" s="225">
        <f t="shared" si="130"/>
        <v>5.0225858541761852</v>
      </c>
      <c r="Z132" s="225">
        <f t="shared" si="130"/>
        <v>3.2640918739346745</v>
      </c>
      <c r="AA132" s="225">
        <f t="shared" si="130"/>
        <v>13.527325100422658</v>
      </c>
      <c r="AB132" s="225">
        <f t="shared" si="131"/>
        <v>16.791416974357332</v>
      </c>
    </row>
    <row r="133" spans="1:28">
      <c r="A133" t="str">
        <f t="shared" si="123"/>
        <v>52 Skilled metal, electrical and electronic trades</v>
      </c>
      <c r="B133" s="225">
        <f t="shared" si="124"/>
        <v>22.02697445260651</v>
      </c>
      <c r="C133" s="225">
        <f t="shared" si="124"/>
        <v>-142.20575997221761</v>
      </c>
      <c r="D133" s="225">
        <f t="shared" si="124"/>
        <v>-4.8028171974324323</v>
      </c>
      <c r="E133" s="225">
        <f t="shared" si="124"/>
        <v>-51.700803395774983</v>
      </c>
      <c r="F133" s="225">
        <f t="shared" si="125"/>
        <v>-56.503620593207415</v>
      </c>
      <c r="L133" t="str">
        <f t="shared" si="126"/>
        <v>52 Skilled metal, electrical and electronic trades</v>
      </c>
      <c r="M133" s="225">
        <f t="shared" si="127"/>
        <v>9.9614001087713859</v>
      </c>
      <c r="N133" s="225">
        <f t="shared" si="127"/>
        <v>-134.91301251864866</v>
      </c>
      <c r="O133" s="225">
        <f t="shared" si="127"/>
        <v>-22.310215000109224</v>
      </c>
      <c r="P133" s="225">
        <f t="shared" si="127"/>
        <v>-61.611612243454033</v>
      </c>
      <c r="Q133" s="225">
        <f t="shared" si="128"/>
        <v>-83.921827243563257</v>
      </c>
      <c r="W133" t="str">
        <f t="shared" si="129"/>
        <v>52 Skilled metal, electrical and electronic trades</v>
      </c>
      <c r="X133" s="225">
        <f t="shared" si="130"/>
        <v>12.065574343840353</v>
      </c>
      <c r="Y133" s="225">
        <f t="shared" si="130"/>
        <v>-7.2927474535752097</v>
      </c>
      <c r="Z133" s="225">
        <f t="shared" si="130"/>
        <v>17.507397802678899</v>
      </c>
      <c r="AA133" s="225">
        <f t="shared" si="130"/>
        <v>9.910808847678112</v>
      </c>
      <c r="AB133" s="225">
        <f t="shared" si="131"/>
        <v>27.418206650357011</v>
      </c>
    </row>
    <row r="134" spans="1:28">
      <c r="A134" t="str">
        <f t="shared" si="123"/>
        <v>53 Skilled construction and building trades</v>
      </c>
      <c r="B134" s="225">
        <f t="shared" si="124"/>
        <v>-10.829509694410604</v>
      </c>
      <c r="C134" s="225">
        <f t="shared" si="124"/>
        <v>-137.78504068603468</v>
      </c>
      <c r="D134" s="225">
        <f t="shared" si="124"/>
        <v>5.6556796524766924</v>
      </c>
      <c r="E134" s="225">
        <f t="shared" si="124"/>
        <v>-56.570014504450114</v>
      </c>
      <c r="F134" s="225">
        <f t="shared" si="125"/>
        <v>-50.914334851973422</v>
      </c>
      <c r="L134" t="str">
        <f t="shared" si="126"/>
        <v>53 Skilled construction and building trades</v>
      </c>
      <c r="M134" s="225">
        <f t="shared" si="127"/>
        <v>-14.462666607723463</v>
      </c>
      <c r="N134" s="225">
        <f t="shared" si="127"/>
        <v>-138.34117585526076</v>
      </c>
      <c r="O134" s="225">
        <f t="shared" si="127"/>
        <v>12.026539558770878</v>
      </c>
      <c r="P134" s="225">
        <f t="shared" si="127"/>
        <v>-58.553972468225425</v>
      </c>
      <c r="Q134" s="225">
        <f t="shared" si="128"/>
        <v>-46.527432909454546</v>
      </c>
      <c r="W134" t="str">
        <f t="shared" si="129"/>
        <v>53 Skilled construction and building trades</v>
      </c>
      <c r="X134" s="225">
        <f t="shared" si="130"/>
        <v>3.6331569133123125</v>
      </c>
      <c r="Y134" s="225">
        <f t="shared" si="130"/>
        <v>0.55613516922513639</v>
      </c>
      <c r="Z134" s="225">
        <f t="shared" si="130"/>
        <v>-6.3708599062927096</v>
      </c>
      <c r="AA134" s="225">
        <f t="shared" si="130"/>
        <v>1.9839579637758966</v>
      </c>
      <c r="AB134" s="225">
        <f t="shared" si="131"/>
        <v>-4.386901942516813</v>
      </c>
    </row>
    <row r="135" spans="1:28">
      <c r="A135" t="str">
        <f t="shared" si="123"/>
        <v>54 Textiles, printing and other skilled trades</v>
      </c>
      <c r="B135" s="225">
        <f t="shared" si="124"/>
        <v>-53.546154656576391</v>
      </c>
      <c r="C135" s="225">
        <f t="shared" si="124"/>
        <v>-33.147644388464641</v>
      </c>
      <c r="D135" s="225">
        <f t="shared" si="124"/>
        <v>32.235908422007128</v>
      </c>
      <c r="E135" s="225">
        <f t="shared" si="124"/>
        <v>11.558258530975309</v>
      </c>
      <c r="F135" s="225">
        <f t="shared" si="125"/>
        <v>43.794166952982437</v>
      </c>
      <c r="L135" t="str">
        <f t="shared" si="126"/>
        <v>54 Textiles, printing and other skilled trades</v>
      </c>
      <c r="M135" s="225">
        <f t="shared" si="127"/>
        <v>-37.663440547928872</v>
      </c>
      <c r="N135" s="225">
        <f t="shared" si="127"/>
        <v>-45.743948701598072</v>
      </c>
      <c r="O135" s="225">
        <f t="shared" si="127"/>
        <v>23.126626745411897</v>
      </c>
      <c r="P135" s="225">
        <f t="shared" si="127"/>
        <v>5.0858706275759005</v>
      </c>
      <c r="Q135" s="225">
        <f t="shared" si="128"/>
        <v>28.212497372987798</v>
      </c>
      <c r="W135" t="str">
        <f t="shared" si="129"/>
        <v>54 Textiles, printing and other skilled trades</v>
      </c>
      <c r="X135" s="225">
        <f t="shared" si="130"/>
        <v>-15.882714108647434</v>
      </c>
      <c r="Y135" s="225">
        <f t="shared" si="130"/>
        <v>12.596304313134709</v>
      </c>
      <c r="Z135" s="225">
        <f t="shared" si="130"/>
        <v>9.1092816765952591</v>
      </c>
      <c r="AA135" s="225">
        <f t="shared" si="130"/>
        <v>6.4723879033985838</v>
      </c>
      <c r="AB135" s="225">
        <f t="shared" si="131"/>
        <v>15.581669579993843</v>
      </c>
    </row>
    <row r="136" spans="1:28">
      <c r="A136" t="str">
        <f t="shared" si="123"/>
        <v>61 Caring personal service occupations</v>
      </c>
      <c r="B136" s="225">
        <f t="shared" si="124"/>
        <v>59.558473587364006</v>
      </c>
      <c r="C136" s="225">
        <f t="shared" si="124"/>
        <v>-69.971286299012036</v>
      </c>
      <c r="D136" s="225">
        <f t="shared" si="124"/>
        <v>97.165889576479231</v>
      </c>
      <c r="E136" s="225">
        <f t="shared" si="124"/>
        <v>175.05112960692804</v>
      </c>
      <c r="F136" s="225">
        <f t="shared" si="125"/>
        <v>272.21701918340727</v>
      </c>
      <c r="L136" t="str">
        <f t="shared" si="126"/>
        <v>61 Caring personal service occupations</v>
      </c>
      <c r="M136" s="225">
        <f t="shared" si="127"/>
        <v>11.22371885393261</v>
      </c>
      <c r="N136" s="225">
        <f t="shared" si="127"/>
        <v>-11.010854387817176</v>
      </c>
      <c r="O136" s="225">
        <f t="shared" si="127"/>
        <v>62.68886712367015</v>
      </c>
      <c r="P136" s="225">
        <f t="shared" si="127"/>
        <v>60.192412473230434</v>
      </c>
      <c r="Q136" s="225">
        <f t="shared" si="128"/>
        <v>122.88127959690058</v>
      </c>
      <c r="W136" t="str">
        <f t="shared" si="129"/>
        <v>61 Caring personal service occupations</v>
      </c>
      <c r="X136" s="225">
        <f t="shared" si="130"/>
        <v>48.334754733431282</v>
      </c>
      <c r="Y136" s="225">
        <f t="shared" si="130"/>
        <v>-58.960431911189744</v>
      </c>
      <c r="Z136" s="225">
        <f t="shared" si="130"/>
        <v>34.477022452809251</v>
      </c>
      <c r="AA136" s="225">
        <f t="shared" si="130"/>
        <v>114.85871713370443</v>
      </c>
      <c r="AB136" s="225">
        <f t="shared" si="131"/>
        <v>149.33573958651368</v>
      </c>
    </row>
    <row r="137" spans="1:28">
      <c r="A137" t="str">
        <f t="shared" si="123"/>
        <v>62 Leisure, travel and related personal service occupations</v>
      </c>
      <c r="B137" s="225">
        <f t="shared" si="124"/>
        <v>52.905520301168394</v>
      </c>
      <c r="C137" s="225">
        <f t="shared" si="124"/>
        <v>-52.627750158708182</v>
      </c>
      <c r="D137" s="225">
        <f t="shared" si="124"/>
        <v>-35.531305639036532</v>
      </c>
      <c r="E137" s="225">
        <f t="shared" si="124"/>
        <v>10.658500687391438</v>
      </c>
      <c r="F137" s="225">
        <f t="shared" si="125"/>
        <v>-24.872804951645094</v>
      </c>
      <c r="L137" t="str">
        <f t="shared" si="126"/>
        <v>62 Leisure, travel and related personal service occupations</v>
      </c>
      <c r="M137" s="225">
        <f t="shared" si="127"/>
        <v>23.080109630948272</v>
      </c>
      <c r="N137" s="225">
        <f t="shared" si="127"/>
        <v>-9.3003716238738718</v>
      </c>
      <c r="O137" s="225">
        <f t="shared" si="127"/>
        <v>-4.5859236151798939</v>
      </c>
      <c r="P137" s="225">
        <f t="shared" si="127"/>
        <v>16.061501750271589</v>
      </c>
      <c r="Q137" s="225">
        <f t="shared" si="128"/>
        <v>11.475578135091695</v>
      </c>
      <c r="W137" t="str">
        <f t="shared" si="129"/>
        <v>62 Leisure, travel and related personal service occupations</v>
      </c>
      <c r="X137" s="225">
        <f t="shared" si="130"/>
        <v>29.82541067021981</v>
      </c>
      <c r="Y137" s="225">
        <f t="shared" si="130"/>
        <v>-43.327378534833485</v>
      </c>
      <c r="Z137" s="225">
        <f t="shared" si="130"/>
        <v>-30.945382023856837</v>
      </c>
      <c r="AA137" s="225">
        <f t="shared" si="130"/>
        <v>-5.4030010628808327</v>
      </c>
      <c r="AB137" s="225">
        <f t="shared" si="131"/>
        <v>-36.34838308673767</v>
      </c>
    </row>
    <row r="138" spans="1:28">
      <c r="A138" t="str">
        <f t="shared" si="123"/>
        <v>63 Community and civil enforcement occupations</v>
      </c>
      <c r="B138" s="225">
        <f t="shared" si="124"/>
        <v>-3.9648042442006108</v>
      </c>
      <c r="C138" s="225">
        <f t="shared" si="124"/>
        <v>6.1275295852078564</v>
      </c>
      <c r="D138" s="225">
        <f t="shared" si="124"/>
        <v>-8.0009812948418215</v>
      </c>
      <c r="E138" s="225">
        <f t="shared" si="124"/>
        <v>2.1094874614443242</v>
      </c>
      <c r="F138" s="225">
        <f t="shared" si="125"/>
        <v>-5.8914938333974973</v>
      </c>
      <c r="L138" t="str">
        <f t="shared" si="126"/>
        <v>63 Community and civil enforcement occupations</v>
      </c>
      <c r="M138" s="225">
        <f t="shared" si="127"/>
        <v>-5.4486707524722213</v>
      </c>
      <c r="N138" s="225">
        <f t="shared" si="127"/>
        <v>7.445408320338359</v>
      </c>
      <c r="O138" s="225">
        <f t="shared" si="127"/>
        <v>-10.418459230586905</v>
      </c>
      <c r="P138" s="225">
        <f t="shared" si="127"/>
        <v>2.1892102360429924</v>
      </c>
      <c r="Q138" s="225">
        <f t="shared" si="128"/>
        <v>-8.2292489945439122</v>
      </c>
      <c r="W138" t="str">
        <f t="shared" si="129"/>
        <v>63 Community and civil enforcement occupations</v>
      </c>
      <c r="X138" s="225">
        <f t="shared" si="130"/>
        <v>1.4838665082716274</v>
      </c>
      <c r="Y138" s="225">
        <f t="shared" si="130"/>
        <v>-1.3178787351306216</v>
      </c>
      <c r="Z138" s="225">
        <f t="shared" si="130"/>
        <v>2.4174779357451346</v>
      </c>
      <c r="AA138" s="225">
        <f t="shared" si="130"/>
        <v>-7.9722774598664614E-2</v>
      </c>
      <c r="AB138" s="225">
        <f t="shared" si="131"/>
        <v>2.33775516114647</v>
      </c>
    </row>
    <row r="139" spans="1:28">
      <c r="A139" t="str">
        <f t="shared" si="123"/>
        <v>71 Sales occupations</v>
      </c>
      <c r="B139" s="225">
        <f t="shared" si="124"/>
        <v>-99.885946195870702</v>
      </c>
      <c r="C139" s="225">
        <f t="shared" si="124"/>
        <v>-36.536353950474449</v>
      </c>
      <c r="D139" s="225">
        <f t="shared" si="124"/>
        <v>-27.718033737916357</v>
      </c>
      <c r="E139" s="225">
        <f t="shared" si="124"/>
        <v>-51.536299804825831</v>
      </c>
      <c r="F139" s="225">
        <f t="shared" si="125"/>
        <v>-79.254333542742188</v>
      </c>
      <c r="L139" t="str">
        <f t="shared" si="126"/>
        <v>71 Sales occupations</v>
      </c>
      <c r="M139" s="225">
        <f t="shared" si="127"/>
        <v>-5.003904688902935</v>
      </c>
      <c r="N139" s="225">
        <f t="shared" si="127"/>
        <v>-14.228149985154346</v>
      </c>
      <c r="O139" s="225">
        <f t="shared" si="127"/>
        <v>-3.9326198327904649</v>
      </c>
      <c r="P139" s="225">
        <f t="shared" si="127"/>
        <v>-0.25118853094340921</v>
      </c>
      <c r="Q139" s="225">
        <f t="shared" si="128"/>
        <v>-4.1838083637338741</v>
      </c>
      <c r="W139" t="str">
        <f t="shared" si="129"/>
        <v>71 Sales occupations</v>
      </c>
      <c r="X139" s="225">
        <f t="shared" si="130"/>
        <v>-94.882041506969699</v>
      </c>
      <c r="Y139" s="225">
        <f t="shared" si="130"/>
        <v>-22.308203965318853</v>
      </c>
      <c r="Z139" s="225">
        <f t="shared" si="130"/>
        <v>-23.785413905128053</v>
      </c>
      <c r="AA139" s="225">
        <f t="shared" si="130"/>
        <v>-51.285111273883899</v>
      </c>
      <c r="AB139" s="225">
        <f t="shared" si="131"/>
        <v>-75.070525179011952</v>
      </c>
    </row>
    <row r="140" spans="1:28">
      <c r="A140" t="str">
        <f t="shared" si="123"/>
        <v>72 Customer service occupations</v>
      </c>
      <c r="B140" s="225">
        <f t="shared" si="124"/>
        <v>39.233371980768993</v>
      </c>
      <c r="C140" s="225">
        <f t="shared" si="124"/>
        <v>9.323058288850973</v>
      </c>
      <c r="D140" s="225">
        <f t="shared" si="124"/>
        <v>59.563573529617088</v>
      </c>
      <c r="E140" s="225">
        <f t="shared" si="124"/>
        <v>64.088585000252237</v>
      </c>
      <c r="F140" s="225">
        <f t="shared" si="125"/>
        <v>123.65215852986933</v>
      </c>
      <c r="L140" t="str">
        <f t="shared" si="126"/>
        <v>72 Customer service occupations</v>
      </c>
      <c r="M140" s="225">
        <f t="shared" si="127"/>
        <v>-10.584167485466793</v>
      </c>
      <c r="N140" s="225">
        <f t="shared" si="127"/>
        <v>26.276090558022929</v>
      </c>
      <c r="O140" s="225">
        <f t="shared" si="127"/>
        <v>48.125517443176989</v>
      </c>
      <c r="P140" s="225">
        <f t="shared" si="127"/>
        <v>39.102920062304378</v>
      </c>
      <c r="Q140" s="225">
        <f t="shared" si="128"/>
        <v>87.228437505481367</v>
      </c>
      <c r="W140" t="str">
        <f t="shared" si="129"/>
        <v>72 Customer service occupations</v>
      </c>
      <c r="X140" s="225">
        <f t="shared" si="130"/>
        <v>49.81753946623536</v>
      </c>
      <c r="Y140" s="225">
        <f t="shared" si="130"/>
        <v>-16.953032269171558</v>
      </c>
      <c r="Z140" s="225">
        <f t="shared" si="130"/>
        <v>11.438056086442089</v>
      </c>
      <c r="AA140" s="225">
        <f t="shared" si="130"/>
        <v>24.985664937945785</v>
      </c>
      <c r="AB140" s="225">
        <f t="shared" si="131"/>
        <v>36.423721024387874</v>
      </c>
    </row>
    <row r="141" spans="1:28">
      <c r="A141" t="str">
        <f t="shared" si="123"/>
        <v>81 Process, plant and machine operatives</v>
      </c>
      <c r="B141" s="225">
        <f t="shared" si="124"/>
        <v>-21.592687651296046</v>
      </c>
      <c r="C141" s="225">
        <f t="shared" si="124"/>
        <v>-82.002047482929584</v>
      </c>
      <c r="D141" s="225">
        <f t="shared" si="124"/>
        <v>28.962873610875477</v>
      </c>
      <c r="E141" s="225">
        <f t="shared" si="124"/>
        <v>-40.293302760777465</v>
      </c>
      <c r="F141" s="225">
        <f t="shared" si="125"/>
        <v>-11.330429149901988</v>
      </c>
      <c r="L141" t="str">
        <f t="shared" si="126"/>
        <v>81 Process, plant and machine operatives</v>
      </c>
      <c r="M141" s="225">
        <f t="shared" si="127"/>
        <v>-27.999976401052777</v>
      </c>
      <c r="N141" s="225">
        <f t="shared" si="127"/>
        <v>-59.336848151344327</v>
      </c>
      <c r="O141" s="225">
        <f t="shared" si="127"/>
        <v>3.8697079552854348</v>
      </c>
      <c r="P141" s="225">
        <f t="shared" si="127"/>
        <v>-39.699400434306426</v>
      </c>
      <c r="Q141" s="225">
        <f t="shared" si="128"/>
        <v>-35.829692479020991</v>
      </c>
      <c r="W141" t="str">
        <f t="shared" si="129"/>
        <v>81 Process, plant and machine operatives</v>
      </c>
      <c r="X141" s="225">
        <f t="shared" si="130"/>
        <v>6.4072887497567308</v>
      </c>
      <c r="Y141" s="225">
        <f t="shared" si="130"/>
        <v>-22.665199331585512</v>
      </c>
      <c r="Z141" s="225">
        <f t="shared" si="130"/>
        <v>25.093165655592173</v>
      </c>
      <c r="AA141" s="225">
        <f t="shared" si="130"/>
        <v>-0.59390232647174912</v>
      </c>
      <c r="AB141" s="225">
        <f t="shared" si="131"/>
        <v>24.499263329120424</v>
      </c>
    </row>
    <row r="142" spans="1:28">
      <c r="A142" t="str">
        <f t="shared" si="123"/>
        <v>82 Transport and mobile machine drivers and operatives</v>
      </c>
      <c r="B142" s="225">
        <f t="shared" si="124"/>
        <v>124.81506717539719</v>
      </c>
      <c r="C142" s="225">
        <f t="shared" si="124"/>
        <v>-122.75673582688523</v>
      </c>
      <c r="D142" s="225">
        <f t="shared" si="124"/>
        <v>29.522897838320887</v>
      </c>
      <c r="E142" s="225">
        <f t="shared" si="124"/>
        <v>-19.016658840871287</v>
      </c>
      <c r="F142" s="225">
        <f t="shared" si="125"/>
        <v>10.5062389974496</v>
      </c>
      <c r="L142" t="str">
        <f t="shared" si="126"/>
        <v>82 Transport and mobile machine drivers and operatives</v>
      </c>
      <c r="M142" s="225">
        <f t="shared" si="127"/>
        <v>123.71914057964784</v>
      </c>
      <c r="N142" s="225">
        <f t="shared" si="127"/>
        <v>-118.55241121015251</v>
      </c>
      <c r="O142" s="225">
        <f t="shared" si="127"/>
        <v>10.157881529453789</v>
      </c>
      <c r="P142" s="225">
        <f t="shared" si="127"/>
        <v>-28.892401860083282</v>
      </c>
      <c r="Q142" s="225">
        <f t="shared" si="128"/>
        <v>-18.734520330629493</v>
      </c>
      <c r="W142" t="str">
        <f t="shared" si="129"/>
        <v>82 Transport and mobile machine drivers and operatives</v>
      </c>
      <c r="X142" s="225">
        <f t="shared" si="130"/>
        <v>1.0959265957488071</v>
      </c>
      <c r="Y142" s="225">
        <f t="shared" si="130"/>
        <v>-4.20432461673213</v>
      </c>
      <c r="Z142" s="225">
        <f t="shared" si="130"/>
        <v>19.365016308871184</v>
      </c>
      <c r="AA142" s="225">
        <f t="shared" si="130"/>
        <v>9.8757430192089828</v>
      </c>
      <c r="AB142" s="225">
        <f t="shared" si="131"/>
        <v>29.240759328080166</v>
      </c>
    </row>
    <row r="143" spans="1:28">
      <c r="A143" t="str">
        <f t="shared" si="123"/>
        <v>91 Elementary trades and related occupations</v>
      </c>
      <c r="B143" s="225">
        <f t="shared" si="124"/>
        <v>-47.358362022887491</v>
      </c>
      <c r="C143" s="225">
        <f t="shared" si="124"/>
        <v>-49.278681839607202</v>
      </c>
      <c r="D143" s="225">
        <f t="shared" si="124"/>
        <v>311.45225068492101</v>
      </c>
      <c r="E143" s="225">
        <f t="shared" si="124"/>
        <v>86.938236412433866</v>
      </c>
      <c r="F143" s="225">
        <f t="shared" si="125"/>
        <v>398.39048709735488</v>
      </c>
      <c r="L143" t="str">
        <f t="shared" si="126"/>
        <v>91 Elementary trades and related occupations</v>
      </c>
      <c r="M143" s="225">
        <f t="shared" si="127"/>
        <v>-34.74514920885423</v>
      </c>
      <c r="N143" s="225">
        <f t="shared" si="127"/>
        <v>-30.577876864065217</v>
      </c>
      <c r="O143" s="225">
        <f t="shared" si="127"/>
        <v>109.33008403955023</v>
      </c>
      <c r="P143" s="225">
        <f t="shared" si="127"/>
        <v>31.439572962759996</v>
      </c>
      <c r="Q143" s="225">
        <f t="shared" si="128"/>
        <v>140.76965700231023</v>
      </c>
      <c r="W143" t="str">
        <f t="shared" si="129"/>
        <v>91 Elementary trades and related occupations</v>
      </c>
      <c r="X143" s="225">
        <f t="shared" si="130"/>
        <v>-12.613212814033574</v>
      </c>
      <c r="Y143" s="225">
        <f t="shared" si="130"/>
        <v>-18.700804975541431</v>
      </c>
      <c r="Z143" s="225">
        <f t="shared" si="130"/>
        <v>202.12216664537152</v>
      </c>
      <c r="AA143" s="225">
        <f t="shared" si="130"/>
        <v>55.49866344967262</v>
      </c>
      <c r="AB143" s="225">
        <f t="shared" si="131"/>
        <v>257.62083009504414</v>
      </c>
    </row>
    <row r="144" spans="1:28">
      <c r="A144" t="str">
        <f t="shared" si="123"/>
        <v>92 Elementary administration and service occupations</v>
      </c>
      <c r="B144" s="225">
        <f t="shared" si="124"/>
        <v>35.408395622702756</v>
      </c>
      <c r="C144" s="225">
        <f t="shared" si="124"/>
        <v>-244.77663929905793</v>
      </c>
      <c r="D144" s="225">
        <f t="shared" si="124"/>
        <v>-247.14072106309368</v>
      </c>
      <c r="E144" s="225">
        <f t="shared" si="124"/>
        <v>-159.26645252663639</v>
      </c>
      <c r="F144" s="225">
        <f t="shared" si="125"/>
        <v>-406.40717358973006</v>
      </c>
      <c r="L144" t="str">
        <f t="shared" si="126"/>
        <v>92 Elementary administration and service occupations</v>
      </c>
      <c r="M144" s="225">
        <f t="shared" si="127"/>
        <v>-30.887888939848835</v>
      </c>
      <c r="N144" s="225">
        <f t="shared" si="127"/>
        <v>-79.796690755331838</v>
      </c>
      <c r="O144" s="225">
        <f t="shared" si="127"/>
        <v>-32.169061518184662</v>
      </c>
      <c r="P144" s="225">
        <f t="shared" si="127"/>
        <v>-81.594144234542455</v>
      </c>
      <c r="Q144" s="225">
        <f t="shared" si="128"/>
        <v>-113.76320575272712</v>
      </c>
      <c r="W144" t="str">
        <f t="shared" si="129"/>
        <v>92 Elementary administration and service occupations</v>
      </c>
      <c r="X144" s="225">
        <f t="shared" si="130"/>
        <v>66.296284562551136</v>
      </c>
      <c r="Y144" s="225">
        <f t="shared" si="130"/>
        <v>-164.97994854373383</v>
      </c>
      <c r="Z144" s="225">
        <f t="shared" si="130"/>
        <v>-214.97165954490561</v>
      </c>
      <c r="AA144" s="225">
        <f t="shared" si="130"/>
        <v>-77.672308292079151</v>
      </c>
      <c r="AB144" s="225">
        <f t="shared" si="131"/>
        <v>-292.64396783698476</v>
      </c>
    </row>
    <row r="145" spans="1:31">
      <c r="C145" s="225"/>
      <c r="F145" s="225"/>
      <c r="N145" s="225"/>
      <c r="Q145" s="225"/>
      <c r="Y145" s="225"/>
      <c r="AB145" s="225"/>
    </row>
    <row r="146" spans="1:31">
      <c r="A146" s="21" t="str">
        <f>A35</f>
        <v>All occupations</v>
      </c>
      <c r="B146" s="337">
        <f>C35-B35</f>
        <v>1556.5879999960962</v>
      </c>
      <c r="C146" s="337">
        <f t="shared" ref="C146" si="132">D35-C35</f>
        <v>-353.07899999864821</v>
      </c>
      <c r="D146" s="337">
        <f>E35-D35</f>
        <v>895.06700001548597</v>
      </c>
      <c r="E146" s="337">
        <f>F35-E35</f>
        <v>1315.3430000018125</v>
      </c>
      <c r="F146" s="337">
        <f t="shared" ref="F146" si="133">F35-D35</f>
        <v>2210.4100000172984</v>
      </c>
      <c r="L146" s="21" t="str">
        <f>L35</f>
        <v>All occupations</v>
      </c>
      <c r="M146" s="337">
        <f>N35-M35</f>
        <v>694.14999999825886</v>
      </c>
      <c r="N146" s="337">
        <f t="shared" ref="N146" si="134">O35-N35</f>
        <v>-311.92799999910858</v>
      </c>
      <c r="O146" s="337">
        <f>P35-O35</f>
        <v>430.67200000254707</v>
      </c>
      <c r="P146" s="337">
        <f>Q35-P35</f>
        <v>573.31899999906454</v>
      </c>
      <c r="Q146" s="337">
        <f t="shared" ref="Q146" si="135">Q35-O35</f>
        <v>1003.9910000016116</v>
      </c>
      <c r="W146" s="21" t="str">
        <f>W35</f>
        <v>All occupations</v>
      </c>
      <c r="X146" s="337">
        <f>Y35-X35</f>
        <v>862.43799999785551</v>
      </c>
      <c r="Y146" s="337">
        <f t="shared" ref="Y146" si="136">Z35-Y35</f>
        <v>-41.150999999570558</v>
      </c>
      <c r="Z146" s="337">
        <f>AA35-Z35</f>
        <v>464.39500001297711</v>
      </c>
      <c r="AA146" s="337">
        <f>AB35-AA35</f>
        <v>742.02400000274065</v>
      </c>
      <c r="AB146" s="337">
        <f t="shared" ref="AB146" si="137">AB35-Z35</f>
        <v>1206.4190000157178</v>
      </c>
    </row>
    <row r="150" spans="1:31" ht="12.95">
      <c r="D150" s="1" t="s">
        <v>115</v>
      </c>
      <c r="H150" s="31" t="s">
        <v>116</v>
      </c>
      <c r="O150" s="1" t="s">
        <v>115</v>
      </c>
      <c r="S150" s="31" t="s">
        <v>116</v>
      </c>
      <c r="Z150" s="1" t="s">
        <v>115</v>
      </c>
      <c r="AD150" s="31" t="s">
        <v>116</v>
      </c>
    </row>
    <row r="151" spans="1:31" ht="12.95">
      <c r="A151" s="19"/>
      <c r="B151" s="20">
        <f>B6</f>
        <v>2015</v>
      </c>
      <c r="C151" s="20">
        <f t="shared" ref="C151:F151" si="138">C6</f>
        <v>2019</v>
      </c>
      <c r="D151" s="20">
        <f t="shared" si="138"/>
        <v>2020</v>
      </c>
      <c r="E151" s="20">
        <f t="shared" si="138"/>
        <v>2025</v>
      </c>
      <c r="F151" s="20">
        <f t="shared" si="138"/>
        <v>2035</v>
      </c>
      <c r="H151" s="59" t="str">
        <f>CONCATENATE(B$6,"-",D$6)</f>
        <v>2015-2020</v>
      </c>
      <c r="I151" s="59" t="str">
        <f>CONCATENATE(D$6,"-",F$6)</f>
        <v>2020-2035</v>
      </c>
      <c r="L151" s="19"/>
      <c r="M151" s="20">
        <f>M6</f>
        <v>2015</v>
      </c>
      <c r="N151" s="20">
        <f t="shared" ref="N151:Q151" si="139">N6</f>
        <v>2019</v>
      </c>
      <c r="O151" s="20">
        <f t="shared" si="139"/>
        <v>2020</v>
      </c>
      <c r="P151" s="20">
        <f t="shared" si="139"/>
        <v>2025</v>
      </c>
      <c r="Q151" s="20">
        <f t="shared" si="139"/>
        <v>2035</v>
      </c>
      <c r="S151" s="59" t="str">
        <f>CONCATENATE(M$6,"-",O$6)</f>
        <v>2015-2020</v>
      </c>
      <c r="T151" s="59" t="str">
        <f>CONCATENATE(O$6,"-",Q$6)</f>
        <v>2020-2035</v>
      </c>
      <c r="W151" s="19"/>
      <c r="X151" s="20">
        <f>X6</f>
        <v>2015</v>
      </c>
      <c r="Y151" s="20">
        <f t="shared" ref="Y151:AB151" si="140">Y6</f>
        <v>2019</v>
      </c>
      <c r="Z151" s="20">
        <f t="shared" si="140"/>
        <v>2020</v>
      </c>
      <c r="AA151" s="20">
        <f t="shared" si="140"/>
        <v>2025</v>
      </c>
      <c r="AB151" s="20">
        <f t="shared" si="140"/>
        <v>2035</v>
      </c>
      <c r="AD151" s="59" t="str">
        <f>CONCATENATE(X$6,"-",Z$6)</f>
        <v>2015-2020</v>
      </c>
      <c r="AE151" s="59" t="str">
        <f>CONCATENATE(Z$6,"-",AB$6)</f>
        <v>2020-2035</v>
      </c>
    </row>
    <row r="152" spans="1:31">
      <c r="A152" s="10"/>
      <c r="B152" s="11"/>
      <c r="C152" s="11"/>
      <c r="D152" s="11"/>
      <c r="E152" s="11"/>
      <c r="F152" s="11"/>
      <c r="H152" s="30"/>
      <c r="I152" s="30"/>
      <c r="L152" s="10"/>
      <c r="M152" s="11"/>
      <c r="N152" s="11"/>
      <c r="O152" s="11"/>
      <c r="P152" s="11"/>
      <c r="Q152" s="11"/>
      <c r="S152" s="30"/>
      <c r="T152" s="30"/>
      <c r="W152" s="10"/>
      <c r="X152" s="11"/>
      <c r="Y152" s="11"/>
      <c r="Z152" s="11"/>
      <c r="AA152" s="11"/>
      <c r="AB152" s="11"/>
      <c r="AD152" s="30"/>
      <c r="AE152" s="30"/>
    </row>
    <row r="153" spans="1:31">
      <c r="A153" s="10" t="str">
        <f t="shared" ref="A153:B178" si="141">A8</f>
        <v>11 Corporate managers and directors</v>
      </c>
      <c r="B153" s="11">
        <f t="shared" si="141"/>
        <v>1899.4336390268675</v>
      </c>
      <c r="C153" s="11">
        <f t="shared" ref="C153:F153" si="142">C8</f>
        <v>2252.4434759690844</v>
      </c>
      <c r="D153" s="11">
        <f t="shared" si="142"/>
        <v>2307.7401043917707</v>
      </c>
      <c r="E153" s="11">
        <f t="shared" si="142"/>
        <v>2105.3021001707893</v>
      </c>
      <c r="F153" s="11">
        <f t="shared" si="142"/>
        <v>2283.7260613096219</v>
      </c>
      <c r="H153" s="30">
        <f>IF(D$151-B$151 &lt;&gt; 0,(EXP(LN(D153/B153)/(D$151-B$151))-1)*100,0)</f>
        <v>3.9710798144611203</v>
      </c>
      <c r="I153" s="30">
        <f>IF(F$151-D$151 &lt;&gt; 0,(EXP(LN(F153/D153)/(F$151-D$151))-1)*100,0)</f>
        <v>-6.9711619613654907E-2</v>
      </c>
      <c r="L153" s="10" t="str">
        <f>L8</f>
        <v>11 Corporate managers and directors</v>
      </c>
      <c r="M153" s="11">
        <f>M8</f>
        <v>1313.7150399618367</v>
      </c>
      <c r="N153" s="11">
        <f t="shared" ref="N153:Q153" si="143">N8</f>
        <v>1498.0900506444132</v>
      </c>
      <c r="O153" s="11">
        <f t="shared" si="143"/>
        <v>1518.4732166975457</v>
      </c>
      <c r="P153" s="11">
        <f t="shared" si="143"/>
        <v>1322.4036768736466</v>
      </c>
      <c r="Q153" s="11">
        <f t="shared" si="143"/>
        <v>1372.7350954014596</v>
      </c>
      <c r="S153" s="30">
        <f>IF(O$151-M$151 &lt;&gt; 0,(EXP(LN(O153/M153)/(O$151-M$151))-1)*100,0)</f>
        <v>2.9392957731267488</v>
      </c>
      <c r="T153" s="30">
        <f>IF(Q$151-O$151 &lt;&gt; 0,(EXP(LN(Q153/O153)/(Q$151-O$151))-1)*100,0)</f>
        <v>-0.67041063793328304</v>
      </c>
      <c r="W153" s="10" t="str">
        <f>W8</f>
        <v>11 Corporate managers and directors</v>
      </c>
      <c r="X153" s="11">
        <f>X8</f>
        <v>585.71859906502971</v>
      </c>
      <c r="Y153" s="11">
        <f t="shared" ref="Y153:AB153" si="144">Y8</f>
        <v>754.3534253246728</v>
      </c>
      <c r="Z153" s="11">
        <f t="shared" si="144"/>
        <v>789.26688769422583</v>
      </c>
      <c r="AA153" s="11">
        <f t="shared" si="144"/>
        <v>782.89842329714418</v>
      </c>
      <c r="AB153" s="11">
        <f t="shared" si="144"/>
        <v>910.99096590816146</v>
      </c>
      <c r="AD153" s="30">
        <f>IF(Z$151-X$151 &lt;&gt; 0,(EXP(LN(Z153/X153)/(Z$151-X$151))-1)*100,0)</f>
        <v>6.1468165174788147</v>
      </c>
      <c r="AE153" s="30">
        <f>IF(AB$151-Z$151 &lt;&gt; 0,(EXP(LN(AB153/Z153)/(AB$151-Z$151))-1)*100,0)</f>
        <v>0.96077580729421186</v>
      </c>
    </row>
    <row r="154" spans="1:31">
      <c r="A154" s="10" t="str">
        <f t="shared" si="141"/>
        <v>12 Other managers and proprietors</v>
      </c>
      <c r="B154" s="11">
        <f t="shared" si="141"/>
        <v>923.52132759385643</v>
      </c>
      <c r="C154" s="11">
        <f t="shared" ref="C154:F178" si="145">C9</f>
        <v>989.34422722021304</v>
      </c>
      <c r="D154" s="11">
        <f t="shared" si="145"/>
        <v>999.77365535930846</v>
      </c>
      <c r="E154" s="11">
        <f t="shared" si="145"/>
        <v>1042.1448090573083</v>
      </c>
      <c r="F154" s="11">
        <f t="shared" si="145"/>
        <v>1168.6471608444135</v>
      </c>
      <c r="H154" s="30">
        <f t="shared" ref="H154:H180" si="146">IF(D$151-B$151 &lt;&gt; 0,(EXP(LN(D154/B154)/(D$151-B$151))-1)*100,0)</f>
        <v>1.5993552333908534</v>
      </c>
      <c r="I154" s="30">
        <f t="shared" ref="I154:I180" si="147">IF(F$151-D$151 &lt;&gt; 0,(EXP(LN(F154/D154)/(F$151-D$151))-1)*100,0)</f>
        <v>1.0459197464713021</v>
      </c>
      <c r="L154" s="10" t="str">
        <f t="shared" ref="L154:Q154" si="148">L9</f>
        <v>12 Other managers and proprietors</v>
      </c>
      <c r="M154" s="11">
        <f t="shared" si="148"/>
        <v>560.07918748953887</v>
      </c>
      <c r="N154" s="11">
        <f t="shared" si="148"/>
        <v>592.75817151868557</v>
      </c>
      <c r="O154" s="11">
        <f t="shared" si="148"/>
        <v>579.99639409238614</v>
      </c>
      <c r="P154" s="11">
        <f t="shared" si="148"/>
        <v>654.76078042804807</v>
      </c>
      <c r="Q154" s="11">
        <f t="shared" si="148"/>
        <v>736.34822839305525</v>
      </c>
      <c r="S154" s="30">
        <f t="shared" ref="S154:S177" si="149">IF(O$151-M$151 &lt;&gt; 0,(EXP(LN(O154/M154)/(O$151-M$151))-1)*100,0)</f>
        <v>0.70132195383454388</v>
      </c>
      <c r="T154" s="30">
        <f t="shared" ref="T154:T177" si="150">IF(Q$151-O$151 &lt;&gt; 0,(EXP(LN(Q154/O154)/(Q$151-O$151))-1)*100,0)</f>
        <v>1.6039355146640899</v>
      </c>
      <c r="W154" s="10" t="str">
        <f t="shared" ref="W154:AB154" si="151">W9</f>
        <v>12 Other managers and proprietors</v>
      </c>
      <c r="X154" s="11">
        <f t="shared" si="151"/>
        <v>363.44214010432023</v>
      </c>
      <c r="Y154" s="11">
        <f t="shared" si="151"/>
        <v>396.58605570152713</v>
      </c>
      <c r="Z154" s="11">
        <f t="shared" si="151"/>
        <v>419.77726126692244</v>
      </c>
      <c r="AA154" s="11">
        <f t="shared" si="151"/>
        <v>387.38402862925915</v>
      </c>
      <c r="AB154" s="11">
        <f t="shared" si="151"/>
        <v>432.29893245136003</v>
      </c>
      <c r="AD154" s="30">
        <f t="shared" ref="AD154:AD177" si="152">IF(Z$151-X$151 &lt;&gt; 0,(EXP(LN(Z154/X154)/(Z$151-X$151))-1)*100,0)</f>
        <v>2.9240164955128822</v>
      </c>
      <c r="AE154" s="30">
        <f t="shared" ref="AE154:AE177" si="153">IF(AB$151-Z$151 &lt;&gt; 0,(EXP(LN(AB154/Z154)/(AB$151-Z$151))-1)*100,0)</f>
        <v>0.1961459945617916</v>
      </c>
    </row>
    <row r="155" spans="1:31">
      <c r="A155" s="10" t="str">
        <f t="shared" si="141"/>
        <v>21 Science, research, engineering and technology professionals</v>
      </c>
      <c r="B155" s="11">
        <f t="shared" si="141"/>
        <v>1585.0798970775459</v>
      </c>
      <c r="C155" s="11">
        <f t="shared" si="145"/>
        <v>1824.270392837615</v>
      </c>
      <c r="D155" s="11">
        <f t="shared" si="145"/>
        <v>1898.0720341129449</v>
      </c>
      <c r="E155" s="11">
        <f t="shared" si="145"/>
        <v>2351.7516802899086</v>
      </c>
      <c r="F155" s="11">
        <f t="shared" si="145"/>
        <v>2681.3748075213884</v>
      </c>
      <c r="H155" s="30">
        <f t="shared" si="146"/>
        <v>3.6698109281631419</v>
      </c>
      <c r="I155" s="30">
        <f t="shared" si="147"/>
        <v>2.3300034935685332</v>
      </c>
      <c r="L155" s="10" t="str">
        <f t="shared" ref="L155:Q155" si="154">L10</f>
        <v>21 Science, research, engineering and technology professionals</v>
      </c>
      <c r="M155" s="11">
        <f t="shared" si="154"/>
        <v>1259.7640860814026</v>
      </c>
      <c r="N155" s="11">
        <f t="shared" si="154"/>
        <v>1463.5542858755171</v>
      </c>
      <c r="O155" s="11">
        <f t="shared" si="154"/>
        <v>1456.5973309821147</v>
      </c>
      <c r="P155" s="11">
        <f t="shared" si="154"/>
        <v>1747.7439450068091</v>
      </c>
      <c r="Q155" s="11">
        <f t="shared" si="154"/>
        <v>1949.7424922917774</v>
      </c>
      <c r="S155" s="30">
        <f t="shared" si="149"/>
        <v>2.9461376529431149</v>
      </c>
      <c r="T155" s="30">
        <f t="shared" si="150"/>
        <v>1.9629792153806003</v>
      </c>
      <c r="W155" s="10" t="str">
        <f t="shared" ref="W155:AB155" si="155">W10</f>
        <v>21 Science, research, engineering and technology professionals</v>
      </c>
      <c r="X155" s="11">
        <f t="shared" si="155"/>
        <v>325.31581099614453</v>
      </c>
      <c r="Y155" s="11">
        <f t="shared" si="155"/>
        <v>360.71610696210257</v>
      </c>
      <c r="Z155" s="11">
        <f t="shared" si="155"/>
        <v>441.47470313082664</v>
      </c>
      <c r="AA155" s="11">
        <f t="shared" si="155"/>
        <v>604.00773528309367</v>
      </c>
      <c r="AB155" s="11">
        <f t="shared" si="155"/>
        <v>731.63231522961019</v>
      </c>
      <c r="AD155" s="30">
        <f t="shared" si="152"/>
        <v>6.2967852687343839</v>
      </c>
      <c r="AE155" s="30">
        <f t="shared" si="153"/>
        <v>3.4250652951564264</v>
      </c>
    </row>
    <row r="156" spans="1:31">
      <c r="A156" s="10" t="str">
        <f t="shared" si="141"/>
        <v>22 Health professionals</v>
      </c>
      <c r="B156" s="11">
        <f t="shared" si="141"/>
        <v>1169.4428202608058</v>
      </c>
      <c r="C156" s="11">
        <f t="shared" si="145"/>
        <v>1354.656644154659</v>
      </c>
      <c r="D156" s="11">
        <f t="shared" si="145"/>
        <v>1355.932796971927</v>
      </c>
      <c r="E156" s="11">
        <f t="shared" si="145"/>
        <v>1342.0489197398499</v>
      </c>
      <c r="F156" s="11">
        <f t="shared" si="145"/>
        <v>1436.7895221098097</v>
      </c>
      <c r="H156" s="30">
        <f t="shared" si="146"/>
        <v>3.0034650595811785</v>
      </c>
      <c r="I156" s="30">
        <f t="shared" si="147"/>
        <v>0.38688981041488102</v>
      </c>
      <c r="L156" s="10" t="str">
        <f t="shared" ref="L156:Q156" si="156">L11</f>
        <v>22 Health professionals</v>
      </c>
      <c r="M156" s="11">
        <f t="shared" si="156"/>
        <v>290.43686339058576</v>
      </c>
      <c r="N156" s="11">
        <f t="shared" si="156"/>
        <v>333.59696517179577</v>
      </c>
      <c r="O156" s="11">
        <f t="shared" si="156"/>
        <v>366.7619182696281</v>
      </c>
      <c r="P156" s="11">
        <f t="shared" si="156"/>
        <v>365.40610950688745</v>
      </c>
      <c r="Q156" s="11">
        <f t="shared" si="156"/>
        <v>392.94933626417338</v>
      </c>
      <c r="S156" s="30">
        <f t="shared" si="149"/>
        <v>4.7771302948282468</v>
      </c>
      <c r="T156" s="30">
        <f t="shared" si="150"/>
        <v>0.4608437986442171</v>
      </c>
      <c r="W156" s="10" t="str">
        <f t="shared" ref="W156:AB156" si="157">W11</f>
        <v>22 Health professionals</v>
      </c>
      <c r="X156" s="11">
        <f t="shared" si="157"/>
        <v>879.00595687022053</v>
      </c>
      <c r="Y156" s="11">
        <f t="shared" si="157"/>
        <v>1021.0596789828635</v>
      </c>
      <c r="Z156" s="11">
        <f t="shared" si="157"/>
        <v>989.17087870229727</v>
      </c>
      <c r="AA156" s="11">
        <f t="shared" si="157"/>
        <v>976.6428102329611</v>
      </c>
      <c r="AB156" s="11">
        <f t="shared" si="157"/>
        <v>1043.8401858456359</v>
      </c>
      <c r="AD156" s="30">
        <f t="shared" si="152"/>
        <v>2.38961283230541</v>
      </c>
      <c r="AE156" s="30">
        <f t="shared" si="153"/>
        <v>0.35927439586598275</v>
      </c>
    </row>
    <row r="157" spans="1:31">
      <c r="A157" s="10" t="str">
        <f t="shared" si="141"/>
        <v>23 Teaching and other educational professionals</v>
      </c>
      <c r="B157" s="11">
        <f t="shared" si="141"/>
        <v>1361.7491851591385</v>
      </c>
      <c r="C157" s="11">
        <f t="shared" si="145"/>
        <v>1441.2390325186957</v>
      </c>
      <c r="D157" s="11">
        <f t="shared" si="145"/>
        <v>1503.6331126652781</v>
      </c>
      <c r="E157" s="11">
        <f t="shared" si="145"/>
        <v>1476.7704130845411</v>
      </c>
      <c r="F157" s="11">
        <f t="shared" si="145"/>
        <v>1586.4211218808052</v>
      </c>
      <c r="H157" s="30">
        <f t="shared" si="146"/>
        <v>2.0020620393283561</v>
      </c>
      <c r="I157" s="30">
        <f t="shared" si="147"/>
        <v>0.3579481614985669</v>
      </c>
      <c r="L157" s="10" t="str">
        <f t="shared" ref="L157:Q157" si="158">L12</f>
        <v>23 Teaching and other educational professionals</v>
      </c>
      <c r="M157" s="11">
        <f t="shared" si="158"/>
        <v>465.10978424210242</v>
      </c>
      <c r="N157" s="11">
        <f t="shared" si="158"/>
        <v>463.25280499878858</v>
      </c>
      <c r="O157" s="11">
        <f t="shared" si="158"/>
        <v>487.15805015784076</v>
      </c>
      <c r="P157" s="11">
        <f t="shared" si="158"/>
        <v>496.17830066936875</v>
      </c>
      <c r="Q157" s="11">
        <f t="shared" si="158"/>
        <v>527.17621703011434</v>
      </c>
      <c r="S157" s="30">
        <f t="shared" si="149"/>
        <v>0.93060617860400985</v>
      </c>
      <c r="T157" s="30">
        <f t="shared" si="150"/>
        <v>0.5276958461947423</v>
      </c>
      <c r="W157" s="10" t="str">
        <f t="shared" ref="W157:AB157" si="159">W12</f>
        <v>23 Teaching and other educational professionals</v>
      </c>
      <c r="X157" s="11">
        <f t="shared" si="159"/>
        <v>896.63940091703103</v>
      </c>
      <c r="Y157" s="11">
        <f t="shared" si="159"/>
        <v>977.98622751991195</v>
      </c>
      <c r="Z157" s="11">
        <f t="shared" si="159"/>
        <v>1016.4750625074356</v>
      </c>
      <c r="AA157" s="11">
        <f t="shared" si="159"/>
        <v>980.59211241516925</v>
      </c>
      <c r="AB157" s="11">
        <f t="shared" si="159"/>
        <v>1059.244904850691</v>
      </c>
      <c r="AD157" s="30">
        <f t="shared" si="152"/>
        <v>2.5405828935878061</v>
      </c>
      <c r="AE157" s="30">
        <f t="shared" si="153"/>
        <v>0.27514770025145463</v>
      </c>
    </row>
    <row r="158" spans="1:31">
      <c r="A158" s="10" t="str">
        <f t="shared" si="141"/>
        <v>24 Business, media and public service professionals</v>
      </c>
      <c r="B158" s="11">
        <f t="shared" si="141"/>
        <v>1796.9718795456633</v>
      </c>
      <c r="C158" s="11">
        <f t="shared" si="145"/>
        <v>2126.0095445543111</v>
      </c>
      <c r="D158" s="11">
        <f t="shared" si="145"/>
        <v>2294.7408922369627</v>
      </c>
      <c r="E158" s="11">
        <f t="shared" si="145"/>
        <v>2427.5298169832067</v>
      </c>
      <c r="F158" s="11">
        <f t="shared" si="145"/>
        <v>2682.5731170680497</v>
      </c>
      <c r="H158" s="30">
        <f t="shared" si="146"/>
        <v>5.0118899529674854</v>
      </c>
      <c r="I158" s="30">
        <f t="shared" si="147"/>
        <v>1.0464811508875016</v>
      </c>
      <c r="L158" s="10" t="str">
        <f t="shared" ref="L158:Q158" si="160">L13</f>
        <v>24 Business, media and public service professionals</v>
      </c>
      <c r="M158" s="11">
        <f t="shared" si="160"/>
        <v>1057.078509263207</v>
      </c>
      <c r="N158" s="11">
        <f t="shared" si="160"/>
        <v>1204.1427079986347</v>
      </c>
      <c r="O158" s="11">
        <f t="shared" si="160"/>
        <v>1274.7375045541762</v>
      </c>
      <c r="P158" s="11">
        <f t="shared" si="160"/>
        <v>1357.4302776709358</v>
      </c>
      <c r="Q158" s="11">
        <f t="shared" si="160"/>
        <v>1461.2151776543644</v>
      </c>
      <c r="S158" s="30">
        <f t="shared" si="149"/>
        <v>3.8156204849634001</v>
      </c>
      <c r="T158" s="30">
        <f t="shared" si="150"/>
        <v>0.91434229810394285</v>
      </c>
      <c r="W158" s="10" t="str">
        <f t="shared" ref="W158:AB158" si="161">W13</f>
        <v>24 Business, media and public service professionals</v>
      </c>
      <c r="X158" s="11">
        <f t="shared" si="161"/>
        <v>739.89337028245995</v>
      </c>
      <c r="Y158" s="11">
        <f t="shared" si="161"/>
        <v>921.86683655567754</v>
      </c>
      <c r="Z158" s="11">
        <f t="shared" si="161"/>
        <v>1020.0033876827833</v>
      </c>
      <c r="AA158" s="11">
        <f t="shared" si="161"/>
        <v>1070.0995393122864</v>
      </c>
      <c r="AB158" s="11">
        <f t="shared" si="161"/>
        <v>1221.3579394136846</v>
      </c>
      <c r="AD158" s="30">
        <f t="shared" si="152"/>
        <v>6.6317399112106656</v>
      </c>
      <c r="AE158" s="30">
        <f t="shared" si="153"/>
        <v>1.2082905984633463</v>
      </c>
    </row>
    <row r="159" spans="1:31">
      <c r="A159" s="10" t="str">
        <f t="shared" si="141"/>
        <v>31 Science, engineering and technology associate professionals</v>
      </c>
      <c r="B159" s="11">
        <f t="shared" si="141"/>
        <v>463.28274271165401</v>
      </c>
      <c r="C159" s="11">
        <f t="shared" si="145"/>
        <v>545.82660644977284</v>
      </c>
      <c r="D159" s="11">
        <f t="shared" si="145"/>
        <v>588.40741770343891</v>
      </c>
      <c r="E159" s="11">
        <f t="shared" si="145"/>
        <v>557.42579875001081</v>
      </c>
      <c r="F159" s="11">
        <f t="shared" si="145"/>
        <v>604.33246394772175</v>
      </c>
      <c r="H159" s="30">
        <f t="shared" si="146"/>
        <v>4.8978056206913756</v>
      </c>
      <c r="I159" s="30">
        <f t="shared" si="147"/>
        <v>0.17819116067332441</v>
      </c>
      <c r="L159" s="10" t="str">
        <f t="shared" ref="L159:Q159" si="162">L14</f>
        <v>31 Science, engineering and technology associate professionals</v>
      </c>
      <c r="M159" s="11">
        <f t="shared" si="162"/>
        <v>335.3162235863245</v>
      </c>
      <c r="N159" s="11">
        <f t="shared" si="162"/>
        <v>409.51259478084006</v>
      </c>
      <c r="O159" s="11">
        <f t="shared" si="162"/>
        <v>423.50200026833016</v>
      </c>
      <c r="P159" s="11">
        <f t="shared" si="162"/>
        <v>379.46759000336152</v>
      </c>
      <c r="Q159" s="11">
        <f t="shared" si="162"/>
        <v>394.21388901440332</v>
      </c>
      <c r="S159" s="30">
        <f t="shared" si="149"/>
        <v>4.7804308503232695</v>
      </c>
      <c r="T159" s="30">
        <f t="shared" si="150"/>
        <v>-0.47662458785867612</v>
      </c>
      <c r="W159" s="10" t="str">
        <f t="shared" ref="W159:AB159" si="163">W14</f>
        <v>31 Science, engineering and technology associate professionals</v>
      </c>
      <c r="X159" s="11">
        <f t="shared" si="163"/>
        <v>127.96651912532997</v>
      </c>
      <c r="Y159" s="11">
        <f t="shared" si="163"/>
        <v>136.31401166893244</v>
      </c>
      <c r="Z159" s="11">
        <f t="shared" si="163"/>
        <v>164.90541743510897</v>
      </c>
      <c r="AA159" s="11">
        <f t="shared" si="163"/>
        <v>177.95820874664844</v>
      </c>
      <c r="AB159" s="11">
        <f t="shared" si="163"/>
        <v>210.11857493331843</v>
      </c>
      <c r="AD159" s="30">
        <f t="shared" si="152"/>
        <v>5.202900402470334</v>
      </c>
      <c r="AE159" s="30">
        <f t="shared" si="153"/>
        <v>1.628449914514607</v>
      </c>
    </row>
    <row r="160" spans="1:31">
      <c r="A160" s="10" t="str">
        <f t="shared" si="141"/>
        <v>32 Health and social care associate professionals</v>
      </c>
      <c r="B160" s="11">
        <f t="shared" si="141"/>
        <v>493.00201988165986</v>
      </c>
      <c r="C160" s="11">
        <f t="shared" si="145"/>
        <v>555.82389825767791</v>
      </c>
      <c r="D160" s="11">
        <f t="shared" si="145"/>
        <v>567.17631851210399</v>
      </c>
      <c r="E160" s="11">
        <f t="shared" si="145"/>
        <v>896.94389420552898</v>
      </c>
      <c r="F160" s="11">
        <f t="shared" si="145"/>
        <v>1055.204133353878</v>
      </c>
      <c r="H160" s="30">
        <f t="shared" si="146"/>
        <v>2.8427966602561971</v>
      </c>
      <c r="I160" s="30">
        <f t="shared" si="147"/>
        <v>4.225637366043733</v>
      </c>
      <c r="L160" s="10" t="str">
        <f t="shared" ref="L160:Q160" si="164">L15</f>
        <v>32 Health and social care associate professionals</v>
      </c>
      <c r="M160" s="11">
        <f t="shared" si="164"/>
        <v>114.49174703160232</v>
      </c>
      <c r="N160" s="11">
        <f t="shared" si="164"/>
        <v>118.5837107643288</v>
      </c>
      <c r="O160" s="11">
        <f t="shared" si="164"/>
        <v>129.66876831873392</v>
      </c>
      <c r="P160" s="11">
        <f t="shared" si="164"/>
        <v>173.46537304640171</v>
      </c>
      <c r="Q160" s="11">
        <f t="shared" si="164"/>
        <v>195.12566843233208</v>
      </c>
      <c r="S160" s="30">
        <f t="shared" si="149"/>
        <v>2.5208600095185885</v>
      </c>
      <c r="T160" s="30">
        <f t="shared" si="150"/>
        <v>2.7618548193626635</v>
      </c>
      <c r="W160" s="10" t="str">
        <f t="shared" ref="W160:AB160" si="165">W15</f>
        <v>32 Health and social care associate professionals</v>
      </c>
      <c r="X160" s="11">
        <f t="shared" si="165"/>
        <v>378.51027285005705</v>
      </c>
      <c r="Y160" s="11">
        <f t="shared" si="165"/>
        <v>437.24018749334891</v>
      </c>
      <c r="Z160" s="11">
        <f t="shared" si="165"/>
        <v>437.50755019336901</v>
      </c>
      <c r="AA160" s="11">
        <f t="shared" si="165"/>
        <v>723.47852115912588</v>
      </c>
      <c r="AB160" s="11">
        <f t="shared" si="165"/>
        <v>860.07846492154374</v>
      </c>
      <c r="AD160" s="30">
        <f t="shared" si="152"/>
        <v>2.9393866562894555</v>
      </c>
      <c r="AE160" s="30">
        <f t="shared" si="153"/>
        <v>4.6092691944369157</v>
      </c>
    </row>
    <row r="161" spans="1:31">
      <c r="A161" s="10" t="str">
        <f t="shared" si="141"/>
        <v>33 Protective service occupations</v>
      </c>
      <c r="B161" s="11">
        <f t="shared" si="141"/>
        <v>294.53338224612924</v>
      </c>
      <c r="C161" s="11">
        <f t="shared" si="145"/>
        <v>302.83777946632176</v>
      </c>
      <c r="D161" s="11">
        <f t="shared" si="145"/>
        <v>320.85693432953025</v>
      </c>
      <c r="E161" s="11">
        <f t="shared" si="145"/>
        <v>273.21297114851421</v>
      </c>
      <c r="F161" s="11">
        <f t="shared" si="145"/>
        <v>294.04112821504583</v>
      </c>
      <c r="H161" s="30">
        <f t="shared" si="146"/>
        <v>1.7267994882371518</v>
      </c>
      <c r="I161" s="30">
        <f t="shared" si="147"/>
        <v>-0.58014851394102562</v>
      </c>
      <c r="L161" s="10" t="str">
        <f t="shared" ref="L161:Q161" si="166">L16</f>
        <v>33 Protective service occupations</v>
      </c>
      <c r="M161" s="11">
        <f t="shared" si="166"/>
        <v>229.71943815941162</v>
      </c>
      <c r="N161" s="11">
        <f t="shared" si="166"/>
        <v>230.20991784316658</v>
      </c>
      <c r="O161" s="11">
        <f t="shared" si="166"/>
        <v>239.7962095690612</v>
      </c>
      <c r="P161" s="11">
        <f t="shared" si="166"/>
        <v>200.45110437001125</v>
      </c>
      <c r="Q161" s="11">
        <f t="shared" si="166"/>
        <v>199.25599578662175</v>
      </c>
      <c r="S161" s="30">
        <f t="shared" si="149"/>
        <v>0.86231077548855062</v>
      </c>
      <c r="T161" s="30">
        <f t="shared" si="150"/>
        <v>-1.2270695218629668</v>
      </c>
      <c r="W161" s="10" t="str">
        <f t="shared" ref="W161:AB161" si="167">W16</f>
        <v>33 Protective service occupations</v>
      </c>
      <c r="X161" s="11">
        <f t="shared" si="167"/>
        <v>64.813944086716745</v>
      </c>
      <c r="Y161" s="11">
        <f t="shared" si="167"/>
        <v>72.62786162315723</v>
      </c>
      <c r="Z161" s="11">
        <f t="shared" si="167"/>
        <v>81.060724760467608</v>
      </c>
      <c r="AA161" s="11">
        <f t="shared" si="167"/>
        <v>72.761866778502167</v>
      </c>
      <c r="AB161" s="11">
        <f t="shared" si="167"/>
        <v>94.785132428423083</v>
      </c>
      <c r="AD161" s="30">
        <f t="shared" si="152"/>
        <v>4.5751283923300745</v>
      </c>
      <c r="AE161" s="30">
        <f t="shared" si="153"/>
        <v>1.0482157147176263</v>
      </c>
    </row>
    <row r="162" spans="1:31">
      <c r="A162" s="10" t="str">
        <f t="shared" si="141"/>
        <v>34 Culture, media and sports occupations</v>
      </c>
      <c r="B162" s="11">
        <f t="shared" si="141"/>
        <v>627.36985128235642</v>
      </c>
      <c r="C162" s="11">
        <f t="shared" si="145"/>
        <v>627.37830048121612</v>
      </c>
      <c r="D162" s="11">
        <f t="shared" si="145"/>
        <v>680.96833755090472</v>
      </c>
      <c r="E162" s="11">
        <f t="shared" si="145"/>
        <v>622.21446039961336</v>
      </c>
      <c r="F162" s="11">
        <f t="shared" si="145"/>
        <v>678.61701625076512</v>
      </c>
      <c r="H162" s="30">
        <f t="shared" si="146"/>
        <v>1.6531064594082379</v>
      </c>
      <c r="I162" s="30">
        <f t="shared" si="147"/>
        <v>-2.3056564612755626E-2</v>
      </c>
      <c r="L162" s="10" t="str">
        <f t="shared" ref="L162:Q162" si="168">L17</f>
        <v>34 Culture, media and sports occupations</v>
      </c>
      <c r="M162" s="11">
        <f t="shared" si="168"/>
        <v>347.34112331081229</v>
      </c>
      <c r="N162" s="11">
        <f t="shared" si="168"/>
        <v>341.00638116839383</v>
      </c>
      <c r="O162" s="11">
        <f t="shared" si="168"/>
        <v>351.31506863906549</v>
      </c>
      <c r="P162" s="11">
        <f t="shared" si="168"/>
        <v>313.52078832250288</v>
      </c>
      <c r="Q162" s="11">
        <f t="shared" si="168"/>
        <v>338.54554086042094</v>
      </c>
      <c r="S162" s="30">
        <f t="shared" si="149"/>
        <v>0.22778084598282788</v>
      </c>
      <c r="T162" s="30">
        <f t="shared" si="150"/>
        <v>-0.24652783131223766</v>
      </c>
      <c r="W162" s="10" t="str">
        <f t="shared" ref="W162:AB162" si="169">W17</f>
        <v>34 Culture, media and sports occupations</v>
      </c>
      <c r="X162" s="11">
        <f t="shared" si="169"/>
        <v>280.02872797154498</v>
      </c>
      <c r="Y162" s="11">
        <f t="shared" si="169"/>
        <v>286.37191931282291</v>
      </c>
      <c r="Z162" s="11">
        <f t="shared" si="169"/>
        <v>329.65326891183929</v>
      </c>
      <c r="AA162" s="11">
        <f t="shared" si="169"/>
        <v>308.69367207711042</v>
      </c>
      <c r="AB162" s="11">
        <f t="shared" si="169"/>
        <v>340.07147539034497</v>
      </c>
      <c r="AD162" s="30">
        <f t="shared" si="152"/>
        <v>3.3168031802595976</v>
      </c>
      <c r="AE162" s="30">
        <f t="shared" si="153"/>
        <v>0.20764471989740407</v>
      </c>
    </row>
    <row r="163" spans="1:31">
      <c r="A163" s="10" t="str">
        <f t="shared" si="141"/>
        <v>35 Business and public service associate professionals</v>
      </c>
      <c r="B163" s="11">
        <f t="shared" si="141"/>
        <v>1794.8908672659011</v>
      </c>
      <c r="C163" s="11">
        <f t="shared" si="145"/>
        <v>1934.4233181110708</v>
      </c>
      <c r="D163" s="11">
        <f t="shared" si="145"/>
        <v>1991.1109140397323</v>
      </c>
      <c r="E163" s="11">
        <f t="shared" si="145"/>
        <v>2025.3749831613666</v>
      </c>
      <c r="F163" s="11">
        <f t="shared" si="145"/>
        <v>2140.9414533872537</v>
      </c>
      <c r="H163" s="30">
        <f t="shared" si="146"/>
        <v>2.0966473648973638</v>
      </c>
      <c r="I163" s="30">
        <f t="shared" si="147"/>
        <v>0.48485786703520439</v>
      </c>
      <c r="L163" s="10" t="str">
        <f t="shared" ref="L163:Q163" si="170">L18</f>
        <v>35 Business and public service associate professionals</v>
      </c>
      <c r="M163" s="11">
        <f t="shared" si="170"/>
        <v>965.95917277592878</v>
      </c>
      <c r="N163" s="11">
        <f t="shared" si="170"/>
        <v>1018.4470827087144</v>
      </c>
      <c r="O163" s="11">
        <f t="shared" si="170"/>
        <v>1053.5518681258898</v>
      </c>
      <c r="P163" s="11">
        <f t="shared" si="170"/>
        <v>1057.9940747821515</v>
      </c>
      <c r="Q163" s="11">
        <f t="shared" si="170"/>
        <v>1080.6873903129567</v>
      </c>
      <c r="S163" s="30">
        <f t="shared" si="149"/>
        <v>1.7511743106169986</v>
      </c>
      <c r="T163" s="30">
        <f t="shared" si="150"/>
        <v>0.16967795062914348</v>
      </c>
      <c r="W163" s="10" t="str">
        <f t="shared" ref="W163:AB163" si="171">W18</f>
        <v>35 Business and public service associate professionals</v>
      </c>
      <c r="X163" s="11">
        <f t="shared" si="171"/>
        <v>828.93169448996821</v>
      </c>
      <c r="Y163" s="11">
        <f t="shared" si="171"/>
        <v>915.97623540235111</v>
      </c>
      <c r="Z163" s="11">
        <f t="shared" si="171"/>
        <v>937.55904591384251</v>
      </c>
      <c r="AA163" s="11">
        <f t="shared" si="171"/>
        <v>967.38090837922243</v>
      </c>
      <c r="AB163" s="11">
        <f t="shared" si="171"/>
        <v>1060.2540630743006</v>
      </c>
      <c r="AD163" s="30">
        <f t="shared" si="152"/>
        <v>2.4934180414734275</v>
      </c>
      <c r="AE163" s="30">
        <f t="shared" si="153"/>
        <v>0.82326435150315014</v>
      </c>
    </row>
    <row r="164" spans="1:31">
      <c r="A164" s="10" t="str">
        <f t="shared" si="141"/>
        <v>41 Administrative occupations</v>
      </c>
      <c r="B164" s="11">
        <f t="shared" si="141"/>
        <v>2509.3095493403998</v>
      </c>
      <c r="C164" s="11">
        <f t="shared" si="145"/>
        <v>2472.5923602894604</v>
      </c>
      <c r="D164" s="11">
        <f t="shared" si="145"/>
        <v>2567.7596878310501</v>
      </c>
      <c r="E164" s="11">
        <f t="shared" si="145"/>
        <v>2656.3729438846876</v>
      </c>
      <c r="F164" s="11">
        <f t="shared" si="145"/>
        <v>2608.0002276081527</v>
      </c>
      <c r="H164" s="30">
        <f t="shared" si="146"/>
        <v>0.46158537009362011</v>
      </c>
      <c r="I164" s="30">
        <f t="shared" si="147"/>
        <v>0.10371994793105799</v>
      </c>
      <c r="L164" s="10" t="str">
        <f t="shared" ref="L164:Q164" si="172">L19</f>
        <v>41 Administrative occupations</v>
      </c>
      <c r="M164" s="11">
        <f t="shared" si="172"/>
        <v>727.83657437185593</v>
      </c>
      <c r="N164" s="11">
        <f t="shared" si="172"/>
        <v>694.85889696752338</v>
      </c>
      <c r="O164" s="11">
        <f t="shared" si="172"/>
        <v>818.45285183372221</v>
      </c>
      <c r="P164" s="11">
        <f t="shared" si="172"/>
        <v>874.87626257476779</v>
      </c>
      <c r="Q164" s="11">
        <f t="shared" si="172"/>
        <v>965.12021326302624</v>
      </c>
      <c r="S164" s="30">
        <f t="shared" si="149"/>
        <v>2.3745387780761407</v>
      </c>
      <c r="T164" s="30">
        <f t="shared" si="150"/>
        <v>1.1049727211951632</v>
      </c>
      <c r="W164" s="10" t="str">
        <f t="shared" ref="W164:AB164" si="173">W19</f>
        <v>41 Administrative occupations</v>
      </c>
      <c r="X164" s="11">
        <f t="shared" si="173"/>
        <v>1781.4729749685389</v>
      </c>
      <c r="Y164" s="11">
        <f t="shared" si="173"/>
        <v>1777.7334633219327</v>
      </c>
      <c r="Z164" s="11">
        <f t="shared" si="173"/>
        <v>1749.3068359973265</v>
      </c>
      <c r="AA164" s="11">
        <f t="shared" si="173"/>
        <v>1781.4966813099238</v>
      </c>
      <c r="AB164" s="11">
        <f t="shared" si="173"/>
        <v>1642.8800143451274</v>
      </c>
      <c r="AD164" s="30">
        <f t="shared" si="152"/>
        <v>-0.3637552095016483</v>
      </c>
      <c r="AE164" s="30">
        <f t="shared" si="153"/>
        <v>-0.41758439989406648</v>
      </c>
    </row>
    <row r="165" spans="1:31">
      <c r="A165" s="10" t="str">
        <f t="shared" si="141"/>
        <v>42 Secretarial and related occupations</v>
      </c>
      <c r="B165" s="11">
        <f t="shared" si="141"/>
        <v>640.18421130639149</v>
      </c>
      <c r="C165" s="11">
        <f t="shared" si="145"/>
        <v>588.31426570119629</v>
      </c>
      <c r="D165" s="11">
        <f t="shared" si="145"/>
        <v>571.84680079936788</v>
      </c>
      <c r="E165" s="11">
        <f t="shared" si="145"/>
        <v>527.15747825162987</v>
      </c>
      <c r="F165" s="11">
        <f t="shared" si="145"/>
        <v>398.32398571153078</v>
      </c>
      <c r="H165" s="30">
        <f t="shared" si="146"/>
        <v>-2.2324015539863074</v>
      </c>
      <c r="I165" s="30">
        <f t="shared" si="147"/>
        <v>-2.3818774306827328</v>
      </c>
      <c r="L165" s="10" t="str">
        <f t="shared" ref="L165:Q165" si="174">L20</f>
        <v>42 Secretarial and related occupations</v>
      </c>
      <c r="M165" s="11">
        <f t="shared" si="174"/>
        <v>46.093453153348044</v>
      </c>
      <c r="N165" s="11">
        <f t="shared" si="174"/>
        <v>36.22410403174166</v>
      </c>
      <c r="O165" s="11">
        <f t="shared" si="174"/>
        <v>35.701728456353983</v>
      </c>
      <c r="P165" s="11">
        <f t="shared" si="174"/>
        <v>32.5712503774947</v>
      </c>
      <c r="Q165" s="11">
        <f t="shared" si="174"/>
        <v>37.951441632302746</v>
      </c>
      <c r="S165" s="30">
        <f t="shared" si="149"/>
        <v>-4.9810997738530371</v>
      </c>
      <c r="T165" s="30">
        <f t="shared" si="150"/>
        <v>0.40822020494153399</v>
      </c>
      <c r="W165" s="10" t="str">
        <f t="shared" ref="W165:AB165" si="175">W20</f>
        <v>42 Secretarial and related occupations</v>
      </c>
      <c r="X165" s="11">
        <f t="shared" si="175"/>
        <v>594.09075815304323</v>
      </c>
      <c r="Y165" s="11">
        <f t="shared" si="175"/>
        <v>552.09016166945446</v>
      </c>
      <c r="Z165" s="11">
        <f t="shared" si="175"/>
        <v>536.14507234301448</v>
      </c>
      <c r="AA165" s="11">
        <f t="shared" si="175"/>
        <v>494.58622787413481</v>
      </c>
      <c r="AB165" s="11">
        <f t="shared" si="175"/>
        <v>360.37254407922774</v>
      </c>
      <c r="AD165" s="30">
        <f t="shared" si="152"/>
        <v>-2.0316249998428515</v>
      </c>
      <c r="AE165" s="30">
        <f t="shared" si="153"/>
        <v>-2.613679263338986</v>
      </c>
    </row>
    <row r="166" spans="1:31">
      <c r="A166" s="10" t="str">
        <f t="shared" si="141"/>
        <v>51 Skilled agricultural and related trades</v>
      </c>
      <c r="B166" s="11">
        <f t="shared" si="141"/>
        <v>298.83864607965563</v>
      </c>
      <c r="C166" s="11">
        <f t="shared" si="145"/>
        <v>302.26783410806155</v>
      </c>
      <c r="D166" s="11">
        <f t="shared" si="145"/>
        <v>271.9670256457141</v>
      </c>
      <c r="E166" s="11">
        <f t="shared" si="145"/>
        <v>269.43754865618814</v>
      </c>
      <c r="F166" s="11">
        <f t="shared" si="145"/>
        <v>298.01795271042778</v>
      </c>
      <c r="H166" s="30">
        <f t="shared" si="146"/>
        <v>-1.8668141374120428</v>
      </c>
      <c r="I166" s="30">
        <f t="shared" si="147"/>
        <v>0.61168251002796659</v>
      </c>
      <c r="L166" s="10" t="str">
        <f t="shared" ref="L166:Q166" si="176">L21</f>
        <v>51 Skilled agricultural and related trades</v>
      </c>
      <c r="M166" s="11">
        <f t="shared" si="176"/>
        <v>250.64111379511544</v>
      </c>
      <c r="N166" s="11">
        <f t="shared" si="176"/>
        <v>252.30613759773522</v>
      </c>
      <c r="O166" s="11">
        <f t="shared" si="176"/>
        <v>216.98274328121153</v>
      </c>
      <c r="P166" s="11">
        <f t="shared" si="176"/>
        <v>211.18917441775167</v>
      </c>
      <c r="Q166" s="11">
        <f t="shared" si="176"/>
        <v>226.24225337156895</v>
      </c>
      <c r="S166" s="30">
        <f t="shared" si="149"/>
        <v>-2.8428925041797504</v>
      </c>
      <c r="T166" s="30">
        <f t="shared" si="150"/>
        <v>0.27897853235525627</v>
      </c>
      <c r="W166" s="10" t="str">
        <f t="shared" ref="W166:AB166" si="177">W21</f>
        <v>51 Skilled agricultural and related trades</v>
      </c>
      <c r="X166" s="11">
        <f t="shared" si="177"/>
        <v>48.197532284540223</v>
      </c>
      <c r="Y166" s="11">
        <f t="shared" si="177"/>
        <v>49.961696510325552</v>
      </c>
      <c r="Z166" s="11">
        <f t="shared" si="177"/>
        <v>54.984282364501738</v>
      </c>
      <c r="AA166" s="11">
        <f t="shared" si="177"/>
        <v>58.248374238436412</v>
      </c>
      <c r="AB166" s="11">
        <f t="shared" si="177"/>
        <v>71.77569933885907</v>
      </c>
      <c r="AD166" s="30">
        <f t="shared" si="152"/>
        <v>2.6698084232242181</v>
      </c>
      <c r="AE166" s="30">
        <f t="shared" si="153"/>
        <v>1.792533775357863</v>
      </c>
    </row>
    <row r="167" spans="1:31">
      <c r="A167" s="10" t="str">
        <f t="shared" si="141"/>
        <v>52 Skilled metal, electrical and electronic trades</v>
      </c>
      <c r="B167" s="11">
        <f t="shared" si="141"/>
        <v>1042.1574658136535</v>
      </c>
      <c r="C167" s="11">
        <f t="shared" si="145"/>
        <v>1064.18444026626</v>
      </c>
      <c r="D167" s="11">
        <f t="shared" si="145"/>
        <v>921.97868029404242</v>
      </c>
      <c r="E167" s="11">
        <f t="shared" si="145"/>
        <v>917.17586309660999</v>
      </c>
      <c r="F167" s="11">
        <f t="shared" si="145"/>
        <v>865.475059700835</v>
      </c>
      <c r="H167" s="30">
        <f t="shared" si="146"/>
        <v>-2.4207430055063761</v>
      </c>
      <c r="I167" s="30">
        <f t="shared" si="147"/>
        <v>-0.42073602765486662</v>
      </c>
      <c r="L167" s="10" t="str">
        <f t="shared" ref="L167:Q167" si="178">L22</f>
        <v>52 Skilled metal, electrical and electronic trades</v>
      </c>
      <c r="M167" s="11">
        <f t="shared" si="178"/>
        <v>1024.0224599930325</v>
      </c>
      <c r="N167" s="11">
        <f t="shared" si="178"/>
        <v>1033.9838601018039</v>
      </c>
      <c r="O167" s="11">
        <f t="shared" si="178"/>
        <v>899.07084758315523</v>
      </c>
      <c r="P167" s="11">
        <f t="shared" si="178"/>
        <v>876.760632583046</v>
      </c>
      <c r="Q167" s="11">
        <f t="shared" si="178"/>
        <v>815.14902033959197</v>
      </c>
      <c r="S167" s="30">
        <f t="shared" si="149"/>
        <v>-2.5690613105248672</v>
      </c>
      <c r="T167" s="30">
        <f t="shared" si="150"/>
        <v>-0.65114344597780871</v>
      </c>
      <c r="W167" s="10" t="str">
        <f t="shared" ref="W167:AB167" si="179">W22</f>
        <v>52 Skilled metal, electrical and electronic trades</v>
      </c>
      <c r="X167" s="11">
        <f t="shared" si="179"/>
        <v>18.13500582062046</v>
      </c>
      <c r="Y167" s="11">
        <f t="shared" si="179"/>
        <v>30.200580164460813</v>
      </c>
      <c r="Z167" s="11">
        <f t="shared" si="179"/>
        <v>22.907832710885604</v>
      </c>
      <c r="AA167" s="11">
        <f t="shared" si="179"/>
        <v>40.415230513564502</v>
      </c>
      <c r="AB167" s="11">
        <f t="shared" si="179"/>
        <v>50.326039361242614</v>
      </c>
      <c r="AD167" s="30">
        <f t="shared" si="152"/>
        <v>4.7835868526153513</v>
      </c>
      <c r="AE167" s="30">
        <f t="shared" si="153"/>
        <v>5.3870505129285817</v>
      </c>
    </row>
    <row r="168" spans="1:31">
      <c r="A168" s="10" t="str">
        <f t="shared" si="141"/>
        <v>53 Skilled construction and building trades</v>
      </c>
      <c r="B168" s="11">
        <f t="shared" si="141"/>
        <v>918.22690874959676</v>
      </c>
      <c r="C168" s="11">
        <f t="shared" si="145"/>
        <v>907.39739905518616</v>
      </c>
      <c r="D168" s="11">
        <f t="shared" si="145"/>
        <v>769.61235836915148</v>
      </c>
      <c r="E168" s="11">
        <f t="shared" si="145"/>
        <v>775.26803802162817</v>
      </c>
      <c r="F168" s="11">
        <f t="shared" si="145"/>
        <v>718.69802351717806</v>
      </c>
      <c r="H168" s="30">
        <f t="shared" si="146"/>
        <v>-3.4695338426076749</v>
      </c>
      <c r="I168" s="30">
        <f t="shared" si="147"/>
        <v>-0.45526506581279325</v>
      </c>
      <c r="L168" s="10" t="str">
        <f t="shared" ref="L168:Q168" si="180">L23</f>
        <v>53 Skilled construction and building trades</v>
      </c>
      <c r="M168" s="11">
        <f t="shared" si="180"/>
        <v>903.50029006499324</v>
      </c>
      <c r="N168" s="11">
        <f t="shared" si="180"/>
        <v>889.03762345726977</v>
      </c>
      <c r="O168" s="11">
        <f t="shared" si="180"/>
        <v>750.69644760200902</v>
      </c>
      <c r="P168" s="11">
        <f t="shared" si="180"/>
        <v>762.72298716077989</v>
      </c>
      <c r="Q168" s="11">
        <f t="shared" si="180"/>
        <v>704.16901469255447</v>
      </c>
      <c r="S168" s="30">
        <f t="shared" si="149"/>
        <v>-3.6376876679225068</v>
      </c>
      <c r="T168" s="30">
        <f t="shared" si="150"/>
        <v>-0.4256446704653416</v>
      </c>
      <c r="W168" s="10" t="str">
        <f t="shared" ref="W168:AB168" si="181">W23</f>
        <v>53 Skilled construction and building trades</v>
      </c>
      <c r="X168" s="11">
        <f t="shared" si="181"/>
        <v>14.726618684604233</v>
      </c>
      <c r="Y168" s="11">
        <f t="shared" si="181"/>
        <v>18.359775597916546</v>
      </c>
      <c r="Z168" s="11">
        <f t="shared" si="181"/>
        <v>18.915910767141682</v>
      </c>
      <c r="AA168" s="11">
        <f t="shared" si="181"/>
        <v>12.545050860848972</v>
      </c>
      <c r="AB168" s="11">
        <f t="shared" si="181"/>
        <v>14.529008824624869</v>
      </c>
      <c r="AD168" s="30">
        <f t="shared" si="152"/>
        <v>5.1344005880480381</v>
      </c>
      <c r="AE168" s="30">
        <f t="shared" si="153"/>
        <v>-1.7436601775250304</v>
      </c>
    </row>
    <row r="169" spans="1:31">
      <c r="A169" s="10" t="str">
        <f t="shared" si="141"/>
        <v>54 Textiles, printing and other skilled trades</v>
      </c>
      <c r="B169" s="11">
        <f t="shared" si="141"/>
        <v>630.46793566083784</v>
      </c>
      <c r="C169" s="11">
        <f t="shared" si="145"/>
        <v>576.92178100426145</v>
      </c>
      <c r="D169" s="11">
        <f t="shared" si="145"/>
        <v>543.77413661579681</v>
      </c>
      <c r="E169" s="11">
        <f t="shared" si="145"/>
        <v>576.01004503780393</v>
      </c>
      <c r="F169" s="11">
        <f t="shared" si="145"/>
        <v>587.56830356877924</v>
      </c>
      <c r="H169" s="30">
        <f t="shared" si="146"/>
        <v>-2.9152294191995609</v>
      </c>
      <c r="I169" s="30">
        <f t="shared" si="147"/>
        <v>0.51772579254762974</v>
      </c>
      <c r="L169" s="10" t="str">
        <f t="shared" ref="L169:Q169" si="182">L24</f>
        <v>54 Textiles, printing and other skilled trades</v>
      </c>
      <c r="M169" s="11">
        <f t="shared" si="182"/>
        <v>401.76819481597715</v>
      </c>
      <c r="N169" s="11">
        <f t="shared" si="182"/>
        <v>364.10475426804828</v>
      </c>
      <c r="O169" s="11">
        <f t="shared" si="182"/>
        <v>318.36080556645021</v>
      </c>
      <c r="P169" s="11">
        <f t="shared" si="182"/>
        <v>341.48743231186211</v>
      </c>
      <c r="Q169" s="11">
        <f t="shared" si="182"/>
        <v>346.57330293943801</v>
      </c>
      <c r="S169" s="30">
        <f t="shared" si="149"/>
        <v>-4.547170154072977</v>
      </c>
      <c r="T169" s="30">
        <f t="shared" si="150"/>
        <v>0.56766514992365735</v>
      </c>
      <c r="W169" s="10" t="str">
        <f t="shared" ref="W169:AB169" si="183">W24</f>
        <v>54 Textiles, printing and other skilled trades</v>
      </c>
      <c r="X169" s="11">
        <f t="shared" si="183"/>
        <v>228.69974084486122</v>
      </c>
      <c r="Y169" s="11">
        <f t="shared" si="183"/>
        <v>212.81702673621379</v>
      </c>
      <c r="Z169" s="11">
        <f t="shared" si="183"/>
        <v>225.4133310493485</v>
      </c>
      <c r="AA169" s="11">
        <f t="shared" si="183"/>
        <v>234.52261272594376</v>
      </c>
      <c r="AB169" s="11">
        <f t="shared" si="183"/>
        <v>240.99500062934234</v>
      </c>
      <c r="AD169" s="30">
        <f t="shared" si="152"/>
        <v>-0.28906587853646526</v>
      </c>
      <c r="AE169" s="30">
        <f t="shared" si="153"/>
        <v>0.44659725419118335</v>
      </c>
    </row>
    <row r="170" spans="1:31">
      <c r="A170" s="10" t="str">
        <f t="shared" si="141"/>
        <v>61 Caring personal service occupations</v>
      </c>
      <c r="B170" s="11">
        <f t="shared" si="141"/>
        <v>2030.2468142039766</v>
      </c>
      <c r="C170" s="11">
        <f t="shared" si="145"/>
        <v>2089.8052877913406</v>
      </c>
      <c r="D170" s="11">
        <f t="shared" si="145"/>
        <v>2019.8340014923285</v>
      </c>
      <c r="E170" s="11">
        <f t="shared" si="145"/>
        <v>2116.9998910688078</v>
      </c>
      <c r="F170" s="11">
        <f t="shared" si="145"/>
        <v>2292.0510206757358</v>
      </c>
      <c r="H170" s="30">
        <f t="shared" si="146"/>
        <v>-0.10278790615287914</v>
      </c>
      <c r="I170" s="30">
        <f t="shared" si="147"/>
        <v>0.84644040874675142</v>
      </c>
      <c r="L170" s="10" t="str">
        <f t="shared" ref="L170:Q170" si="184">L25</f>
        <v>61 Caring personal service occupations</v>
      </c>
      <c r="M170" s="11">
        <f t="shared" si="184"/>
        <v>311.25983263375065</v>
      </c>
      <c r="N170" s="11">
        <f t="shared" si="184"/>
        <v>322.48355148768326</v>
      </c>
      <c r="O170" s="11">
        <f t="shared" si="184"/>
        <v>311.47269709986608</v>
      </c>
      <c r="P170" s="11">
        <f t="shared" si="184"/>
        <v>374.16156422353623</v>
      </c>
      <c r="Q170" s="11">
        <f t="shared" si="184"/>
        <v>434.35397669676667</v>
      </c>
      <c r="S170" s="30">
        <f t="shared" si="149"/>
        <v>1.3673865893393256E-2</v>
      </c>
      <c r="T170" s="30">
        <f t="shared" si="150"/>
        <v>2.2417453330319415</v>
      </c>
      <c r="W170" s="10" t="str">
        <f t="shared" ref="W170:AB170" si="185">W25</f>
        <v>61 Caring personal service occupations</v>
      </c>
      <c r="X170" s="11">
        <f t="shared" si="185"/>
        <v>1718.986981570223</v>
      </c>
      <c r="Y170" s="11">
        <f t="shared" si="185"/>
        <v>1767.3217363036542</v>
      </c>
      <c r="Z170" s="11">
        <f t="shared" si="185"/>
        <v>1708.3613043924645</v>
      </c>
      <c r="AA170" s="11">
        <f t="shared" si="185"/>
        <v>1742.8383268452737</v>
      </c>
      <c r="AB170" s="11">
        <f t="shared" si="185"/>
        <v>1857.6970439789782</v>
      </c>
      <c r="AD170" s="30">
        <f t="shared" si="152"/>
        <v>-0.12393401007856353</v>
      </c>
      <c r="AE170" s="30">
        <f t="shared" si="153"/>
        <v>0.56024998076524835</v>
      </c>
    </row>
    <row r="171" spans="1:31">
      <c r="A171" s="10" t="str">
        <f t="shared" si="141"/>
        <v>62 Leisure, travel and related personal service occupations</v>
      </c>
      <c r="B171" s="11">
        <f t="shared" si="141"/>
        <v>627.3899065379079</v>
      </c>
      <c r="C171" s="11">
        <f t="shared" si="145"/>
        <v>680.2954268390763</v>
      </c>
      <c r="D171" s="11">
        <f t="shared" si="145"/>
        <v>627.66767668036812</v>
      </c>
      <c r="E171" s="11">
        <f t="shared" si="145"/>
        <v>592.13637104133159</v>
      </c>
      <c r="F171" s="11">
        <f t="shared" si="145"/>
        <v>602.79487172872302</v>
      </c>
      <c r="H171" s="30">
        <f t="shared" si="146"/>
        <v>8.8532174563393795E-3</v>
      </c>
      <c r="I171" s="30">
        <f t="shared" si="147"/>
        <v>-0.26919628087314074</v>
      </c>
      <c r="L171" s="10" t="str">
        <f t="shared" ref="L171:Q171" si="186">L26</f>
        <v>62 Leisure, travel and related personal service occupations</v>
      </c>
      <c r="M171" s="11">
        <f t="shared" si="186"/>
        <v>184.68109088265953</v>
      </c>
      <c r="N171" s="11">
        <f t="shared" si="186"/>
        <v>207.7612005136078</v>
      </c>
      <c r="O171" s="11">
        <f t="shared" si="186"/>
        <v>198.46082888973393</v>
      </c>
      <c r="P171" s="11">
        <f t="shared" si="186"/>
        <v>193.87490527455404</v>
      </c>
      <c r="Q171" s="11">
        <f t="shared" si="186"/>
        <v>209.93640702482563</v>
      </c>
      <c r="S171" s="30">
        <f t="shared" si="149"/>
        <v>1.4496315173390784</v>
      </c>
      <c r="T171" s="30">
        <f t="shared" si="150"/>
        <v>0.37545585006497628</v>
      </c>
      <c r="W171" s="10" t="str">
        <f t="shared" ref="W171:AB171" si="187">W26</f>
        <v>62 Leisure, travel and related personal service occupations</v>
      </c>
      <c r="X171" s="11">
        <f t="shared" si="187"/>
        <v>442.70881565524849</v>
      </c>
      <c r="Y171" s="11">
        <f t="shared" si="187"/>
        <v>472.5342263254683</v>
      </c>
      <c r="Z171" s="11">
        <f t="shared" si="187"/>
        <v>429.20684779063481</v>
      </c>
      <c r="AA171" s="11">
        <f t="shared" si="187"/>
        <v>398.26146576677797</v>
      </c>
      <c r="AB171" s="11">
        <f t="shared" si="187"/>
        <v>392.85846470389714</v>
      </c>
      <c r="AD171" s="30">
        <f t="shared" si="152"/>
        <v>-0.61755101700854409</v>
      </c>
      <c r="AE171" s="30">
        <f t="shared" si="153"/>
        <v>-0.58819372142634441</v>
      </c>
    </row>
    <row r="172" spans="1:31">
      <c r="A172" s="10" t="str">
        <f t="shared" si="141"/>
        <v>63 Community and civil enforcement occupations</v>
      </c>
      <c r="B172" s="11">
        <f t="shared" si="141"/>
        <v>28.840224624383737</v>
      </c>
      <c r="C172" s="11">
        <f t="shared" si="145"/>
        <v>24.875420380183126</v>
      </c>
      <c r="D172" s="11">
        <f t="shared" si="145"/>
        <v>31.002949965390982</v>
      </c>
      <c r="E172" s="11">
        <f t="shared" si="145"/>
        <v>23.001968670549161</v>
      </c>
      <c r="F172" s="11">
        <f t="shared" si="145"/>
        <v>25.111456131993485</v>
      </c>
      <c r="H172" s="30">
        <f t="shared" si="146"/>
        <v>1.456733615913075</v>
      </c>
      <c r="I172" s="30">
        <f t="shared" si="147"/>
        <v>-1.3952298324035661</v>
      </c>
      <c r="L172" s="10" t="str">
        <f t="shared" ref="L172:Q172" si="188">L27</f>
        <v>63 Community and civil enforcement occupations</v>
      </c>
      <c r="M172" s="11">
        <f t="shared" si="188"/>
        <v>22.290786952543879</v>
      </c>
      <c r="N172" s="11">
        <f t="shared" si="188"/>
        <v>16.842116200071658</v>
      </c>
      <c r="O172" s="11">
        <f t="shared" si="188"/>
        <v>24.287524520410017</v>
      </c>
      <c r="P172" s="11">
        <f t="shared" si="188"/>
        <v>13.869065289823112</v>
      </c>
      <c r="Q172" s="11">
        <f t="shared" si="188"/>
        <v>16.058275525866105</v>
      </c>
      <c r="S172" s="30">
        <f t="shared" si="149"/>
        <v>1.7305916277277067</v>
      </c>
      <c r="T172" s="30">
        <f t="shared" si="150"/>
        <v>-2.7205641053409724</v>
      </c>
      <c r="W172" s="10" t="str">
        <f t="shared" ref="W172:AB172" si="189">W27</f>
        <v>63 Community and civil enforcement occupations</v>
      </c>
      <c r="X172" s="11">
        <f t="shared" si="189"/>
        <v>6.5494376718399119</v>
      </c>
      <c r="Y172" s="11">
        <f t="shared" si="189"/>
        <v>8.0333041801115392</v>
      </c>
      <c r="Z172" s="11">
        <f t="shared" si="189"/>
        <v>6.7154254449809176</v>
      </c>
      <c r="AA172" s="11">
        <f t="shared" si="189"/>
        <v>9.1329033807260522</v>
      </c>
      <c r="AB172" s="11">
        <f t="shared" si="189"/>
        <v>9.0531806061273876</v>
      </c>
      <c r="AD172" s="30">
        <f t="shared" si="152"/>
        <v>0.50181471442729553</v>
      </c>
      <c r="AE172" s="30">
        <f t="shared" si="153"/>
        <v>2.0113535673613736</v>
      </c>
    </row>
    <row r="173" spans="1:31">
      <c r="A173" s="10" t="str">
        <f t="shared" si="141"/>
        <v>71 Sales occupations</v>
      </c>
      <c r="B173" s="11">
        <f t="shared" si="141"/>
        <v>1992.1189392123574</v>
      </c>
      <c r="C173" s="11">
        <f t="shared" si="145"/>
        <v>1892.2329930164867</v>
      </c>
      <c r="D173" s="11">
        <f t="shared" si="145"/>
        <v>1855.6966390660123</v>
      </c>
      <c r="E173" s="11">
        <f t="shared" si="145"/>
        <v>1827.9786053280959</v>
      </c>
      <c r="F173" s="11">
        <f t="shared" si="145"/>
        <v>1776.4423055232701</v>
      </c>
      <c r="H173" s="30">
        <f t="shared" si="146"/>
        <v>-1.4087567049916094</v>
      </c>
      <c r="I173" s="30">
        <f t="shared" si="147"/>
        <v>-0.29056047198369184</v>
      </c>
      <c r="L173" s="10" t="str">
        <f t="shared" ref="L173:Q173" si="190">L28</f>
        <v>71 Sales occupations</v>
      </c>
      <c r="M173" s="11">
        <f t="shared" si="190"/>
        <v>793.63754454260561</v>
      </c>
      <c r="N173" s="11">
        <f t="shared" si="190"/>
        <v>788.63363985370268</v>
      </c>
      <c r="O173" s="11">
        <f t="shared" si="190"/>
        <v>774.40548986854833</v>
      </c>
      <c r="P173" s="11">
        <f t="shared" si="190"/>
        <v>770.47287003575786</v>
      </c>
      <c r="Q173" s="11">
        <f t="shared" si="190"/>
        <v>770.22168150481446</v>
      </c>
      <c r="S173" s="30">
        <f t="shared" si="149"/>
        <v>-0.4894231800750326</v>
      </c>
      <c r="T173" s="30">
        <f t="shared" si="150"/>
        <v>-3.6108503681808735E-2</v>
      </c>
      <c r="W173" s="10" t="str">
        <f t="shared" ref="W173:AB173" si="191">W28</f>
        <v>71 Sales occupations</v>
      </c>
      <c r="X173" s="11">
        <f t="shared" si="191"/>
        <v>1198.4813946697545</v>
      </c>
      <c r="Y173" s="11">
        <f t="shared" si="191"/>
        <v>1103.5993531627848</v>
      </c>
      <c r="Z173" s="11">
        <f t="shared" si="191"/>
        <v>1081.291149197466</v>
      </c>
      <c r="AA173" s="11">
        <f t="shared" si="191"/>
        <v>1057.5057352923379</v>
      </c>
      <c r="AB173" s="11">
        <f t="shared" si="191"/>
        <v>1006.220624018454</v>
      </c>
      <c r="AD173" s="30">
        <f t="shared" si="152"/>
        <v>-2.0369562532958296</v>
      </c>
      <c r="AE173" s="30">
        <f t="shared" si="153"/>
        <v>-0.47854782567862131</v>
      </c>
    </row>
    <row r="174" spans="1:31">
      <c r="A174" s="10" t="str">
        <f t="shared" si="141"/>
        <v>72 Customer service occupations</v>
      </c>
      <c r="B174" s="11">
        <f t="shared" si="141"/>
        <v>459.59571905867102</v>
      </c>
      <c r="C174" s="11">
        <f t="shared" si="145"/>
        <v>498.82909103944002</v>
      </c>
      <c r="D174" s="11">
        <f t="shared" si="145"/>
        <v>508.15214932829099</v>
      </c>
      <c r="E174" s="11">
        <f t="shared" si="145"/>
        <v>567.71572285790808</v>
      </c>
      <c r="F174" s="11">
        <f t="shared" si="145"/>
        <v>631.80430785816031</v>
      </c>
      <c r="H174" s="30">
        <f t="shared" si="146"/>
        <v>2.0289831609051623</v>
      </c>
      <c r="I174" s="30">
        <f t="shared" si="147"/>
        <v>1.4625845924234326</v>
      </c>
      <c r="L174" s="10" t="str">
        <f t="shared" ref="L174:Q174" si="192">L29</f>
        <v>72 Customer service occupations</v>
      </c>
      <c r="M174" s="11">
        <f t="shared" si="192"/>
        <v>181.54292303428872</v>
      </c>
      <c r="N174" s="11">
        <f t="shared" si="192"/>
        <v>170.95875554882193</v>
      </c>
      <c r="O174" s="11">
        <f t="shared" si="192"/>
        <v>197.23484610684486</v>
      </c>
      <c r="P174" s="11">
        <f t="shared" si="192"/>
        <v>245.36036355002184</v>
      </c>
      <c r="Q174" s="11">
        <f t="shared" si="192"/>
        <v>284.46328361232622</v>
      </c>
      <c r="S174" s="30">
        <f t="shared" si="149"/>
        <v>1.6718824001946908</v>
      </c>
      <c r="T174" s="30">
        <f t="shared" si="150"/>
        <v>2.4714397551956591</v>
      </c>
      <c r="W174" s="10" t="str">
        <f t="shared" ref="W174:AB174" si="193">W29</f>
        <v>72 Customer service occupations</v>
      </c>
      <c r="X174" s="11">
        <f t="shared" si="193"/>
        <v>278.05279602438247</v>
      </c>
      <c r="Y174" s="11">
        <f t="shared" si="193"/>
        <v>327.87033549061783</v>
      </c>
      <c r="Z174" s="11">
        <f t="shared" si="193"/>
        <v>310.91730322144628</v>
      </c>
      <c r="AA174" s="11">
        <f t="shared" si="193"/>
        <v>322.35535930788836</v>
      </c>
      <c r="AB174" s="11">
        <f t="shared" si="193"/>
        <v>347.34102424583415</v>
      </c>
      <c r="AD174" s="30">
        <f t="shared" si="152"/>
        <v>2.2594670845389464</v>
      </c>
      <c r="AE174" s="30">
        <f t="shared" si="153"/>
        <v>0.74126792445048384</v>
      </c>
    </row>
    <row r="175" spans="1:31">
      <c r="A175" s="10" t="str">
        <f t="shared" si="141"/>
        <v>81 Process, plant and machine operatives</v>
      </c>
      <c r="B175" s="11">
        <f t="shared" si="141"/>
        <v>713.31333030825101</v>
      </c>
      <c r="C175" s="11">
        <f t="shared" si="145"/>
        <v>691.72064265695496</v>
      </c>
      <c r="D175" s="11">
        <f t="shared" si="145"/>
        <v>609.71859517402538</v>
      </c>
      <c r="E175" s="11">
        <f t="shared" si="145"/>
        <v>638.68146878490086</v>
      </c>
      <c r="F175" s="11">
        <f t="shared" si="145"/>
        <v>598.38816602412339</v>
      </c>
      <c r="H175" s="30">
        <f t="shared" si="146"/>
        <v>-3.0897263215582615</v>
      </c>
      <c r="I175" s="30">
        <f t="shared" si="147"/>
        <v>-0.12497438125811389</v>
      </c>
      <c r="L175" s="10" t="str">
        <f t="shared" ref="L175:Q175" si="194">L30</f>
        <v>81 Process, plant and machine operatives</v>
      </c>
      <c r="M175" s="11">
        <f t="shared" si="194"/>
        <v>556.98642676520933</v>
      </c>
      <c r="N175" s="11">
        <f t="shared" si="194"/>
        <v>528.98645036415655</v>
      </c>
      <c r="O175" s="11">
        <f t="shared" si="194"/>
        <v>469.64960221281223</v>
      </c>
      <c r="P175" s="11">
        <f t="shared" si="194"/>
        <v>473.51931016809766</v>
      </c>
      <c r="Q175" s="11">
        <f t="shared" si="194"/>
        <v>433.81990973379123</v>
      </c>
      <c r="S175" s="30">
        <f t="shared" si="149"/>
        <v>-3.3535582017368726</v>
      </c>
      <c r="T175" s="30">
        <f t="shared" si="150"/>
        <v>-0.52765230552425102</v>
      </c>
      <c r="W175" s="10" t="str">
        <f t="shared" ref="W175:AB175" si="195">W30</f>
        <v>81 Process, plant and machine operatives</v>
      </c>
      <c r="X175" s="11">
        <f t="shared" si="195"/>
        <v>156.32690354304097</v>
      </c>
      <c r="Y175" s="11">
        <f t="shared" si="195"/>
        <v>162.7341922927977</v>
      </c>
      <c r="Z175" s="11">
        <f t="shared" si="195"/>
        <v>140.06899296121219</v>
      </c>
      <c r="AA175" s="11">
        <f t="shared" si="195"/>
        <v>165.16215861680436</v>
      </c>
      <c r="AB175" s="11">
        <f t="shared" si="195"/>
        <v>164.56825629033261</v>
      </c>
      <c r="AD175" s="30">
        <f t="shared" si="152"/>
        <v>-2.1723421108047258</v>
      </c>
      <c r="AE175" s="30">
        <f t="shared" si="153"/>
        <v>1.0803966382731289</v>
      </c>
    </row>
    <row r="176" spans="1:31">
      <c r="A176" s="10" t="str">
        <f t="shared" si="141"/>
        <v>82 Transport and mobile machine drivers and operatives</v>
      </c>
      <c r="B176" s="11">
        <f t="shared" si="141"/>
        <v>1054.0123740558722</v>
      </c>
      <c r="C176" s="11">
        <f t="shared" si="145"/>
        <v>1178.8274412312694</v>
      </c>
      <c r="D176" s="11">
        <f t="shared" si="145"/>
        <v>1056.0707054043842</v>
      </c>
      <c r="E176" s="11">
        <f t="shared" si="145"/>
        <v>1085.5936032427051</v>
      </c>
      <c r="F176" s="11">
        <f t="shared" si="145"/>
        <v>1066.5769444018338</v>
      </c>
      <c r="H176" s="30">
        <f t="shared" si="146"/>
        <v>3.9026588927892902E-2</v>
      </c>
      <c r="I176" s="30">
        <f t="shared" si="147"/>
        <v>6.6016875276408982E-2</v>
      </c>
      <c r="L176" s="10" t="str">
        <f t="shared" ref="L176:Q176" si="196">L31</f>
        <v>82 Transport and mobile machine drivers and operatives</v>
      </c>
      <c r="M176" s="11">
        <f t="shared" si="196"/>
        <v>988.67241243807359</v>
      </c>
      <c r="N176" s="11">
        <f t="shared" si="196"/>
        <v>1112.3915530177214</v>
      </c>
      <c r="O176" s="11">
        <f t="shared" si="196"/>
        <v>993.83914180756892</v>
      </c>
      <c r="P176" s="11">
        <f t="shared" si="196"/>
        <v>1003.9970233370227</v>
      </c>
      <c r="Q176" s="11">
        <f t="shared" si="196"/>
        <v>975.10462147693943</v>
      </c>
      <c r="S176" s="30">
        <f t="shared" si="149"/>
        <v>0.10430073029725762</v>
      </c>
      <c r="T176" s="30">
        <f t="shared" si="150"/>
        <v>-0.12679018705805678</v>
      </c>
      <c r="W176" s="10" t="str">
        <f t="shared" ref="W176:AB176" si="197">W31</f>
        <v>82 Transport and mobile machine drivers and operatives</v>
      </c>
      <c r="X176" s="11">
        <f t="shared" si="197"/>
        <v>65.339961617798295</v>
      </c>
      <c r="Y176" s="11">
        <f t="shared" si="197"/>
        <v>66.435888213547102</v>
      </c>
      <c r="Z176" s="11">
        <f t="shared" si="197"/>
        <v>62.231563596814972</v>
      </c>
      <c r="AA176" s="11">
        <f t="shared" si="197"/>
        <v>81.596579905686156</v>
      </c>
      <c r="AB176" s="11">
        <f t="shared" si="197"/>
        <v>91.472322924895138</v>
      </c>
      <c r="AD176" s="30">
        <f t="shared" si="152"/>
        <v>-0.97009382328252514</v>
      </c>
      <c r="AE176" s="30">
        <f t="shared" si="153"/>
        <v>2.6010801732986977</v>
      </c>
    </row>
    <row r="177" spans="1:31">
      <c r="A177" s="10" t="str">
        <f t="shared" si="141"/>
        <v>91 Elementary trades and related occupations</v>
      </c>
      <c r="B177" s="11">
        <f t="shared" si="141"/>
        <v>475.90883310534304</v>
      </c>
      <c r="C177" s="11">
        <f t="shared" si="145"/>
        <v>428.55047108245554</v>
      </c>
      <c r="D177" s="11">
        <f t="shared" si="145"/>
        <v>379.27178924284834</v>
      </c>
      <c r="E177" s="11">
        <f t="shared" si="145"/>
        <v>690.72403992776935</v>
      </c>
      <c r="F177" s="11">
        <f t="shared" si="145"/>
        <v>777.66227634020322</v>
      </c>
      <c r="H177" s="30">
        <f>IF(D$151-B$151 &lt;&gt; 0,(EXP(LN(D177/B177)/(D$151-B$151))-1)*100,0)</f>
        <v>-4.4379725977855333</v>
      </c>
      <c r="I177" s="30">
        <f t="shared" si="147"/>
        <v>4.9033521437371386</v>
      </c>
      <c r="L177" s="10" t="str">
        <f t="shared" ref="L177:Q178" si="198">L32</f>
        <v>91 Elementary trades and related occupations</v>
      </c>
      <c r="M177" s="11">
        <f t="shared" si="198"/>
        <v>364.33938357079472</v>
      </c>
      <c r="N177" s="11">
        <f t="shared" si="198"/>
        <v>329.59423436194049</v>
      </c>
      <c r="O177" s="11">
        <f t="shared" si="198"/>
        <v>299.01635749787528</v>
      </c>
      <c r="P177" s="11">
        <f t="shared" si="198"/>
        <v>408.34644153742551</v>
      </c>
      <c r="Q177" s="11">
        <f t="shared" si="198"/>
        <v>439.7860145001855</v>
      </c>
      <c r="S177" s="30">
        <f t="shared" si="149"/>
        <v>-3.8746873171379925</v>
      </c>
      <c r="T177" s="30">
        <f t="shared" si="150"/>
        <v>2.6052929111471057</v>
      </c>
      <c r="W177" s="10" t="str">
        <f t="shared" ref="W177:AB178" si="199">W32</f>
        <v>91 Elementary trades and related occupations</v>
      </c>
      <c r="X177" s="11">
        <f t="shared" si="199"/>
        <v>111.56944953454892</v>
      </c>
      <c r="Y177" s="11">
        <f t="shared" si="199"/>
        <v>98.956236720515349</v>
      </c>
      <c r="Z177" s="11">
        <f t="shared" si="199"/>
        <v>80.255431744973919</v>
      </c>
      <c r="AA177" s="11">
        <f t="shared" si="199"/>
        <v>282.37759839034544</v>
      </c>
      <c r="AB177" s="11">
        <f t="shared" si="199"/>
        <v>337.87626184001806</v>
      </c>
      <c r="AD177" s="30">
        <f t="shared" si="152"/>
        <v>-6.3762938326051728</v>
      </c>
      <c r="AE177" s="30">
        <f t="shared" si="153"/>
        <v>10.057307301731399</v>
      </c>
    </row>
    <row r="178" spans="1:31">
      <c r="A178" s="10" t="str">
        <f t="shared" si="141"/>
        <v>92 Elementary administration and service occupations</v>
      </c>
      <c r="B178" s="11">
        <f t="shared" si="141"/>
        <v>2826.2835298888981</v>
      </c>
      <c r="C178" s="11">
        <f t="shared" si="145"/>
        <v>2861.6919255116009</v>
      </c>
      <c r="D178" s="11">
        <f t="shared" si="145"/>
        <v>2616.9152862125429</v>
      </c>
      <c r="E178" s="11">
        <f t="shared" si="145"/>
        <v>2369.7745651494492</v>
      </c>
      <c r="F178" s="11">
        <f t="shared" si="145"/>
        <v>2210.5081126228129</v>
      </c>
      <c r="H178" s="30">
        <f>IF(D$151-B$151 &lt;&gt; 0,(EXP(LN(D178/B178)/(D$151-B$151))-1)*100,0)</f>
        <v>-1.5275400347385948</v>
      </c>
      <c r="I178" s="30">
        <f t="shared" ref="I178" si="200">IF(F$151-D$151 &lt;&gt; 0,(EXP(LN(F178/D178)/(F$151-D$151))-1)*100,0)</f>
        <v>-1.1188527477296928</v>
      </c>
      <c r="L178" s="10" t="str">
        <f t="shared" si="198"/>
        <v>92 Elementary administration and service occupations</v>
      </c>
      <c r="M178" s="11">
        <f t="shared" si="198"/>
        <v>1401.0103376941013</v>
      </c>
      <c r="N178" s="11">
        <f t="shared" si="198"/>
        <v>1370.1224487542524</v>
      </c>
      <c r="O178" s="11">
        <f t="shared" si="198"/>
        <v>1290.3257579989206</v>
      </c>
      <c r="P178" s="11">
        <f t="shared" si="198"/>
        <v>1258.1566964807359</v>
      </c>
      <c r="Q178" s="11">
        <f t="shared" si="198"/>
        <v>1176.5625522461935</v>
      </c>
      <c r="S178" s="30">
        <f t="shared" ref="S178" si="201">IF(O$151-M$151 &lt;&gt; 0,(EXP(LN(O178/M178)/(O$151-M$151))-1)*100,0)</f>
        <v>-1.6325064697472413</v>
      </c>
      <c r="T178" s="30">
        <f t="shared" ref="T178" si="202">IF(Q$151-O$151 &lt;&gt; 0,(EXP(LN(Q178/O178)/(Q$151-O$151))-1)*100,0)</f>
        <v>-0.61342824056436207</v>
      </c>
      <c r="W178" s="10" t="str">
        <f t="shared" si="199"/>
        <v>92 Elementary administration and service occupations</v>
      </c>
      <c r="X178" s="11">
        <f t="shared" si="199"/>
        <v>1425.2731921947941</v>
      </c>
      <c r="Y178" s="11">
        <f t="shared" si="199"/>
        <v>1491.5694767573452</v>
      </c>
      <c r="Z178" s="11">
        <f t="shared" si="199"/>
        <v>1326.5895282136114</v>
      </c>
      <c r="AA178" s="11">
        <f t="shared" si="199"/>
        <v>1111.6178686687058</v>
      </c>
      <c r="AB178" s="11">
        <f t="shared" si="199"/>
        <v>1033.9455603766266</v>
      </c>
      <c r="AD178" s="30">
        <f t="shared" ref="AD178" si="203">IF(Z$151-X$151 &lt;&gt; 0,(EXP(LN(Z178/X178)/(Z$151-X$151))-1)*100,0)</f>
        <v>-1.4247948389827014</v>
      </c>
      <c r="AE178" s="30">
        <f t="shared" ref="AE178" si="204">IF(AB$151-Z$151 &lt;&gt; 0,(EXP(LN(AB178/Z178)/(AB$151-Z$151))-1)*100,0)</f>
        <v>-1.6478011442666807</v>
      </c>
    </row>
    <row r="179" spans="1:31">
      <c r="A179" s="10"/>
      <c r="B179" s="11"/>
      <c r="C179" s="11"/>
      <c r="D179" s="11"/>
      <c r="E179" s="11"/>
      <c r="F179" s="11"/>
      <c r="H179" s="30"/>
      <c r="I179" s="30"/>
      <c r="L179" s="10"/>
      <c r="M179" s="11"/>
      <c r="N179" s="11"/>
      <c r="O179" s="11"/>
      <c r="P179" s="11"/>
      <c r="Q179" s="11"/>
      <c r="S179" s="30"/>
      <c r="T179" s="30"/>
      <c r="W179" s="10"/>
      <c r="X179" s="11"/>
      <c r="Y179" s="11"/>
      <c r="Z179" s="11"/>
      <c r="AA179" s="11"/>
      <c r="AB179" s="11"/>
      <c r="AD179" s="30"/>
      <c r="AE179" s="30"/>
    </row>
    <row r="180" spans="1:31">
      <c r="A180" s="208" t="str">
        <f t="shared" ref="A180:F180" si="205">A35</f>
        <v>All occupations</v>
      </c>
      <c r="B180" s="26">
        <f>B35</f>
        <v>28656.171999997769</v>
      </c>
      <c r="C180" s="26">
        <f t="shared" si="205"/>
        <v>30212.759999993865</v>
      </c>
      <c r="D180" s="26">
        <f t="shared" si="205"/>
        <v>29859.680999995217</v>
      </c>
      <c r="E180" s="26">
        <f t="shared" si="205"/>
        <v>30754.748000010703</v>
      </c>
      <c r="F180" s="26">
        <f t="shared" si="205"/>
        <v>32070.091000012515</v>
      </c>
      <c r="H180" s="33">
        <f t="shared" si="146"/>
        <v>0.82619957207437089</v>
      </c>
      <c r="I180" s="33">
        <f t="shared" si="147"/>
        <v>0.47723343115717576</v>
      </c>
      <c r="L180" s="208" t="str">
        <f t="shared" ref="L180:Q180" si="206">L35</f>
        <v>All occupations</v>
      </c>
      <c r="M180" s="26">
        <f t="shared" si="206"/>
        <v>15097.294000001102</v>
      </c>
      <c r="N180" s="26">
        <f t="shared" si="206"/>
        <v>15791.443999999361</v>
      </c>
      <c r="O180" s="26">
        <f t="shared" si="206"/>
        <v>15479.516000000252</v>
      </c>
      <c r="P180" s="26">
        <f t="shared" si="206"/>
        <v>15910.1880000028</v>
      </c>
      <c r="Q180" s="26">
        <f t="shared" si="206"/>
        <v>16483.507000001864</v>
      </c>
      <c r="S180" s="33">
        <f t="shared" ref="S180" si="207">IF(O$151-M$151 &lt;&gt; 0,(EXP(LN(O180/M180)/(O$151-M$151))-1)*100,0)</f>
        <v>0.50129387555895022</v>
      </c>
      <c r="T180" s="33">
        <f t="shared" ref="T180" si="208">IF(Q$151-O$151 &lt;&gt; 0,(EXP(LN(Q180/O180)/(Q$151-O$151))-1)*100,0)</f>
        <v>0.41983018617532952</v>
      </c>
      <c r="W180" s="208" t="str">
        <f t="shared" ref="W180:AB180" si="209">W35</f>
        <v>All occupations</v>
      </c>
      <c r="X180" s="26">
        <f t="shared" si="209"/>
        <v>13558.877999996659</v>
      </c>
      <c r="Y180" s="26">
        <f t="shared" si="209"/>
        <v>14421.315999994515</v>
      </c>
      <c r="Z180" s="26">
        <f t="shared" si="209"/>
        <v>14380.164999994944</v>
      </c>
      <c r="AA180" s="26">
        <f t="shared" si="209"/>
        <v>14844.560000007921</v>
      </c>
      <c r="AB180" s="26">
        <f t="shared" si="209"/>
        <v>15586.584000010662</v>
      </c>
      <c r="AD180" s="33">
        <f t="shared" ref="AD180" si="210">IF(Z$151-X$151 &lt;&gt; 0,(EXP(LN(Z180/X180)/(Z$151-X$151))-1)*100,0)</f>
        <v>1.1831098432651954</v>
      </c>
      <c r="AE180" s="33">
        <f t="shared" ref="AE180" si="211">IF(AB$151-Z$151 &lt;&gt; 0,(EXP(LN(AB180/Z180)/(AB$151-Z$151))-1)*100,0)</f>
        <v>0.53851626577410272</v>
      </c>
    </row>
    <row r="181" spans="1:31">
      <c r="A181" s="10"/>
    </row>
    <row r="182" spans="1:31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6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6">
      <c r="A1" s="17" t="str">
        <f>CONCATENATE("Occupation Table 3  Employment Change by Occupation in Occupation Group (SOC 2020), ",B$5,"-",F$5,", ",Info!B5)</f>
        <v>Occupation Table 3  Employment Change by Occupation in Occupation Group (SOC 2020), 2015-2035, England</v>
      </c>
    </row>
    <row r="2" spans="1:12" ht="12.75" customHeight="1">
      <c r="A2" s="158" t="s">
        <v>180</v>
      </c>
    </row>
    <row r="3" spans="1:12" ht="12.75" customHeight="1">
      <c r="A3" s="17"/>
      <c r="L3" s="63" t="s">
        <v>130</v>
      </c>
    </row>
    <row r="4" spans="1:12" ht="12.95">
      <c r="A4" s="28"/>
      <c r="B4" s="23" t="s">
        <v>131</v>
      </c>
      <c r="C4" s="28"/>
      <c r="D4" s="28"/>
      <c r="E4" s="28"/>
      <c r="F4" s="28"/>
      <c r="G4" s="28"/>
      <c r="H4" s="23" t="s">
        <v>120</v>
      </c>
      <c r="I4" s="28"/>
      <c r="J4" s="28"/>
      <c r="K4" s="28"/>
      <c r="L4" s="28"/>
    </row>
    <row r="5" spans="1:12" ht="12.95">
      <c r="A5" s="21"/>
      <c r="B5" s="27">
        <f>'Occ T1'!B6</f>
        <v>2015</v>
      </c>
      <c r="C5" s="27">
        <f>'Occ T1'!C6</f>
        <v>2019</v>
      </c>
      <c r="D5" s="27">
        <f>'Occ T1'!D6</f>
        <v>2020</v>
      </c>
      <c r="E5" s="27">
        <f>'Occ T1'!E6</f>
        <v>2025</v>
      </c>
      <c r="F5" s="27">
        <f>'Occ T1'!F6</f>
        <v>2035</v>
      </c>
      <c r="H5" s="29" t="str">
        <f>CONCATENATE(B$5,"-",C$5)</f>
        <v>2015-2019</v>
      </c>
      <c r="I5" s="29" t="str">
        <f>CONCATENATE(C$5,"-",D$5)</f>
        <v>2019-2020</v>
      </c>
      <c r="J5" s="29" t="str">
        <f>CONCATENATE(D$5,"-",E$5)</f>
        <v>2020-2025</v>
      </c>
      <c r="K5" s="29" t="str">
        <f>CONCATENATE(E$5,"-",F$5)</f>
        <v>2025-2035</v>
      </c>
      <c r="L5" s="29" t="str">
        <f>CONCATENATE(D$5,"-",F$5)</f>
        <v>2020-2035</v>
      </c>
    </row>
    <row r="7" spans="1:12" s="24" customFormat="1" ht="12.95">
      <c r="A7" s="24" t="str">
        <f>'Occ T1'!A8</f>
        <v>Managers, directors and senior officials</v>
      </c>
      <c r="B7" s="25">
        <f>'Occ T1'!B8</f>
        <v>2822.954966620724</v>
      </c>
      <c r="C7" s="25">
        <f>'Occ T1'!C8</f>
        <v>3241.7877031892976</v>
      </c>
      <c r="D7" s="25">
        <f>'Occ T1'!D8</f>
        <v>3307.5137597510793</v>
      </c>
      <c r="E7" s="25">
        <f>'Occ T1'!E8</f>
        <v>3147.4469092280979</v>
      </c>
      <c r="F7" s="25">
        <f>'Occ T1'!F8</f>
        <v>3452.3732221540354</v>
      </c>
      <c r="H7" s="25">
        <f>C7-B7</f>
        <v>418.83273656857364</v>
      </c>
      <c r="I7" s="25">
        <f>D7-C7</f>
        <v>65.726056561781661</v>
      </c>
      <c r="J7" s="25">
        <f>E7-D7</f>
        <v>-160.06685052298144</v>
      </c>
      <c r="K7" s="25">
        <f>F7-E7</f>
        <v>304.92631292593751</v>
      </c>
      <c r="L7" s="25">
        <f>F7-D7</f>
        <v>144.85946240295607</v>
      </c>
    </row>
    <row r="8" spans="1:12" s="24" customFormat="1" ht="12.95">
      <c r="A8" s="10" t="str">
        <f>'Occ T2'!A8</f>
        <v>11 Corporate managers and directors</v>
      </c>
      <c r="B8" s="338">
        <f>'Occ T2'!B8</f>
        <v>1899.4336390268675</v>
      </c>
      <c r="C8" s="338">
        <f>'Occ T2'!C8</f>
        <v>2252.4434759690844</v>
      </c>
      <c r="D8" s="338">
        <f>'Occ T2'!D8</f>
        <v>2307.7401043917707</v>
      </c>
      <c r="E8" s="338">
        <f>'Occ T2'!E8</f>
        <v>2105.3021001707893</v>
      </c>
      <c r="F8" s="338">
        <f>'Occ T2'!F8</f>
        <v>2283.7260613096219</v>
      </c>
      <c r="H8" s="25">
        <f t="shared" ref="H8:H9" si="0">C8-B8</f>
        <v>353.00983694221691</v>
      </c>
      <c r="I8" s="25">
        <f t="shared" ref="I8:I9" si="1">D8-C8</f>
        <v>55.296628422686354</v>
      </c>
      <c r="J8" s="25">
        <f t="shared" ref="J8:J9" si="2">E8-D8</f>
        <v>-202.43800422098138</v>
      </c>
      <c r="K8" s="25">
        <f t="shared" ref="K8:K9" si="3">F8-E8</f>
        <v>178.42396113883251</v>
      </c>
      <c r="L8" s="25">
        <f t="shared" ref="L8:L49" si="4">F8-D8</f>
        <v>-24.014043082148874</v>
      </c>
    </row>
    <row r="9" spans="1:12" s="24" customFormat="1" ht="12.95">
      <c r="A9" s="10" t="str">
        <f>'Occ T2'!A9</f>
        <v>12 Other managers and proprietors</v>
      </c>
      <c r="B9" s="338">
        <f>'Occ T2'!B9</f>
        <v>923.52132759385643</v>
      </c>
      <c r="C9" s="338">
        <f>'Occ T2'!C9</f>
        <v>989.34422722021304</v>
      </c>
      <c r="D9" s="338">
        <f>'Occ T2'!D9</f>
        <v>999.77365535930846</v>
      </c>
      <c r="E9" s="338">
        <f>'Occ T2'!E9</f>
        <v>1042.1448090573083</v>
      </c>
      <c r="F9" s="338">
        <f>'Occ T2'!F9</f>
        <v>1168.6471608444135</v>
      </c>
      <c r="H9" s="25">
        <f t="shared" si="0"/>
        <v>65.822899626356616</v>
      </c>
      <c r="I9" s="25">
        <f t="shared" si="1"/>
        <v>10.429428139095421</v>
      </c>
      <c r="J9" s="25">
        <f t="shared" si="2"/>
        <v>42.37115369799983</v>
      </c>
      <c r="K9" s="25">
        <f t="shared" si="3"/>
        <v>126.50235178710523</v>
      </c>
      <c r="L9" s="25">
        <f t="shared" si="4"/>
        <v>168.87350548510506</v>
      </c>
    </row>
    <row r="10" spans="1:12" ht="12.95">
      <c r="B10" s="338"/>
      <c r="C10" s="338"/>
      <c r="D10" s="338"/>
      <c r="E10" s="338"/>
      <c r="F10" s="338"/>
      <c r="H10" s="11"/>
      <c r="I10" s="25"/>
      <c r="J10" s="11"/>
      <c r="K10" s="11"/>
      <c r="L10" s="25"/>
    </row>
    <row r="11" spans="1:12" s="24" customFormat="1" ht="12.95">
      <c r="A11" s="24" t="str">
        <f>'Occ T1'!A9</f>
        <v>Professional occupations</v>
      </c>
      <c r="B11" s="25">
        <f>'Occ T1'!B9</f>
        <v>5913.2437820431533</v>
      </c>
      <c r="C11" s="25">
        <f>'Occ T1'!C9</f>
        <v>6746.1756140652806</v>
      </c>
      <c r="D11" s="25">
        <f>'Occ T1'!D9</f>
        <v>7052.3788359871123</v>
      </c>
      <c r="E11" s="25">
        <f>'Occ T1'!E9</f>
        <v>7598.1008300975063</v>
      </c>
      <c r="F11" s="25">
        <f>'Occ T1'!F9</f>
        <v>8387.1585685800528</v>
      </c>
      <c r="H11" s="25">
        <f>C11-B11</f>
        <v>832.93183202212731</v>
      </c>
      <c r="I11" s="25">
        <f t="shared" ref="I11:I49" si="5">D11-C11</f>
        <v>306.20322192183176</v>
      </c>
      <c r="J11" s="25">
        <f>E11-D11</f>
        <v>545.72199411039401</v>
      </c>
      <c r="K11" s="25">
        <f>F11-E11</f>
        <v>789.05773848254648</v>
      </c>
      <c r="L11" s="25">
        <f t="shared" si="4"/>
        <v>1334.7797325929405</v>
      </c>
    </row>
    <row r="12" spans="1:12" ht="12.95">
      <c r="A12" s="10" t="str">
        <f>'Occ T2'!A10</f>
        <v>21 Science, research, engineering and technology professionals</v>
      </c>
      <c r="B12" s="10">
        <f>'Occ T2'!B10</f>
        <v>1585.0798970775459</v>
      </c>
      <c r="C12" s="10">
        <f>'Occ T2'!C10</f>
        <v>1824.270392837615</v>
      </c>
      <c r="D12" s="10">
        <f>'Occ T2'!D10</f>
        <v>1898.0720341129449</v>
      </c>
      <c r="E12" s="10">
        <f>'Occ T2'!E10</f>
        <v>2351.7516802899086</v>
      </c>
      <c r="F12" s="10">
        <f>'Occ T2'!F10</f>
        <v>2681.3748075213884</v>
      </c>
      <c r="H12" s="11">
        <f t="shared" ref="H12:K14" si="6">C12-B12</f>
        <v>239.1904957600691</v>
      </c>
      <c r="I12" s="25">
        <f t="shared" si="5"/>
        <v>73.801641275329985</v>
      </c>
      <c r="J12" s="11">
        <f t="shared" si="6"/>
        <v>453.67964617696362</v>
      </c>
      <c r="K12" s="11">
        <f t="shared" si="6"/>
        <v>329.62312723147988</v>
      </c>
      <c r="L12" s="25">
        <f t="shared" si="4"/>
        <v>783.3027734084435</v>
      </c>
    </row>
    <row r="13" spans="1:12" ht="12.95">
      <c r="A13" s="10" t="str">
        <f>'Occ T2'!A11</f>
        <v>22 Health professionals</v>
      </c>
      <c r="B13" s="10">
        <f>'Occ T2'!B11</f>
        <v>1169.4428202608058</v>
      </c>
      <c r="C13" s="10">
        <f>'Occ T2'!C11</f>
        <v>1354.656644154659</v>
      </c>
      <c r="D13" s="10">
        <f>'Occ T2'!D11</f>
        <v>1355.932796971927</v>
      </c>
      <c r="E13" s="10">
        <f>'Occ T2'!E11</f>
        <v>1342.0489197398499</v>
      </c>
      <c r="F13" s="10">
        <f>'Occ T2'!F11</f>
        <v>1436.7895221098097</v>
      </c>
      <c r="H13" s="11">
        <f t="shared" si="6"/>
        <v>185.21382389385326</v>
      </c>
      <c r="I13" s="25">
        <f t="shared" si="5"/>
        <v>1.2761528172679846</v>
      </c>
      <c r="J13" s="11">
        <f t="shared" si="6"/>
        <v>-13.883877232077111</v>
      </c>
      <c r="K13" s="11">
        <f t="shared" si="6"/>
        <v>94.740602369959788</v>
      </c>
      <c r="L13" s="25">
        <f t="shared" si="4"/>
        <v>80.856725137882677</v>
      </c>
    </row>
    <row r="14" spans="1:12" ht="12.95">
      <c r="A14" s="10" t="str">
        <f>'Occ T2'!A12</f>
        <v>23 Teaching and other educational professionals</v>
      </c>
      <c r="B14" s="10">
        <f>'Occ T2'!B12</f>
        <v>1361.7491851591385</v>
      </c>
      <c r="C14" s="10">
        <f>'Occ T2'!C12</f>
        <v>1441.2390325186957</v>
      </c>
      <c r="D14" s="10">
        <f>'Occ T2'!D12</f>
        <v>1503.6331126652781</v>
      </c>
      <c r="E14" s="10">
        <f>'Occ T2'!E12</f>
        <v>1476.7704130845411</v>
      </c>
      <c r="F14" s="10">
        <f>'Occ T2'!F12</f>
        <v>1586.4211218808052</v>
      </c>
      <c r="H14" s="11">
        <f t="shared" si="6"/>
        <v>79.489847359557189</v>
      </c>
      <c r="I14" s="25">
        <f t="shared" si="5"/>
        <v>62.394080146582382</v>
      </c>
      <c r="J14" s="11">
        <f t="shared" si="6"/>
        <v>-26.862699580736944</v>
      </c>
      <c r="K14" s="11">
        <f t="shared" si="6"/>
        <v>109.6507087962641</v>
      </c>
      <c r="L14" s="25">
        <f t="shared" si="4"/>
        <v>82.788009215527154</v>
      </c>
    </row>
    <row r="15" spans="1:12" ht="12.95">
      <c r="A15" s="10" t="str">
        <f>'Occ T2'!A13</f>
        <v>24 Business, media and public service professionals</v>
      </c>
      <c r="B15" s="10">
        <f>'Occ T2'!B13</f>
        <v>1796.9718795456633</v>
      </c>
      <c r="C15" s="10">
        <f>'Occ T2'!C13</f>
        <v>2126.0095445543111</v>
      </c>
      <c r="D15" s="10">
        <f>'Occ T2'!D13</f>
        <v>2294.7408922369627</v>
      </c>
      <c r="E15" s="10">
        <f>'Occ T2'!E13</f>
        <v>2427.5298169832067</v>
      </c>
      <c r="F15" s="10">
        <f>'Occ T2'!F13</f>
        <v>2682.5731170680497</v>
      </c>
      <c r="H15" s="11">
        <f t="shared" ref="H15" si="7">C15-B15</f>
        <v>329.03766500864776</v>
      </c>
      <c r="I15" s="25">
        <f t="shared" si="5"/>
        <v>168.73134768265163</v>
      </c>
      <c r="J15" s="11">
        <f t="shared" ref="J15" si="8">E15-D15</f>
        <v>132.78892474624399</v>
      </c>
      <c r="K15" s="11">
        <f t="shared" ref="K15" si="9">F15-E15</f>
        <v>255.04330008484294</v>
      </c>
      <c r="L15" s="25">
        <f t="shared" si="4"/>
        <v>387.83222483108693</v>
      </c>
    </row>
    <row r="16" spans="1:12" ht="12.95">
      <c r="A16" s="10"/>
      <c r="B16" s="338"/>
      <c r="C16" s="338"/>
      <c r="D16" s="338"/>
      <c r="E16" s="338"/>
      <c r="F16" s="338"/>
      <c r="H16" s="11"/>
      <c r="I16" s="25"/>
      <c r="J16" s="11"/>
      <c r="K16" s="11"/>
      <c r="L16" s="25"/>
    </row>
    <row r="17" spans="1:12" s="24" customFormat="1" ht="12.95">
      <c r="A17" s="24" t="str">
        <f>'Occ T1'!A10</f>
        <v>Associate professional occupations</v>
      </c>
      <c r="B17" s="25">
        <f>'Occ T1'!B10</f>
        <v>3673.0788633877005</v>
      </c>
      <c r="C17" s="25">
        <f>'Occ T1'!C10</f>
        <v>3966.2899027660592</v>
      </c>
      <c r="D17" s="25">
        <f>'Occ T1'!D10</f>
        <v>4148.5199221357107</v>
      </c>
      <c r="E17" s="25">
        <f>'Occ T1'!E10</f>
        <v>4375.1721076650338</v>
      </c>
      <c r="F17" s="25">
        <f>'Occ T1'!F10</f>
        <v>4773.1361951546642</v>
      </c>
      <c r="H17" s="25">
        <f t="shared" ref="H17:K21" si="10">C17-B17</f>
        <v>293.21103937835869</v>
      </c>
      <c r="I17" s="25">
        <f t="shared" si="5"/>
        <v>182.23001936965147</v>
      </c>
      <c r="J17" s="25">
        <f t="shared" si="10"/>
        <v>226.65218552932311</v>
      </c>
      <c r="K17" s="25">
        <f t="shared" si="10"/>
        <v>397.9640874896304</v>
      </c>
      <c r="L17" s="25">
        <f t="shared" si="4"/>
        <v>624.61627301895351</v>
      </c>
    </row>
    <row r="18" spans="1:12" ht="12.95">
      <c r="A18" s="10" t="str">
        <f>'Occ T2'!A14</f>
        <v>31 Science, engineering and technology associate professionals</v>
      </c>
      <c r="B18" s="10">
        <f>'Occ T2'!B14</f>
        <v>463.28274271165401</v>
      </c>
      <c r="C18" s="10">
        <f>'Occ T2'!C14</f>
        <v>545.82660644977284</v>
      </c>
      <c r="D18" s="10">
        <f>'Occ T2'!D14</f>
        <v>588.40741770343891</v>
      </c>
      <c r="E18" s="10">
        <f>'Occ T2'!E14</f>
        <v>557.42579875001081</v>
      </c>
      <c r="F18" s="10">
        <f>'Occ T2'!F14</f>
        <v>604.33246394772175</v>
      </c>
      <c r="H18" s="11">
        <f t="shared" si="10"/>
        <v>82.54386373811883</v>
      </c>
      <c r="I18" s="25">
        <f t="shared" si="5"/>
        <v>42.58081125366607</v>
      </c>
      <c r="J18" s="11">
        <f t="shared" si="10"/>
        <v>-30.981618953428097</v>
      </c>
      <c r="K18" s="11">
        <f t="shared" si="10"/>
        <v>46.906665197710936</v>
      </c>
      <c r="L18" s="25">
        <f t="shared" si="4"/>
        <v>15.925046244282839</v>
      </c>
    </row>
    <row r="19" spans="1:12" ht="12.95">
      <c r="A19" s="10" t="str">
        <f>'Occ T2'!A15</f>
        <v>32 Health and social care associate professionals</v>
      </c>
      <c r="B19" s="10">
        <f>'Occ T2'!B15</f>
        <v>493.00201988165986</v>
      </c>
      <c r="C19" s="10">
        <f>'Occ T2'!C15</f>
        <v>555.82389825767791</v>
      </c>
      <c r="D19" s="10">
        <f>'Occ T2'!D15</f>
        <v>567.17631851210399</v>
      </c>
      <c r="E19" s="10">
        <f>'Occ T2'!E15</f>
        <v>896.94389420552898</v>
      </c>
      <c r="F19" s="10">
        <f>'Occ T2'!F15</f>
        <v>1055.204133353878</v>
      </c>
      <c r="H19" s="11">
        <f t="shared" si="10"/>
        <v>62.821878376018049</v>
      </c>
      <c r="I19" s="25">
        <f t="shared" si="5"/>
        <v>11.352420254426079</v>
      </c>
      <c r="J19" s="11">
        <f t="shared" si="10"/>
        <v>329.76757569342499</v>
      </c>
      <c r="K19" s="11">
        <f t="shared" si="10"/>
        <v>158.260239148349</v>
      </c>
      <c r="L19" s="25">
        <f t="shared" si="4"/>
        <v>488.02781484177399</v>
      </c>
    </row>
    <row r="20" spans="1:12" ht="12.95">
      <c r="A20" s="10" t="str">
        <f>'Occ T2'!A16</f>
        <v>33 Protective service occupations</v>
      </c>
      <c r="B20" s="10">
        <f>'Occ T2'!B16</f>
        <v>294.53338224612924</v>
      </c>
      <c r="C20" s="10">
        <f>'Occ T2'!C16</f>
        <v>302.83777946632176</v>
      </c>
      <c r="D20" s="10">
        <f>'Occ T2'!D16</f>
        <v>320.85693432953025</v>
      </c>
      <c r="E20" s="10">
        <f>'Occ T2'!E16</f>
        <v>273.21297114851421</v>
      </c>
      <c r="F20" s="10">
        <f>'Occ T2'!F16</f>
        <v>294.04112821504583</v>
      </c>
      <c r="H20" s="11">
        <f t="shared" si="10"/>
        <v>8.3043972201925271</v>
      </c>
      <c r="I20" s="25">
        <f t="shared" si="5"/>
        <v>18.019154863208485</v>
      </c>
      <c r="J20" s="11">
        <f t="shared" si="10"/>
        <v>-47.643963181016034</v>
      </c>
      <c r="K20" s="11">
        <f t="shared" si="10"/>
        <v>20.828157066531617</v>
      </c>
      <c r="L20" s="25">
        <f t="shared" si="4"/>
        <v>-26.815806114484417</v>
      </c>
    </row>
    <row r="21" spans="1:12" ht="12.95">
      <c r="A21" s="10" t="str">
        <f>'Occ T2'!A17</f>
        <v>34 Culture, media and sports occupations</v>
      </c>
      <c r="B21" s="10">
        <f>'Occ T2'!B17</f>
        <v>627.36985128235642</v>
      </c>
      <c r="C21" s="10">
        <f>'Occ T2'!C17</f>
        <v>627.37830048121612</v>
      </c>
      <c r="D21" s="10">
        <f>'Occ T2'!D17</f>
        <v>680.96833755090472</v>
      </c>
      <c r="E21" s="10">
        <f>'Occ T2'!E17</f>
        <v>622.21446039961336</v>
      </c>
      <c r="F21" s="10">
        <f>'Occ T2'!F17</f>
        <v>678.61701625076512</v>
      </c>
      <c r="H21" s="11">
        <f t="shared" si="10"/>
        <v>8.4491988596937517E-3</v>
      </c>
      <c r="I21" s="25">
        <f t="shared" si="5"/>
        <v>53.590037069688606</v>
      </c>
      <c r="J21" s="11">
        <f t="shared" si="10"/>
        <v>-58.753877151291363</v>
      </c>
      <c r="K21" s="11">
        <f t="shared" si="10"/>
        <v>56.40255585115176</v>
      </c>
      <c r="L21" s="25">
        <f t="shared" si="4"/>
        <v>-2.3513213001396025</v>
      </c>
    </row>
    <row r="22" spans="1:12" ht="12.95">
      <c r="A22" s="10" t="str">
        <f>'Occ T2'!A18</f>
        <v>35 Business and public service associate professionals</v>
      </c>
      <c r="B22" s="10">
        <f>'Occ T2'!B18</f>
        <v>1794.8908672659011</v>
      </c>
      <c r="C22" s="10">
        <f>'Occ T2'!C18</f>
        <v>1934.4233181110708</v>
      </c>
      <c r="D22" s="10">
        <f>'Occ T2'!D18</f>
        <v>1991.1109140397323</v>
      </c>
      <c r="E22" s="10">
        <f>'Occ T2'!E18</f>
        <v>2025.3749831613666</v>
      </c>
      <c r="F22" s="10">
        <f>'Occ T2'!F18</f>
        <v>2140.9414533872537</v>
      </c>
      <c r="H22" s="11">
        <f t="shared" ref="H22" si="11">C22-B22</f>
        <v>139.53245084516971</v>
      </c>
      <c r="I22" s="25">
        <f t="shared" si="5"/>
        <v>56.687595928661494</v>
      </c>
      <c r="J22" s="11">
        <f t="shared" ref="J22" si="12">E22-D22</f>
        <v>34.264069121634293</v>
      </c>
      <c r="K22" s="11">
        <f t="shared" ref="K22" si="13">F22-E22</f>
        <v>115.56647022588709</v>
      </c>
      <c r="L22" s="25">
        <f t="shared" si="4"/>
        <v>149.83053934752138</v>
      </c>
    </row>
    <row r="23" spans="1:12" ht="12.95">
      <c r="A23" s="10"/>
      <c r="B23" s="338"/>
      <c r="C23" s="338"/>
      <c r="D23" s="338"/>
      <c r="E23" s="338"/>
      <c r="F23" s="338"/>
      <c r="H23" s="11"/>
      <c r="I23" s="25"/>
      <c r="J23" s="11"/>
      <c r="K23" s="11"/>
      <c r="L23" s="25"/>
    </row>
    <row r="24" spans="1:12" s="24" customFormat="1" ht="12.95">
      <c r="A24" s="24" t="str">
        <f>'Occ T1'!A11</f>
        <v>Administrative and secretarial occupations</v>
      </c>
      <c r="B24" s="25">
        <f>'Occ T1'!B11</f>
        <v>3149.4937606467911</v>
      </c>
      <c r="C24" s="25">
        <f>'Occ T1'!C11</f>
        <v>3060.9066259906567</v>
      </c>
      <c r="D24" s="25">
        <f>'Occ T1'!D11</f>
        <v>3139.606488630418</v>
      </c>
      <c r="E24" s="25">
        <f>'Occ T1'!E11</f>
        <v>3183.5304221363176</v>
      </c>
      <c r="F24" s="25">
        <f>'Occ T1'!F11</f>
        <v>3006.3242133196836</v>
      </c>
      <c r="H24" s="25">
        <f t="shared" ref="H24:K26" si="14">C24-B24</f>
        <v>-88.587134656134367</v>
      </c>
      <c r="I24" s="25">
        <f t="shared" si="5"/>
        <v>78.69986263976125</v>
      </c>
      <c r="J24" s="25">
        <f t="shared" si="14"/>
        <v>43.92393350589964</v>
      </c>
      <c r="K24" s="25">
        <f t="shared" si="14"/>
        <v>-177.20620881663399</v>
      </c>
      <c r="L24" s="25">
        <f t="shared" si="4"/>
        <v>-133.28227531073435</v>
      </c>
    </row>
    <row r="25" spans="1:12" ht="12.95">
      <c r="A25" t="str">
        <f>'Occ T2'!A19</f>
        <v>41 Administrative occupations</v>
      </c>
      <c r="B25" s="338">
        <f>'Occ T2'!B19</f>
        <v>2509.3095493403998</v>
      </c>
      <c r="C25" s="338">
        <f>'Occ T2'!C19</f>
        <v>2472.5923602894604</v>
      </c>
      <c r="D25" s="338">
        <f>'Occ T2'!D19</f>
        <v>2567.7596878310501</v>
      </c>
      <c r="E25" s="338">
        <f>'Occ T2'!E19</f>
        <v>2656.3729438846876</v>
      </c>
      <c r="F25" s="338">
        <f>'Occ T2'!F19</f>
        <v>2608.0002276081527</v>
      </c>
      <c r="H25" s="11">
        <f t="shared" si="14"/>
        <v>-36.717189050939396</v>
      </c>
      <c r="I25" s="25">
        <f t="shared" si="5"/>
        <v>95.167327541589657</v>
      </c>
      <c r="J25" s="11">
        <f t="shared" si="14"/>
        <v>88.613256053637542</v>
      </c>
      <c r="K25" s="11">
        <f t="shared" si="14"/>
        <v>-48.372716276534902</v>
      </c>
      <c r="L25" s="25">
        <f t="shared" si="4"/>
        <v>40.24053977710264</v>
      </c>
    </row>
    <row r="26" spans="1:12" ht="12.95">
      <c r="A26" t="str">
        <f>'Occ T2'!A20</f>
        <v>42 Secretarial and related occupations</v>
      </c>
      <c r="B26" s="338">
        <f>'Occ T2'!B20</f>
        <v>640.18421130639149</v>
      </c>
      <c r="C26" s="338">
        <f>'Occ T2'!C20</f>
        <v>588.31426570119629</v>
      </c>
      <c r="D26" s="338">
        <f>'Occ T2'!D20</f>
        <v>571.84680079936788</v>
      </c>
      <c r="E26" s="338">
        <f>'Occ T2'!E20</f>
        <v>527.15747825162987</v>
      </c>
      <c r="F26" s="338">
        <f>'Occ T2'!F20</f>
        <v>398.32398571153078</v>
      </c>
      <c r="H26" s="11">
        <f t="shared" si="14"/>
        <v>-51.869945605195198</v>
      </c>
      <c r="I26" s="25">
        <f t="shared" si="5"/>
        <v>-16.467464901828407</v>
      </c>
      <c r="J26" s="11">
        <f t="shared" si="14"/>
        <v>-44.689322547738016</v>
      </c>
      <c r="K26" s="11">
        <f t="shared" si="14"/>
        <v>-128.83349254009909</v>
      </c>
      <c r="L26" s="25">
        <f t="shared" si="4"/>
        <v>-173.5228150878371</v>
      </c>
    </row>
    <row r="27" spans="1:12" ht="12.95">
      <c r="B27" s="338"/>
      <c r="C27" s="338"/>
      <c r="D27" s="338"/>
      <c r="E27" s="338"/>
      <c r="F27" s="338"/>
      <c r="H27" s="11"/>
      <c r="I27" s="25"/>
      <c r="J27" s="11"/>
      <c r="K27" s="11"/>
      <c r="L27" s="25"/>
    </row>
    <row r="28" spans="1:12" s="24" customFormat="1" ht="12.95">
      <c r="A28" s="24" t="str">
        <f>'Occ T1'!A12</f>
        <v>Skilled trades occupations</v>
      </c>
      <c r="B28" s="25">
        <f>'Occ T1'!B12</f>
        <v>2889.6909563037434</v>
      </c>
      <c r="C28" s="25">
        <f>'Occ T1'!C12</f>
        <v>2850.7714544337691</v>
      </c>
      <c r="D28" s="25">
        <f>'Occ T1'!D12</f>
        <v>2507.3322009247049</v>
      </c>
      <c r="E28" s="25">
        <f>'Occ T1'!E12</f>
        <v>2537.8914948122301</v>
      </c>
      <c r="F28" s="25">
        <f>'Occ T1'!F12</f>
        <v>2469.75933949722</v>
      </c>
      <c r="H28" s="25">
        <f t="shared" ref="H28:K30" si="15">C28-B28</f>
        <v>-38.919501869974283</v>
      </c>
      <c r="I28" s="25">
        <f t="shared" si="5"/>
        <v>-343.4392535090642</v>
      </c>
      <c r="J28" s="25">
        <f t="shared" si="15"/>
        <v>30.5592938875252</v>
      </c>
      <c r="K28" s="25">
        <f t="shared" si="15"/>
        <v>-68.132155315010095</v>
      </c>
      <c r="L28" s="25">
        <f t="shared" si="4"/>
        <v>-37.572861427484895</v>
      </c>
    </row>
    <row r="29" spans="1:12" ht="12.95">
      <c r="A29" s="10" t="str">
        <f>'Occ T2'!A21</f>
        <v>51 Skilled agricultural and related trades</v>
      </c>
      <c r="B29" s="10">
        <f>'Occ T2'!B21</f>
        <v>298.83864607965563</v>
      </c>
      <c r="C29" s="10">
        <f>'Occ T2'!C21</f>
        <v>302.26783410806155</v>
      </c>
      <c r="D29" s="10">
        <f>'Occ T2'!D21</f>
        <v>271.9670256457141</v>
      </c>
      <c r="E29" s="10">
        <f>'Occ T2'!E21</f>
        <v>269.43754865618814</v>
      </c>
      <c r="F29" s="10">
        <f>'Occ T2'!F21</f>
        <v>298.01795271042778</v>
      </c>
      <c r="H29" s="11">
        <f t="shared" si="15"/>
        <v>3.4291880284059175</v>
      </c>
      <c r="I29" s="25">
        <f t="shared" si="5"/>
        <v>-30.300808462347447</v>
      </c>
      <c r="J29" s="11">
        <f t="shared" si="15"/>
        <v>-2.5294769895259606</v>
      </c>
      <c r="K29" s="11">
        <f t="shared" si="15"/>
        <v>28.580404054239636</v>
      </c>
      <c r="L29" s="25">
        <f t="shared" si="4"/>
        <v>26.050927064713676</v>
      </c>
    </row>
    <row r="30" spans="1:12" ht="12.95">
      <c r="A30" s="10" t="str">
        <f>'Occ T2'!A22</f>
        <v>52 Skilled metal, electrical and electronic trades</v>
      </c>
      <c r="B30" s="10">
        <f>'Occ T2'!B22</f>
        <v>1042.1574658136535</v>
      </c>
      <c r="C30" s="10">
        <f>'Occ T2'!C22</f>
        <v>1064.18444026626</v>
      </c>
      <c r="D30" s="10">
        <f>'Occ T2'!D22</f>
        <v>921.97868029404242</v>
      </c>
      <c r="E30" s="10">
        <f>'Occ T2'!E22</f>
        <v>917.17586309660999</v>
      </c>
      <c r="F30" s="10">
        <f>'Occ T2'!F22</f>
        <v>865.475059700835</v>
      </c>
      <c r="H30" s="11">
        <f t="shared" si="15"/>
        <v>22.02697445260651</v>
      </c>
      <c r="I30" s="25">
        <f t="shared" si="5"/>
        <v>-142.20575997221761</v>
      </c>
      <c r="J30" s="11">
        <f t="shared" si="15"/>
        <v>-4.8028171974324323</v>
      </c>
      <c r="K30" s="11">
        <f t="shared" si="15"/>
        <v>-51.700803395774983</v>
      </c>
      <c r="L30" s="25">
        <f t="shared" si="4"/>
        <v>-56.503620593207415</v>
      </c>
    </row>
    <row r="31" spans="1:12" ht="12.95">
      <c r="A31" s="10" t="str">
        <f>'Occ T2'!A23</f>
        <v>53 Skilled construction and building trades</v>
      </c>
      <c r="B31" s="10">
        <f>'Occ T2'!B23</f>
        <v>918.22690874959676</v>
      </c>
      <c r="C31" s="10">
        <f>'Occ T2'!C23</f>
        <v>907.39739905518616</v>
      </c>
      <c r="D31" s="10">
        <f>'Occ T2'!D23</f>
        <v>769.61235836915148</v>
      </c>
      <c r="E31" s="10">
        <f>'Occ T2'!E23</f>
        <v>775.26803802162817</v>
      </c>
      <c r="F31" s="10">
        <f>'Occ T2'!F23</f>
        <v>718.69802351717806</v>
      </c>
      <c r="H31" s="11">
        <f t="shared" ref="H31:H32" si="16">C31-B31</f>
        <v>-10.829509694410604</v>
      </c>
      <c r="I31" s="25">
        <f t="shared" si="5"/>
        <v>-137.78504068603468</v>
      </c>
      <c r="J31" s="11">
        <f t="shared" ref="J31:J32" si="17">E31-D31</f>
        <v>5.6556796524766924</v>
      </c>
      <c r="K31" s="11">
        <f t="shared" ref="K31:K32" si="18">F31-E31</f>
        <v>-56.570014504450114</v>
      </c>
      <c r="L31" s="25">
        <f t="shared" si="4"/>
        <v>-50.914334851973422</v>
      </c>
    </row>
    <row r="32" spans="1:12" ht="12.95">
      <c r="A32" s="10" t="str">
        <f>'Occ T2'!A24</f>
        <v>54 Textiles, printing and other skilled trades</v>
      </c>
      <c r="B32" s="10">
        <f>'Occ T2'!B24</f>
        <v>630.46793566083784</v>
      </c>
      <c r="C32" s="10">
        <f>'Occ T2'!C24</f>
        <v>576.92178100426145</v>
      </c>
      <c r="D32" s="10">
        <f>'Occ T2'!D24</f>
        <v>543.77413661579681</v>
      </c>
      <c r="E32" s="10">
        <f>'Occ T2'!E24</f>
        <v>576.01004503780393</v>
      </c>
      <c r="F32" s="10">
        <f>'Occ T2'!F24</f>
        <v>587.56830356877924</v>
      </c>
      <c r="H32" s="11">
        <f t="shared" si="16"/>
        <v>-53.546154656576391</v>
      </c>
      <c r="I32" s="25">
        <f t="shared" si="5"/>
        <v>-33.147644388464641</v>
      </c>
      <c r="J32" s="11">
        <f t="shared" si="17"/>
        <v>32.235908422007128</v>
      </c>
      <c r="K32" s="11">
        <f t="shared" si="18"/>
        <v>11.558258530975309</v>
      </c>
      <c r="L32" s="25">
        <f t="shared" si="4"/>
        <v>43.794166952982437</v>
      </c>
    </row>
    <row r="33" spans="1:12" ht="12.95">
      <c r="A33" s="10"/>
      <c r="B33" s="338"/>
      <c r="C33" s="338"/>
      <c r="D33" s="338"/>
      <c r="E33" s="338"/>
      <c r="F33" s="338"/>
      <c r="H33" s="11"/>
      <c r="I33" s="25"/>
      <c r="J33" s="11"/>
      <c r="K33" s="11"/>
      <c r="L33" s="25"/>
    </row>
    <row r="34" spans="1:12" s="24" customFormat="1" ht="12.95">
      <c r="A34" s="24" t="str">
        <f>'Occ T1'!A13</f>
        <v>Caring, leisure and other service occupations</v>
      </c>
      <c r="B34" s="25">
        <f>'Occ T1'!B13</f>
        <v>2686.476945366268</v>
      </c>
      <c r="C34" s="25">
        <f>'Occ T1'!C13</f>
        <v>2794.9761350106</v>
      </c>
      <c r="D34" s="25">
        <f>'Occ T1'!D13</f>
        <v>2678.5046281380878</v>
      </c>
      <c r="E34" s="25">
        <f>'Occ T1'!E13</f>
        <v>2732.1382307806884</v>
      </c>
      <c r="F34" s="25">
        <f>'Occ T1'!F13</f>
        <v>2919.9573485364526</v>
      </c>
      <c r="H34" s="25">
        <f t="shared" ref="H34:K36" si="19">C34-B34</f>
        <v>108.49918964433209</v>
      </c>
      <c r="I34" s="25">
        <f t="shared" si="5"/>
        <v>-116.47150687251224</v>
      </c>
      <c r="J34" s="25">
        <f t="shared" si="19"/>
        <v>53.633602642600636</v>
      </c>
      <c r="K34" s="25">
        <f t="shared" si="19"/>
        <v>187.81911775576418</v>
      </c>
      <c r="L34" s="25">
        <f t="shared" si="4"/>
        <v>241.45272039836482</v>
      </c>
    </row>
    <row r="35" spans="1:12" ht="12.95">
      <c r="A35" s="10" t="str">
        <f>'Occ T2'!A25</f>
        <v>61 Caring personal service occupations</v>
      </c>
      <c r="B35" s="10">
        <f>'Occ T2'!B25</f>
        <v>2030.2468142039766</v>
      </c>
      <c r="C35" s="10">
        <f>'Occ T2'!C25</f>
        <v>2089.8052877913406</v>
      </c>
      <c r="D35" s="10">
        <f>'Occ T2'!D25</f>
        <v>2019.8340014923285</v>
      </c>
      <c r="E35" s="10">
        <f>'Occ T2'!E25</f>
        <v>2116.9998910688078</v>
      </c>
      <c r="F35" s="10">
        <f>'Occ T2'!F25</f>
        <v>2292.0510206757358</v>
      </c>
      <c r="G35" s="10"/>
      <c r="H35" s="11">
        <f t="shared" si="19"/>
        <v>59.558473587364006</v>
      </c>
      <c r="I35" s="25">
        <f t="shared" si="5"/>
        <v>-69.971286299012036</v>
      </c>
      <c r="J35" s="11">
        <f t="shared" si="19"/>
        <v>97.165889576479231</v>
      </c>
      <c r="K35" s="11">
        <f t="shared" si="19"/>
        <v>175.05112960692804</v>
      </c>
      <c r="L35" s="25">
        <f t="shared" si="4"/>
        <v>272.21701918340727</v>
      </c>
    </row>
    <row r="36" spans="1:12" ht="12.95">
      <c r="A36" s="10" t="str">
        <f>'Occ T2'!A26</f>
        <v>62 Leisure, travel and related personal service occupations</v>
      </c>
      <c r="B36" s="10">
        <f>'Occ T2'!B26</f>
        <v>627.3899065379079</v>
      </c>
      <c r="C36" s="10">
        <f>'Occ T2'!C26</f>
        <v>680.2954268390763</v>
      </c>
      <c r="D36" s="10">
        <f>'Occ T2'!D26</f>
        <v>627.66767668036812</v>
      </c>
      <c r="E36" s="10">
        <f>'Occ T2'!E26</f>
        <v>592.13637104133159</v>
      </c>
      <c r="F36" s="10">
        <f>'Occ T2'!F26</f>
        <v>602.79487172872302</v>
      </c>
      <c r="G36" s="10"/>
      <c r="H36" s="11">
        <f t="shared" si="19"/>
        <v>52.905520301168394</v>
      </c>
      <c r="I36" s="25">
        <f t="shared" si="5"/>
        <v>-52.627750158708182</v>
      </c>
      <c r="J36" s="11">
        <f t="shared" si="19"/>
        <v>-35.531305639036532</v>
      </c>
      <c r="K36" s="11">
        <f t="shared" si="19"/>
        <v>10.658500687391438</v>
      </c>
      <c r="L36" s="25">
        <f t="shared" si="4"/>
        <v>-24.872804951645094</v>
      </c>
    </row>
    <row r="37" spans="1:12" ht="12.95">
      <c r="A37" s="10" t="str">
        <f>'Occ T2'!A27</f>
        <v>63 Community and civil enforcement occupations</v>
      </c>
      <c r="B37" s="10">
        <f>'Occ T2'!B27</f>
        <v>28.840224624383737</v>
      </c>
      <c r="C37" s="10">
        <f>'Occ T2'!C27</f>
        <v>24.875420380183126</v>
      </c>
      <c r="D37" s="10">
        <f>'Occ T2'!D27</f>
        <v>31.002949965390982</v>
      </c>
      <c r="E37" s="10">
        <f>'Occ T2'!E27</f>
        <v>23.001968670549161</v>
      </c>
      <c r="F37" s="10">
        <f>'Occ T2'!F27</f>
        <v>25.111456131993485</v>
      </c>
      <c r="G37" s="10"/>
      <c r="H37" s="11">
        <f t="shared" ref="H37" si="20">C37-B37</f>
        <v>-3.9648042442006108</v>
      </c>
      <c r="I37" s="25">
        <f t="shared" ref="I37" si="21">D37-C37</f>
        <v>6.1275295852078564</v>
      </c>
      <c r="J37" s="11">
        <f t="shared" ref="J37" si="22">E37-D37</f>
        <v>-8.0009812948418215</v>
      </c>
      <c r="K37" s="11">
        <f>F37-E37</f>
        <v>2.1094874614443242</v>
      </c>
      <c r="L37" s="25">
        <f t="shared" ref="L37" si="23">F37-D37</f>
        <v>-5.8914938333974973</v>
      </c>
    </row>
    <row r="38" spans="1:12" ht="12.95">
      <c r="I38" s="25"/>
      <c r="L38" s="25"/>
    </row>
    <row r="39" spans="1:12" s="24" customFormat="1" ht="12.95">
      <c r="A39" s="24" t="str">
        <f>'Occ T1'!A14</f>
        <v>Sales and customer service occupations</v>
      </c>
      <c r="B39" s="25">
        <f>'Occ T1'!B14</f>
        <v>2451.7146582710284</v>
      </c>
      <c r="C39" s="25">
        <f>'Occ T1'!C14</f>
        <v>2391.0620840559268</v>
      </c>
      <c r="D39" s="25">
        <f>'Occ T1'!D14</f>
        <v>2363.8487883943035</v>
      </c>
      <c r="E39" s="25">
        <f>'Occ T1'!E14</f>
        <v>2395.694328186004</v>
      </c>
      <c r="F39" s="25">
        <f>'Occ T1'!F14</f>
        <v>2408.2466133814305</v>
      </c>
      <c r="H39" s="25">
        <f>C39-B39</f>
        <v>-60.652574215101595</v>
      </c>
      <c r="I39" s="25">
        <f t="shared" si="5"/>
        <v>-27.213295661623306</v>
      </c>
      <c r="J39" s="25">
        <f>E39-D39</f>
        <v>31.845539791700503</v>
      </c>
      <c r="K39" s="25">
        <f>F39-E39</f>
        <v>12.552285195426521</v>
      </c>
      <c r="L39" s="25">
        <f t="shared" si="4"/>
        <v>44.397824987127024</v>
      </c>
    </row>
    <row r="40" spans="1:12" s="24" customFormat="1" ht="12.95">
      <c r="A40" s="107" t="str">
        <f>'Occ T2'!A28</f>
        <v>71 Sales occupations</v>
      </c>
      <c r="B40" s="107">
        <f>'Occ T2'!B28</f>
        <v>1992.1189392123574</v>
      </c>
      <c r="C40" s="107">
        <f>'Occ T2'!C28</f>
        <v>1892.2329930164867</v>
      </c>
      <c r="D40" s="107">
        <f>'Occ T2'!D28</f>
        <v>1855.6966390660123</v>
      </c>
      <c r="E40" s="107">
        <f>'Occ T2'!E28</f>
        <v>1827.9786053280959</v>
      </c>
      <c r="F40" s="107">
        <f>'Occ T2'!F28</f>
        <v>1776.4423055232701</v>
      </c>
      <c r="G40"/>
      <c r="H40" s="11">
        <f t="shared" ref="H40" si="24">C40-B40</f>
        <v>-99.885946195870702</v>
      </c>
      <c r="I40" s="25">
        <f t="shared" si="5"/>
        <v>-36.536353950474449</v>
      </c>
      <c r="J40" s="11">
        <f t="shared" ref="J40" si="25">E40-D40</f>
        <v>-27.718033737916357</v>
      </c>
      <c r="K40" s="11">
        <f t="shared" ref="K40" si="26">F40-E40</f>
        <v>-51.536299804825831</v>
      </c>
      <c r="L40" s="25">
        <f t="shared" si="4"/>
        <v>-79.254333542742188</v>
      </c>
    </row>
    <row r="41" spans="1:12" s="24" customFormat="1" ht="12.95">
      <c r="A41" s="107" t="str">
        <f>'Occ T2'!A29</f>
        <v>72 Customer service occupations</v>
      </c>
      <c r="B41" s="107">
        <f>'Occ T2'!B29</f>
        <v>459.59571905867102</v>
      </c>
      <c r="C41" s="107">
        <f>'Occ T2'!C29</f>
        <v>498.82909103944002</v>
      </c>
      <c r="D41" s="107">
        <f>'Occ T2'!D29</f>
        <v>508.15214932829099</v>
      </c>
      <c r="E41" s="107">
        <f>'Occ T2'!E29</f>
        <v>567.71572285790808</v>
      </c>
      <c r="F41" s="107">
        <f>'Occ T2'!F29</f>
        <v>631.80430785816031</v>
      </c>
      <c r="G41"/>
      <c r="H41" s="11">
        <f t="shared" ref="H41" si="27">C41-B41</f>
        <v>39.233371980768993</v>
      </c>
      <c r="I41" s="25">
        <f t="shared" si="5"/>
        <v>9.323058288850973</v>
      </c>
      <c r="J41" s="11">
        <f t="shared" ref="J41" si="28">E41-D41</f>
        <v>59.563573529617088</v>
      </c>
      <c r="K41" s="11">
        <f t="shared" ref="K41" si="29">F41-E41</f>
        <v>64.088585000252237</v>
      </c>
      <c r="L41" s="25">
        <f t="shared" si="4"/>
        <v>123.65215852986933</v>
      </c>
    </row>
    <row r="42" spans="1:12" ht="12.95">
      <c r="B42" s="338"/>
      <c r="C42" s="338"/>
      <c r="D42" s="338"/>
      <c r="E42" s="338"/>
      <c r="F42" s="338"/>
      <c r="H42" s="11"/>
      <c r="I42" s="25"/>
      <c r="J42" s="11"/>
      <c r="K42" s="11"/>
      <c r="L42" s="25"/>
    </row>
    <row r="43" spans="1:12" s="24" customFormat="1" ht="12.95">
      <c r="A43" s="24" t="str">
        <f>'Occ T1'!A15</f>
        <v>Process, plant and machine operatives</v>
      </c>
      <c r="B43" s="25">
        <f>'Occ T1'!B15</f>
        <v>1767.3257043641233</v>
      </c>
      <c r="C43" s="25">
        <f>'Occ T1'!C15</f>
        <v>1870.5480838882245</v>
      </c>
      <c r="D43" s="25">
        <f>'Occ T1'!D15</f>
        <v>1665.7893005784094</v>
      </c>
      <c r="E43" s="25">
        <f>'Occ T1'!E15</f>
        <v>1724.2750720276058</v>
      </c>
      <c r="F43" s="25">
        <f>'Occ T1'!F15</f>
        <v>1664.9651104259572</v>
      </c>
      <c r="H43" s="25">
        <f t="shared" ref="H43:K45" si="30">C43-B43</f>
        <v>103.22237952410114</v>
      </c>
      <c r="I43" s="25">
        <f t="shared" si="5"/>
        <v>-204.75878330981504</v>
      </c>
      <c r="J43" s="25">
        <f t="shared" si="30"/>
        <v>58.485771449196363</v>
      </c>
      <c r="K43" s="25">
        <f t="shared" si="30"/>
        <v>-59.309961601648638</v>
      </c>
      <c r="L43" s="25">
        <f t="shared" si="4"/>
        <v>-0.82419015245227456</v>
      </c>
    </row>
    <row r="44" spans="1:12" ht="12.95">
      <c r="A44" s="10" t="str">
        <f>'Occ T2'!A30</f>
        <v>81 Process, plant and machine operatives</v>
      </c>
      <c r="B44" s="10">
        <f>'Occ T2'!B30</f>
        <v>713.31333030825101</v>
      </c>
      <c r="C44" s="10">
        <f>'Occ T2'!C30</f>
        <v>691.72064265695496</v>
      </c>
      <c r="D44" s="10">
        <f>'Occ T2'!D30</f>
        <v>609.71859517402538</v>
      </c>
      <c r="E44" s="10">
        <f>'Occ T2'!E30</f>
        <v>638.68146878490086</v>
      </c>
      <c r="F44" s="10">
        <f>'Occ T2'!F30</f>
        <v>598.38816602412339</v>
      </c>
      <c r="H44" s="11">
        <f t="shared" si="30"/>
        <v>-21.592687651296046</v>
      </c>
      <c r="I44" s="25">
        <f t="shared" si="5"/>
        <v>-82.002047482929584</v>
      </c>
      <c r="J44" s="11">
        <f t="shared" si="30"/>
        <v>28.962873610875477</v>
      </c>
      <c r="K44" s="11">
        <f t="shared" si="30"/>
        <v>-40.293302760777465</v>
      </c>
      <c r="L44" s="25">
        <f t="shared" si="4"/>
        <v>-11.330429149901988</v>
      </c>
    </row>
    <row r="45" spans="1:12" ht="12.95">
      <c r="A45" s="10" t="str">
        <f>'Occ T2'!A31</f>
        <v>82 Transport and mobile machine drivers and operatives</v>
      </c>
      <c r="B45" s="10">
        <f>'Occ T2'!B31</f>
        <v>1054.0123740558722</v>
      </c>
      <c r="C45" s="10">
        <f>'Occ T2'!C31</f>
        <v>1178.8274412312694</v>
      </c>
      <c r="D45" s="10">
        <f>'Occ T2'!D31</f>
        <v>1056.0707054043842</v>
      </c>
      <c r="E45" s="10">
        <f>'Occ T2'!E31</f>
        <v>1085.5936032427051</v>
      </c>
      <c r="F45" s="10">
        <f>'Occ T2'!F31</f>
        <v>1066.5769444018338</v>
      </c>
      <c r="H45" s="11">
        <f t="shared" si="30"/>
        <v>124.81506717539719</v>
      </c>
      <c r="I45" s="25">
        <f t="shared" si="5"/>
        <v>-122.75673582688523</v>
      </c>
      <c r="J45" s="11">
        <f t="shared" si="30"/>
        <v>29.522897838320887</v>
      </c>
      <c r="K45" s="11">
        <f t="shared" si="30"/>
        <v>-19.016658840871287</v>
      </c>
      <c r="L45" s="25">
        <f t="shared" si="4"/>
        <v>10.5062389974496</v>
      </c>
    </row>
    <row r="46" spans="1:12" ht="12.95">
      <c r="B46" s="338"/>
      <c r="C46" s="338"/>
      <c r="D46" s="338"/>
      <c r="E46" s="338"/>
      <c r="F46" s="338"/>
      <c r="H46" s="11"/>
      <c r="I46" s="25"/>
      <c r="J46" s="11"/>
      <c r="K46" s="11"/>
      <c r="L46" s="25"/>
    </row>
    <row r="47" spans="1:12" s="24" customFormat="1" ht="12.95">
      <c r="A47" s="24" t="str">
        <f>'Occ T1'!A16</f>
        <v>Elementary occupations</v>
      </c>
      <c r="B47" s="25">
        <f>'Occ T1'!B16</f>
        <v>3302.1923629942412</v>
      </c>
      <c r="C47" s="25">
        <f>'Occ T1'!C16</f>
        <v>3290.2423965940566</v>
      </c>
      <c r="D47" s="25">
        <f>'Occ T1'!D16</f>
        <v>2996.1870754553911</v>
      </c>
      <c r="E47" s="25">
        <f>'Occ T1'!E16</f>
        <v>3060.4986050772186</v>
      </c>
      <c r="F47" s="25">
        <f>'Occ T1'!F16</f>
        <v>2988.1703889630162</v>
      </c>
      <c r="H47" s="25">
        <f t="shared" ref="H47:K49" si="31">C47-B47</f>
        <v>-11.949966400184621</v>
      </c>
      <c r="I47" s="25">
        <f t="shared" si="5"/>
        <v>-294.05532113866548</v>
      </c>
      <c r="J47" s="25">
        <f t="shared" si="31"/>
        <v>64.311529621827503</v>
      </c>
      <c r="K47" s="25">
        <f t="shared" si="31"/>
        <v>-72.328216114202405</v>
      </c>
      <c r="L47" s="25">
        <f t="shared" si="4"/>
        <v>-8.0166864923749017</v>
      </c>
    </row>
    <row r="48" spans="1:12" ht="12.95">
      <c r="A48" s="10" t="str">
        <f>'Occ T2'!A32</f>
        <v>91 Elementary trades and related occupations</v>
      </c>
      <c r="B48" s="10">
        <f>'Occ T2'!B32</f>
        <v>475.90883310534304</v>
      </c>
      <c r="C48" s="10">
        <f>'Occ T2'!C32</f>
        <v>428.55047108245554</v>
      </c>
      <c r="D48" s="10">
        <f>'Occ T2'!D32</f>
        <v>379.27178924284834</v>
      </c>
      <c r="E48" s="10">
        <f>'Occ T2'!E32</f>
        <v>690.72403992776935</v>
      </c>
      <c r="F48" s="10">
        <f>'Occ T2'!F32</f>
        <v>777.66227634020322</v>
      </c>
      <c r="H48" s="11">
        <f>C48-B48</f>
        <v>-47.358362022887491</v>
      </c>
      <c r="I48" s="25">
        <f t="shared" si="5"/>
        <v>-49.278681839607202</v>
      </c>
      <c r="J48" s="11">
        <f t="shared" si="31"/>
        <v>311.45225068492101</v>
      </c>
      <c r="K48" s="11">
        <f t="shared" si="31"/>
        <v>86.938236412433866</v>
      </c>
      <c r="L48" s="25">
        <f t="shared" si="4"/>
        <v>398.39048709735488</v>
      </c>
    </row>
    <row r="49" spans="1:12" ht="12.95">
      <c r="A49" s="10" t="str">
        <f>'Occ T2'!A33</f>
        <v>92 Elementary administration and service occupations</v>
      </c>
      <c r="B49" s="10">
        <f>'Occ T2'!B33</f>
        <v>2826.2835298888981</v>
      </c>
      <c r="C49" s="10">
        <f>'Occ T2'!C33</f>
        <v>2861.6919255116009</v>
      </c>
      <c r="D49" s="10">
        <f>'Occ T2'!D33</f>
        <v>2616.9152862125429</v>
      </c>
      <c r="E49" s="10">
        <f>'Occ T2'!E33</f>
        <v>2369.7745651494492</v>
      </c>
      <c r="F49" s="10">
        <f>'Occ T2'!F33</f>
        <v>2210.5081126228129</v>
      </c>
      <c r="H49" s="11">
        <f t="shared" si="31"/>
        <v>35.408395622702756</v>
      </c>
      <c r="I49" s="25">
        <f t="shared" si="5"/>
        <v>-244.77663929905793</v>
      </c>
      <c r="J49" s="11">
        <f t="shared" si="31"/>
        <v>-247.14072106309368</v>
      </c>
      <c r="K49" s="11">
        <f t="shared" si="31"/>
        <v>-159.26645252663639</v>
      </c>
      <c r="L49" s="25">
        <f t="shared" si="4"/>
        <v>-406.40717358973006</v>
      </c>
    </row>
    <row r="50" spans="1:12" ht="12.95">
      <c r="B50" s="338"/>
      <c r="C50" s="338"/>
      <c r="D50" s="338"/>
      <c r="E50" s="338"/>
      <c r="F50" s="338"/>
      <c r="H50" s="11"/>
      <c r="I50" s="25"/>
      <c r="J50" s="11"/>
      <c r="K50" s="11"/>
      <c r="L50" s="25"/>
    </row>
    <row r="51" spans="1:12" ht="12.95">
      <c r="A51" s="339" t="str">
        <f>'Occ T1'!A18</f>
        <v>All occupations</v>
      </c>
      <c r="B51" s="26">
        <f>'Occ T1'!B18</f>
        <v>28656.171999997772</v>
      </c>
      <c r="C51" s="26">
        <f>'Occ T1'!C18</f>
        <v>30212.759999993876</v>
      </c>
      <c r="D51" s="26">
        <f>'Occ T1'!D18</f>
        <v>29859.680999995224</v>
      </c>
      <c r="E51" s="26">
        <f>'Occ T1'!E18</f>
        <v>30754.748000010703</v>
      </c>
      <c r="F51" s="26">
        <f>'Occ T1'!F18</f>
        <v>32070.091000012511</v>
      </c>
      <c r="G51" s="21"/>
      <c r="H51" s="26">
        <f>C51-B51</f>
        <v>1556.5879999961035</v>
      </c>
      <c r="I51" s="182">
        <f>D51-C51</f>
        <v>-353.07899999865185</v>
      </c>
      <c r="J51" s="26">
        <f>E51-D51</f>
        <v>895.0670000154787</v>
      </c>
      <c r="K51" s="26">
        <f>F51-E51</f>
        <v>1315.3430000018088</v>
      </c>
      <c r="L51" s="182">
        <f>F51-D51</f>
        <v>2210.4100000172875</v>
      </c>
    </row>
    <row r="53" spans="1:12" ht="15.6">
      <c r="A53" s="17" t="str">
        <f>CONCATENATE(A1," (Continued)")</f>
        <v>Occupation Table 3  Employment Change by Occupation in Occupation Group (SOC 2020), 2015-2035, England (Continued)</v>
      </c>
    </row>
    <row r="55" spans="1:12">
      <c r="L55" s="15" t="s">
        <v>181</v>
      </c>
    </row>
    <row r="56" spans="1:12" ht="12.95">
      <c r="A56" s="28"/>
      <c r="B56" s="23" t="s">
        <v>125</v>
      </c>
      <c r="C56" s="23"/>
      <c r="D56" s="23"/>
      <c r="E56" s="23"/>
      <c r="F56" s="23"/>
      <c r="G56" s="23"/>
      <c r="H56" s="23" t="s">
        <v>124</v>
      </c>
      <c r="I56" s="23"/>
      <c r="J56" s="23"/>
      <c r="K56" s="23"/>
      <c r="L56" s="23"/>
    </row>
    <row r="57" spans="1:12" ht="12.95">
      <c r="A57" s="21"/>
      <c r="B57" s="29" t="str">
        <f>H5</f>
        <v>2015-2019</v>
      </c>
      <c r="C57" s="29" t="str">
        <f>I5</f>
        <v>2019-2020</v>
      </c>
      <c r="D57" s="29" t="str">
        <f>J5</f>
        <v>2020-2025</v>
      </c>
      <c r="E57" s="29" t="str">
        <f>K5</f>
        <v>2025-2035</v>
      </c>
      <c r="F57" s="29" t="str">
        <f>L5</f>
        <v>2020-2035</v>
      </c>
      <c r="G57" s="1"/>
      <c r="H57" s="32">
        <f>B5</f>
        <v>2015</v>
      </c>
      <c r="I57" s="32">
        <f>C5</f>
        <v>2019</v>
      </c>
      <c r="J57" s="32">
        <f>D5</f>
        <v>2020</v>
      </c>
      <c r="K57" s="32">
        <f>E5</f>
        <v>2025</v>
      </c>
      <c r="L57" s="32">
        <f>F5</f>
        <v>2035</v>
      </c>
    </row>
    <row r="59" spans="1:12" s="24" customFormat="1" ht="12.95">
      <c r="A59" s="24" t="str">
        <f>A7</f>
        <v>Managers, directors and senior officials</v>
      </c>
      <c r="B59" s="34">
        <f>IF(AND(C$5-B$5 &lt;&gt; 0,C7 &lt;&gt; 0,B7 &lt;&gt; 0),(EXP(LN(C7/B7)/(C$5-B$5))-1)*100,0)</f>
        <v>3.5190207570598764</v>
      </c>
      <c r="C59" s="34">
        <f>IF(AND(D$5-C$5 &lt;&gt; 0,D7 &lt;&gt; 0,C7 &lt;&gt; 0),(EXP(LN(D7/C7)/(D$5-C$5))-1)*100,0)</f>
        <v>2.0274633189927727</v>
      </c>
      <c r="D59" s="34">
        <f>IF(AND(E$5-D$5 &lt;&gt; 0,E7 &lt;&gt; 0,D7 &lt;&gt; 0),(EXP(LN(E7/D7)/(E$5-D$5))-1)*100,0)</f>
        <v>-0.98719805067600808</v>
      </c>
      <c r="E59" s="34">
        <f>IF(AND(F$5-E$5 &lt;&gt; 0,F7 &lt;&gt; 0,E7 &lt;&gt; 0),(EXP(LN(F7/E7)/(F$5-E$5))-1)*100,0)</f>
        <v>0.92899124212904027</v>
      </c>
      <c r="F59" s="34">
        <f>IF(AND(F$5-D$5 &lt;&gt; 0,F7 &lt;&gt; 0,D7 &lt;&gt; 0),(EXP(LN(F7/D7)/(F$5-D$5))-1)*100,0)</f>
        <v>0.28617609001266864</v>
      </c>
      <c r="H59" s="34">
        <f>(B7/B$51)*100</f>
        <v>9.8511237530991345</v>
      </c>
      <c r="I59" s="34">
        <f>(C7/C$51)*100</f>
        <v>10.729862823488999</v>
      </c>
      <c r="J59" s="34">
        <f>(D7/D$51)*100</f>
        <v>11.076855642736467</v>
      </c>
      <c r="K59" s="34">
        <f>(E7/E$51)*100</f>
        <v>10.234019505628861</v>
      </c>
      <c r="L59" s="34">
        <f>(F7/F$51)*100</f>
        <v>10.765087078027587</v>
      </c>
    </row>
    <row r="60" spans="1:12" s="24" customFormat="1" ht="12.95">
      <c r="A60" s="24" t="str">
        <f>A8</f>
        <v>11 Corporate managers and directors</v>
      </c>
      <c r="B60" s="34">
        <f t="shared" ref="B60:E60" si="32">IF(AND(C$5-B$5 &lt;&gt; 0,C8 &lt;&gt; 0,B8 &lt;&gt; 0),(EXP(LN(C8/B8)/(C$5-B$5))-1)*100,0)</f>
        <v>4.3536019403848547</v>
      </c>
      <c r="C60" s="34">
        <f t="shared" si="32"/>
        <v>2.4549618675290263</v>
      </c>
      <c r="D60" s="34">
        <f t="shared" si="32"/>
        <v>-1.8194399156840846</v>
      </c>
      <c r="E60" s="34">
        <f t="shared" si="32"/>
        <v>0.81681159219311184</v>
      </c>
      <c r="F60" s="34">
        <f>IF(AND(F$5-D$5 &lt;&gt; 0,F8 &lt;&gt; 0,D8 &lt;&gt; 0),(EXP(LN(F8/D8)/(F$5-D$5))-1)*100,0)</f>
        <v>-6.9711619613654907E-2</v>
      </c>
      <c r="H60" s="34">
        <f t="shared" ref="H60:L60" si="33">(B8/B$51)*100</f>
        <v>6.6283578945122716</v>
      </c>
      <c r="I60" s="34">
        <f t="shared" si="33"/>
        <v>7.4552721299528448</v>
      </c>
      <c r="J60" s="34">
        <f t="shared" si="33"/>
        <v>7.7286160705874254</v>
      </c>
      <c r="K60" s="34">
        <f t="shared" si="33"/>
        <v>6.8454539122546443</v>
      </c>
      <c r="L60" s="34">
        <f t="shared" si="33"/>
        <v>7.1210464021094637</v>
      </c>
    </row>
    <row r="61" spans="1:12" s="24" customFormat="1" ht="12.95">
      <c r="A61" s="24" t="str">
        <f>A9</f>
        <v>12 Other managers and proprietors</v>
      </c>
      <c r="B61" s="34">
        <f t="shared" ref="B61:E61" si="34">IF(AND(C$5-B$5 &lt;&gt; 0,C9 &lt;&gt; 0,B9 &lt;&gt; 0),(EXP(LN(C9/B9)/(C$5-B$5))-1)*100,0)</f>
        <v>1.7361090177420824</v>
      </c>
      <c r="C61" s="34">
        <f>IF(AND(D$5-C$5 &lt;&gt; 0,D9 &lt;&gt; 0,C9 &lt;&gt; 0),(EXP(LN(D9/C9)/(D$5-C$5))-1)*100,0)</f>
        <v>1.0541758724765815</v>
      </c>
      <c r="D61" s="34">
        <f t="shared" si="34"/>
        <v>0.83360078576304453</v>
      </c>
      <c r="E61" s="34">
        <f t="shared" si="34"/>
        <v>1.1522468180341638</v>
      </c>
      <c r="F61" s="34">
        <f>IF(AND(F$5-D$5 &lt;&gt; 0,F9 &lt;&gt; 0,D9 &lt;&gt; 0),(EXP(LN(F9/D9)/(F$5-D$5))-1)*100,0)</f>
        <v>1.0459197464713021</v>
      </c>
      <c r="H61" s="34">
        <f t="shared" ref="H61:L61" si="35">(B9/B$51)*100</f>
        <v>3.2227658585868633</v>
      </c>
      <c r="I61" s="34">
        <f t="shared" si="35"/>
        <v>3.2745906935361537</v>
      </c>
      <c r="J61" s="34">
        <f t="shared" si="35"/>
        <v>3.3482395721490406</v>
      </c>
      <c r="K61" s="34">
        <f t="shared" si="35"/>
        <v>3.3885655933742189</v>
      </c>
      <c r="L61" s="34">
        <f t="shared" si="35"/>
        <v>3.6440406759181245</v>
      </c>
    </row>
    <row r="62" spans="1:12" ht="12.95">
      <c r="B62" s="30"/>
      <c r="C62" s="34"/>
      <c r="D62" s="30"/>
      <c r="E62" s="30"/>
      <c r="F62" s="34"/>
      <c r="H62" s="30"/>
      <c r="I62" s="30"/>
      <c r="J62" s="30"/>
      <c r="K62" s="30"/>
      <c r="L62" s="30"/>
    </row>
    <row r="63" spans="1:12" s="24" customFormat="1" ht="12.95">
      <c r="A63" s="24" t="str">
        <f>A11</f>
        <v>Professional occupations</v>
      </c>
      <c r="B63" s="34">
        <f t="shared" ref="B63:E67" si="36">IF(AND(C$5-B$5 &lt;&gt; 0,C11 &lt;&gt; 0,B11 &lt;&gt; 0),(EXP(LN(C11/B11)/(C$5-B$5))-1)*100,0)</f>
        <v>3.3494011900128351</v>
      </c>
      <c r="C63" s="34">
        <f t="shared" si="36"/>
        <v>4.5389156677662079</v>
      </c>
      <c r="D63" s="34">
        <f t="shared" si="36"/>
        <v>1.501832687656024</v>
      </c>
      <c r="E63" s="34">
        <f t="shared" si="36"/>
        <v>0.99293186813895762</v>
      </c>
      <c r="F63" s="34">
        <f>IF(AND(F$5-D$5 &lt;&gt; 0,F11 &lt;&gt; 0,D11 &lt;&gt; 0),(EXP(LN(F11/D11)/(F$5-D$5))-1)*100,0)</f>
        <v>1.1622813431281021</v>
      </c>
      <c r="H63" s="34">
        <f>(B11/B$51)*100</f>
        <v>20.635148972596941</v>
      </c>
      <c r="I63" s="34">
        <f>(C11/C$51)*100</f>
        <v>22.328895519861966</v>
      </c>
      <c r="J63" s="34">
        <f>(D11/D$51)*100</f>
        <v>23.618399794653669</v>
      </c>
      <c r="K63" s="34">
        <f>(E11/E$51)*100</f>
        <v>24.705456309038404</v>
      </c>
      <c r="L63" s="34">
        <f>(F11/F$51)*100</f>
        <v>26.152587370509117</v>
      </c>
    </row>
    <row r="64" spans="1:12" ht="12.95">
      <c r="A64" t="str">
        <f>A12</f>
        <v>21 Science, research, engineering and technology professionals</v>
      </c>
      <c r="B64" s="345">
        <f t="shared" si="36"/>
        <v>3.5760901362786868</v>
      </c>
      <c r="C64" s="34">
        <f t="shared" si="36"/>
        <v>4.0455428956742034</v>
      </c>
      <c r="D64" s="345">
        <f t="shared" si="36"/>
        <v>4.3796303516185464</v>
      </c>
      <c r="E64" s="345">
        <f t="shared" si="36"/>
        <v>1.3203324624912582</v>
      </c>
      <c r="F64" s="34">
        <f>IF(AND(F$5-D$5 &lt;&gt; 0,F12 &lt;&gt; 0,D12 &lt;&gt; 0),(EXP(LN(F12/D12)/(F$5-D$5))-1)*100,0)</f>
        <v>2.3300034935685332</v>
      </c>
      <c r="H64" s="30">
        <f t="shared" ref="H64:L67" si="37">(B12/B$11)*100</f>
        <v>26.805590222594656</v>
      </c>
      <c r="I64" s="30">
        <f t="shared" si="37"/>
        <v>27.041549126502801</v>
      </c>
      <c r="J64" s="30">
        <f t="shared" si="37"/>
        <v>26.913926183706984</v>
      </c>
      <c r="K64" s="30">
        <f t="shared" si="37"/>
        <v>30.95183563469147</v>
      </c>
      <c r="L64" s="30">
        <f t="shared" si="37"/>
        <v>31.970002541341554</v>
      </c>
    </row>
    <row r="65" spans="1:12" ht="12.95">
      <c r="A65" t="str">
        <f>A13</f>
        <v>22 Health professionals</v>
      </c>
      <c r="B65" s="345">
        <f t="shared" si="36"/>
        <v>3.7438975318865531</v>
      </c>
      <c r="C65" s="34">
        <f t="shared" si="36"/>
        <v>9.4204891163718329E-2</v>
      </c>
      <c r="D65" s="345">
        <f t="shared" si="36"/>
        <v>-0.20563104485771255</v>
      </c>
      <c r="E65" s="345">
        <f t="shared" si="36"/>
        <v>0.68446820187944013</v>
      </c>
      <c r="F65" s="34">
        <f>IF(AND(F$5-D$5 &lt;&gt; 0,F13 &lt;&gt; 0,D13 &lt;&gt; 0),(EXP(LN(F13/D13)/(F$5-D$5))-1)*100,0)</f>
        <v>0.38688981041488102</v>
      </c>
      <c r="H65" s="30">
        <f t="shared" si="37"/>
        <v>19.776671880365772</v>
      </c>
      <c r="I65" s="30">
        <f t="shared" si="37"/>
        <v>20.080364367187528</v>
      </c>
      <c r="J65" s="30">
        <f t="shared" si="37"/>
        <v>19.226601810623507</v>
      </c>
      <c r="K65" s="30">
        <f t="shared" si="37"/>
        <v>17.662952226479302</v>
      </c>
      <c r="L65" s="30">
        <f t="shared" si="37"/>
        <v>17.130825778021013</v>
      </c>
    </row>
    <row r="66" spans="1:12" ht="12.95">
      <c r="A66" t="str">
        <f>A14</f>
        <v>23 Teaching and other educational professionals</v>
      </c>
      <c r="B66" s="345">
        <f t="shared" si="36"/>
        <v>1.4284346015154714</v>
      </c>
      <c r="C66" s="34">
        <f t="shared" si="36"/>
        <v>4.3291972211953578</v>
      </c>
      <c r="D66" s="345">
        <f t="shared" si="36"/>
        <v>-0.3598849488685385</v>
      </c>
      <c r="E66" s="345">
        <f t="shared" si="36"/>
        <v>0.7188016900561367</v>
      </c>
      <c r="F66" s="34">
        <f>IF(AND(F$5-D$5 &lt;&gt; 0,F14 &lt;&gt; 0,D14 &lt;&gt; 0),(EXP(LN(F14/D14)/(F$5-D$5))-1)*100,0)</f>
        <v>0.3579481614985669</v>
      </c>
      <c r="H66" s="30">
        <f t="shared" si="37"/>
        <v>23.028801709383014</v>
      </c>
      <c r="I66" s="30">
        <f t="shared" si="37"/>
        <v>21.363793576820296</v>
      </c>
      <c r="J66" s="30">
        <f t="shared" si="37"/>
        <v>21.320935072184284</v>
      </c>
      <c r="K66" s="30">
        <f t="shared" si="37"/>
        <v>19.436046534612647</v>
      </c>
      <c r="L66" s="30">
        <f t="shared" si="37"/>
        <v>18.914881707660221</v>
      </c>
    </row>
    <row r="67" spans="1:12" ht="12.95">
      <c r="A67" t="str">
        <f>A15</f>
        <v>24 Business, media and public service professionals</v>
      </c>
      <c r="B67" s="345">
        <f t="shared" si="36"/>
        <v>4.2931974148121332</v>
      </c>
      <c r="C67" s="34">
        <f t="shared" si="36"/>
        <v>7.9365282303106355</v>
      </c>
      <c r="D67" s="345">
        <f t="shared" si="36"/>
        <v>1.131438247221106</v>
      </c>
      <c r="E67" s="345">
        <f t="shared" si="36"/>
        <v>1.0040293700613878</v>
      </c>
      <c r="F67" s="34">
        <f>IF(AND(F$5-D$5 &lt;&gt; 0,F15 &lt;&gt; 0,D15 &lt;&gt; 0),(EXP(LN(F15/D15)/(F$5-D$5))-1)*100,0)</f>
        <v>1.0464811508875016</v>
      </c>
      <c r="H67" s="30">
        <f t="shared" si="37"/>
        <v>30.388936187656562</v>
      </c>
      <c r="I67" s="30">
        <f t="shared" si="37"/>
        <v>31.514292929489372</v>
      </c>
      <c r="J67" s="30">
        <f t="shared" si="37"/>
        <v>32.538536933485233</v>
      </c>
      <c r="K67" s="30">
        <f t="shared" si="37"/>
        <v>31.949165604216578</v>
      </c>
      <c r="L67" s="30">
        <f t="shared" si="37"/>
        <v>31.984289972977219</v>
      </c>
    </row>
    <row r="68" spans="1:12" ht="12.95">
      <c r="B68" s="30"/>
      <c r="C68" s="34"/>
      <c r="D68" s="30"/>
      <c r="E68" s="30"/>
      <c r="F68" s="34"/>
      <c r="H68" s="30"/>
      <c r="I68" s="30"/>
      <c r="J68" s="30"/>
      <c r="K68" s="30"/>
      <c r="L68" s="30"/>
    </row>
    <row r="69" spans="1:12" s="24" customFormat="1" ht="12.95">
      <c r="A69" s="24" t="str">
        <f t="shared" ref="A69:A74" si="38">A17</f>
        <v>Associate professional occupations</v>
      </c>
      <c r="B69" s="34">
        <f t="shared" ref="B69:E74" si="39">IF(AND(C$5-B$5 &lt;&gt; 0,C17 &lt;&gt; 0,B17 &lt;&gt; 0),(EXP(LN(C17/B17)/(C$5-B$5))-1)*100,0)</f>
        <v>1.9385731310823884</v>
      </c>
      <c r="C69" s="34">
        <f t="shared" si="39"/>
        <v>4.594470496031211</v>
      </c>
      <c r="D69" s="34">
        <f t="shared" si="39"/>
        <v>1.0695640269495321</v>
      </c>
      <c r="E69" s="34">
        <f t="shared" si="39"/>
        <v>0.87437768551239525</v>
      </c>
      <c r="F69" s="34">
        <f t="shared" ref="F69:F74" si="40">IF(AND(F$5-D$5 &lt;&gt; 0,F17 &lt;&gt; 0,D17 &lt;&gt; 0),(EXP(LN(F17/D17)/(F$5-D$5))-1)*100,0)</f>
        <v>0.93939788051264905</v>
      </c>
      <c r="H69" s="34">
        <f>(B17/B$51)*100</f>
        <v>12.817758294401591</v>
      </c>
      <c r="I69" s="34">
        <f>(C17/C$51)*100</f>
        <v>13.127863534370455</v>
      </c>
      <c r="J69" s="34">
        <f>(D17/D$51)*100</f>
        <v>13.893383261985868</v>
      </c>
      <c r="K69" s="34">
        <f>(E17/E$51)*100</f>
        <v>14.226005388382671</v>
      </c>
      <c r="L69" s="34">
        <f>(F17/F$51)*100</f>
        <v>14.883450736553264</v>
      </c>
    </row>
    <row r="70" spans="1:12" ht="12.95">
      <c r="A70" t="str">
        <f t="shared" si="38"/>
        <v>31 Science, engineering and technology associate professionals</v>
      </c>
      <c r="B70" s="345">
        <f t="shared" si="39"/>
        <v>4.1842679848152597</v>
      </c>
      <c r="C70" s="34">
        <f t="shared" si="39"/>
        <v>7.8011607991455456</v>
      </c>
      <c r="D70" s="345">
        <f t="shared" si="39"/>
        <v>-1.0759734877868854</v>
      </c>
      <c r="E70" s="345">
        <f t="shared" si="39"/>
        <v>0.81122358535556938</v>
      </c>
      <c r="F70" s="34">
        <f t="shared" si="40"/>
        <v>0.17819116067332441</v>
      </c>
      <c r="H70" s="30">
        <f t="shared" ref="H70:L74" si="41">(B18/B$17)*100</f>
        <v>12.612926646621625</v>
      </c>
      <c r="I70" s="30">
        <f t="shared" si="41"/>
        <v>13.761641731460871</v>
      </c>
      <c r="J70" s="30">
        <f t="shared" si="41"/>
        <v>14.183550489026441</v>
      </c>
      <c r="K70" s="30">
        <f t="shared" si="41"/>
        <v>12.740659910805222</v>
      </c>
      <c r="L70" s="30">
        <f t="shared" si="41"/>
        <v>12.661119214683115</v>
      </c>
    </row>
    <row r="71" spans="1:12" ht="12.95">
      <c r="A71" t="str">
        <f t="shared" si="38"/>
        <v>32 Health and social care associate professionals</v>
      </c>
      <c r="B71" s="345">
        <f t="shared" si="39"/>
        <v>3.0438624675322989</v>
      </c>
      <c r="C71" s="34">
        <f t="shared" si="39"/>
        <v>2.0424491084338303</v>
      </c>
      <c r="D71" s="345">
        <f t="shared" si="39"/>
        <v>9.5997182500354938</v>
      </c>
      <c r="E71" s="345">
        <f t="shared" si="39"/>
        <v>1.6382363788408405</v>
      </c>
      <c r="F71" s="34">
        <f t="shared" si="40"/>
        <v>4.225637366043733</v>
      </c>
      <c r="H71" s="30">
        <f t="shared" si="41"/>
        <v>13.422037430118269</v>
      </c>
      <c r="I71" s="30">
        <f t="shared" si="41"/>
        <v>14.013698239002922</v>
      </c>
      <c r="J71" s="30">
        <f t="shared" si="41"/>
        <v>13.671775215198062</v>
      </c>
      <c r="K71" s="30">
        <f t="shared" si="41"/>
        <v>20.500768247131081</v>
      </c>
      <c r="L71" s="30">
        <f t="shared" si="41"/>
        <v>22.107144866828719</v>
      </c>
    </row>
    <row r="72" spans="1:12" ht="12.95">
      <c r="A72" t="str">
        <f t="shared" si="38"/>
        <v>33 Protective service occupations</v>
      </c>
      <c r="B72" s="345">
        <f t="shared" si="39"/>
        <v>0.69754488714575125</v>
      </c>
      <c r="C72" s="34">
        <f t="shared" si="39"/>
        <v>5.9501013694403859</v>
      </c>
      <c r="D72" s="345">
        <f t="shared" si="39"/>
        <v>-3.1637468916349443</v>
      </c>
      <c r="E72" s="345">
        <f t="shared" si="39"/>
        <v>0.73738584096516568</v>
      </c>
      <c r="F72" s="34">
        <f t="shared" si="40"/>
        <v>-0.58014851394102562</v>
      </c>
      <c r="H72" s="30">
        <f t="shared" si="41"/>
        <v>8.0187056472422018</v>
      </c>
      <c r="I72" s="30">
        <f t="shared" si="41"/>
        <v>7.6352910879037132</v>
      </c>
      <c r="J72" s="30">
        <f t="shared" si="41"/>
        <v>7.7342507774278451</v>
      </c>
      <c r="K72" s="30">
        <f t="shared" si="41"/>
        <v>6.2446222554276618</v>
      </c>
      <c r="L72" s="30">
        <f t="shared" si="41"/>
        <v>6.1603339228730718</v>
      </c>
    </row>
    <row r="73" spans="1:12" ht="12.95">
      <c r="A73" t="str">
        <f t="shared" si="38"/>
        <v>34 Culture, media and sports occupations</v>
      </c>
      <c r="B73" s="345">
        <f t="shared" si="39"/>
        <v>3.3668960068844456E-4</v>
      </c>
      <c r="C73" s="34">
        <f t="shared" si="39"/>
        <v>8.541901597263335</v>
      </c>
      <c r="D73" s="345">
        <f t="shared" si="39"/>
        <v>-1.7884339696198626</v>
      </c>
      <c r="E73" s="345">
        <f t="shared" si="39"/>
        <v>0.87149663767172036</v>
      </c>
      <c r="F73" s="34">
        <f t="shared" si="40"/>
        <v>-2.3056564612755626E-2</v>
      </c>
      <c r="H73" s="30">
        <f t="shared" si="41"/>
        <v>17.080217294973345</v>
      </c>
      <c r="I73" s="30">
        <f t="shared" si="41"/>
        <v>15.817762086520389</v>
      </c>
      <c r="J73" s="30">
        <f t="shared" si="41"/>
        <v>16.414729839367233</v>
      </c>
      <c r="K73" s="30">
        <f t="shared" si="41"/>
        <v>14.22148535161695</v>
      </c>
      <c r="L73" s="30">
        <f t="shared" si="41"/>
        <v>14.217424110790031</v>
      </c>
    </row>
    <row r="74" spans="1:12" ht="12.95">
      <c r="A74" t="str">
        <f t="shared" si="38"/>
        <v>35 Business and public service associate professionals</v>
      </c>
      <c r="B74" s="345">
        <f t="shared" si="39"/>
        <v>1.8892505341293386</v>
      </c>
      <c r="C74" s="34">
        <f t="shared" si="39"/>
        <v>2.9304648779779896</v>
      </c>
      <c r="D74" s="345">
        <f t="shared" si="39"/>
        <v>0.34182547634016291</v>
      </c>
      <c r="E74" s="345">
        <f t="shared" si="39"/>
        <v>0.55645050137105301</v>
      </c>
      <c r="F74" s="34">
        <f t="shared" si="40"/>
        <v>0.48485786703520439</v>
      </c>
      <c r="H74" s="30">
        <f t="shared" si="41"/>
        <v>48.866112981044559</v>
      </c>
      <c r="I74" s="30">
        <f t="shared" si="41"/>
        <v>48.771606855112111</v>
      </c>
      <c r="J74" s="30">
        <f t="shared" si="41"/>
        <v>47.995693678980409</v>
      </c>
      <c r="K74" s="30">
        <f t="shared" si="41"/>
        <v>46.292464235019089</v>
      </c>
      <c r="L74" s="30">
        <f t="shared" si="41"/>
        <v>44.853977884825063</v>
      </c>
    </row>
    <row r="75" spans="1:12" ht="12.95">
      <c r="A75" s="24"/>
      <c r="B75" s="30"/>
      <c r="C75" s="34"/>
      <c r="D75" s="30"/>
      <c r="E75" s="30"/>
      <c r="F75" s="34"/>
      <c r="H75" s="30"/>
      <c r="I75" s="30"/>
      <c r="J75" s="30"/>
      <c r="K75" s="30"/>
      <c r="L75" s="30"/>
    </row>
    <row r="76" spans="1:12" s="24" customFormat="1" ht="12.95">
      <c r="A76" s="24" t="str">
        <f>A24</f>
        <v>Administrative and secretarial occupations</v>
      </c>
      <c r="B76" s="34">
        <f t="shared" ref="B76:E78" si="42">IF(AND(C$5-B$5 &lt;&gt; 0,C24 &lt;&gt; 0,B24 &lt;&gt; 0),(EXP(LN(C24/B24)/(C$5-B$5))-1)*100,0)</f>
        <v>-0.71072665521219047</v>
      </c>
      <c r="C76" s="34">
        <f t="shared" si="42"/>
        <v>2.5711291540718051</v>
      </c>
      <c r="D76" s="34">
        <f t="shared" si="42"/>
        <v>0.2782525386836987</v>
      </c>
      <c r="E76" s="34">
        <f t="shared" si="42"/>
        <v>-0.57108940627745852</v>
      </c>
      <c r="F76" s="34">
        <f>IF(AND(F$5-D$5 &lt;&gt; 0,F24 &lt;&gt; 0,D24 &lt;&gt; 0),(EXP(LN(F24/D24)/(F$5-D$5))-1)*100,0)</f>
        <v>-0.28877775964678554</v>
      </c>
      <c r="H76" s="34">
        <f>(B24/B$51)*100</f>
        <v>10.990629734659032</v>
      </c>
      <c r="I76" s="34">
        <f>(C24/C$51)*100</f>
        <v>10.131171816117684</v>
      </c>
      <c r="J76" s="34">
        <f>(D24/D$51)*100</f>
        <v>10.514534594763154</v>
      </c>
      <c r="K76" s="34">
        <f>(E24/E$51)*100</f>
        <v>10.35134614705739</v>
      </c>
      <c r="L76" s="34">
        <f>(F24/F$51)*100</f>
        <v>9.3742303796971171</v>
      </c>
    </row>
    <row r="77" spans="1:12" ht="12.95">
      <c r="A77" t="str">
        <f>A25</f>
        <v>41 Administrative occupations</v>
      </c>
      <c r="B77" s="345">
        <f t="shared" si="42"/>
        <v>-0.36783423931791015</v>
      </c>
      <c r="C77" s="34">
        <f t="shared" si="42"/>
        <v>3.8488886833917269</v>
      </c>
      <c r="D77" s="345">
        <f t="shared" si="42"/>
        <v>0.68086412075964997</v>
      </c>
      <c r="E77" s="345">
        <f t="shared" si="42"/>
        <v>-0.18361029007486485</v>
      </c>
      <c r="F77" s="34">
        <f>IF(AND(F$5-D$5 &lt;&gt; 0,F25 &lt;&gt; 0,D25 &lt;&gt; 0),(EXP(LN(F25/D25)/(F$5-D$5))-1)*100,0)</f>
        <v>0.10371994793105799</v>
      </c>
      <c r="H77" s="30">
        <f t="shared" ref="H77:L78" si="43">(B25/B$24)*100</f>
        <v>79.673425002279714</v>
      </c>
      <c r="I77" s="30">
        <f t="shared" si="43"/>
        <v>80.779738241417618</v>
      </c>
      <c r="J77" s="30">
        <f t="shared" si="43"/>
        <v>81.786035833783018</v>
      </c>
      <c r="K77" s="30">
        <f t="shared" si="43"/>
        <v>83.441104423375378</v>
      </c>
      <c r="L77" s="30">
        <f t="shared" si="43"/>
        <v>86.750464772005145</v>
      </c>
    </row>
    <row r="78" spans="1:12" ht="12.95">
      <c r="A78" t="str">
        <f>A26</f>
        <v>42 Secretarial and related occupations</v>
      </c>
      <c r="B78" s="345">
        <f t="shared" si="42"/>
        <v>-2.0902131502126053</v>
      </c>
      <c r="C78" s="34">
        <f t="shared" si="42"/>
        <v>-2.7990932503058175</v>
      </c>
      <c r="D78" s="345">
        <f t="shared" si="42"/>
        <v>-1.6142648202533638</v>
      </c>
      <c r="E78" s="345">
        <f t="shared" si="42"/>
        <v>-2.7634349435401329</v>
      </c>
      <c r="F78" s="34">
        <f>IF(AND(F$5-D$5 &lt;&gt; 0,F26 &lt;&gt; 0,D26 &lt;&gt; 0),(EXP(LN(F26/D26)/(F$5-D$5))-1)*100,0)</f>
        <v>-2.3818774306827328</v>
      </c>
      <c r="H78" s="30">
        <f t="shared" si="43"/>
        <v>20.3265749977203</v>
      </c>
      <c r="I78" s="30">
        <f t="shared" si="43"/>
        <v>19.220261758582378</v>
      </c>
      <c r="J78" s="30">
        <f t="shared" si="43"/>
        <v>18.213964166216993</v>
      </c>
      <c r="K78" s="30">
        <f t="shared" si="43"/>
        <v>16.558895576624622</v>
      </c>
      <c r="L78" s="30">
        <f t="shared" si="43"/>
        <v>13.249535227994858</v>
      </c>
    </row>
    <row r="79" spans="1:12" ht="12.95">
      <c r="B79" s="30"/>
      <c r="C79" s="34"/>
      <c r="D79" s="30"/>
      <c r="E79" s="30"/>
      <c r="F79" s="34"/>
      <c r="H79" s="30"/>
      <c r="I79" s="30"/>
      <c r="J79" s="30"/>
      <c r="K79" s="30"/>
      <c r="L79" s="30"/>
    </row>
    <row r="80" spans="1:12" s="24" customFormat="1" ht="12.95">
      <c r="A80" s="24" t="str">
        <f>A28</f>
        <v>Skilled trades occupations</v>
      </c>
      <c r="B80" s="34">
        <f t="shared" ref="B80:E84" si="44">IF(AND(C$5-B$5 &lt;&gt; 0,C28 &lt;&gt; 0,B28 &lt;&gt; 0),(EXP(LN(C28/B28)/(C$5-B$5))-1)*100,0)</f>
        <v>-0.33842398706971366</v>
      </c>
      <c r="C80" s="34">
        <f t="shared" si="44"/>
        <v>-12.04723910697637</v>
      </c>
      <c r="D80" s="34">
        <f t="shared" si="44"/>
        <v>0.24257967746357245</v>
      </c>
      <c r="E80" s="34">
        <f t="shared" si="44"/>
        <v>-0.2717591010432896</v>
      </c>
      <c r="F80" s="34">
        <f>IF(AND(F$5-D$5 &lt;&gt; 0,F28 &lt;&gt; 0,D28 &lt;&gt; 0),(EXP(LN(F28/D28)/(F$5-D$5))-1)*100,0)</f>
        <v>-0.10060673911935769</v>
      </c>
      <c r="H80" s="34">
        <f>(B28/B$51)*100</f>
        <v>10.084008974764556</v>
      </c>
      <c r="I80" s="34">
        <f>(C28/C$51)*100</f>
        <v>9.4356538576228957</v>
      </c>
      <c r="J80" s="34">
        <f>(D28/D$51)*100</f>
        <v>8.3970495228167579</v>
      </c>
      <c r="K80" s="34">
        <f>(E28/E$51)*100</f>
        <v>8.2520315068468353</v>
      </c>
      <c r="L80" s="34">
        <f>(F28/F$51)*100</f>
        <v>7.7011298143689597</v>
      </c>
    </row>
    <row r="81" spans="1:12" ht="12.95">
      <c r="A81" t="str">
        <f>A29</f>
        <v>51 Skilled agricultural and related trades</v>
      </c>
      <c r="B81" s="345">
        <f t="shared" si="44"/>
        <v>0.28564994759778806</v>
      </c>
      <c r="C81" s="34">
        <f t="shared" si="44"/>
        <v>-10.024489887175637</v>
      </c>
      <c r="D81" s="345">
        <f t="shared" si="44"/>
        <v>-0.18670941294809396</v>
      </c>
      <c r="E81" s="345">
        <f t="shared" si="44"/>
        <v>1.013270121014731</v>
      </c>
      <c r="F81" s="34">
        <f>IF(AND(F$5-D$5 &lt;&gt; 0,F29 &lt;&gt; 0,D29 &lt;&gt; 0),(EXP(LN(F29/D29)/(F$5-D$5))-1)*100,0)</f>
        <v>0.61168251002796659</v>
      </c>
      <c r="H81" s="30">
        <f t="shared" ref="H81:L84" si="45">(B29/B$28)*100</f>
        <v>10.341543459093828</v>
      </c>
      <c r="I81" s="30">
        <f t="shared" si="45"/>
        <v>10.603018829795991</v>
      </c>
      <c r="J81" s="30">
        <f t="shared" si="45"/>
        <v>10.846868458252663</v>
      </c>
      <c r="K81" s="30">
        <f t="shared" si="45"/>
        <v>10.616590551918884</v>
      </c>
      <c r="L81" s="30">
        <f t="shared" si="45"/>
        <v>12.066679855985345</v>
      </c>
    </row>
    <row r="82" spans="1:12" ht="12.95">
      <c r="A82" t="str">
        <f>A30</f>
        <v>52 Skilled metal, electrical and electronic trades</v>
      </c>
      <c r="B82" s="345">
        <f t="shared" si="44"/>
        <v>0.52426124684463726</v>
      </c>
      <c r="C82" s="34">
        <f t="shared" si="44"/>
        <v>-13.362886600431557</v>
      </c>
      <c r="D82" s="345">
        <f t="shared" si="44"/>
        <v>-0.10440276600417464</v>
      </c>
      <c r="E82" s="345">
        <f t="shared" si="44"/>
        <v>-0.57852681756275226</v>
      </c>
      <c r="F82" s="34">
        <f>IF(AND(F$5-D$5 &lt;&gt; 0,F30 &lt;&gt; 0,D30 &lt;&gt; 0),(EXP(LN(F30/D30)/(F$5-D$5))-1)*100,0)</f>
        <v>-0.42073602765486662</v>
      </c>
      <c r="H82" s="30">
        <f t="shared" si="45"/>
        <v>36.064668560498809</v>
      </c>
      <c r="I82" s="30">
        <f t="shared" si="45"/>
        <v>37.329700303093297</v>
      </c>
      <c r="J82" s="30">
        <f t="shared" si="45"/>
        <v>36.771301383758257</v>
      </c>
      <c r="K82" s="30">
        <f t="shared" si="45"/>
        <v>36.139285898212471</v>
      </c>
      <c r="L82" s="30">
        <f t="shared" si="45"/>
        <v>35.042890449278495</v>
      </c>
    </row>
    <row r="83" spans="1:12" ht="12.95">
      <c r="A83" t="str">
        <f>A31</f>
        <v>53 Skilled construction and building trades</v>
      </c>
      <c r="B83" s="345">
        <f t="shared" si="44"/>
        <v>-0.29616148678105469</v>
      </c>
      <c r="C83" s="34">
        <f t="shared" si="44"/>
        <v>-15.184641352234562</v>
      </c>
      <c r="D83" s="345">
        <f t="shared" si="44"/>
        <v>0.14654462537524449</v>
      </c>
      <c r="E83" s="345">
        <f t="shared" si="44"/>
        <v>-0.75481238156882569</v>
      </c>
      <c r="F83" s="34">
        <f>IF(AND(F$5-D$5 &lt;&gt; 0,F31 &lt;&gt; 0,D31 &lt;&gt; 0),(EXP(LN(F31/D31)/(F$5-D$5))-1)*100,0)</f>
        <v>-0.45526506581279325</v>
      </c>
      <c r="H83" s="30">
        <f t="shared" si="45"/>
        <v>31.775955374969151</v>
      </c>
      <c r="I83" s="30">
        <f t="shared" si="45"/>
        <v>31.829889332023527</v>
      </c>
      <c r="J83" s="30">
        <f t="shared" si="45"/>
        <v>30.694471122945661</v>
      </c>
      <c r="K83" s="30">
        <f t="shared" si="45"/>
        <v>30.547721981273579</v>
      </c>
      <c r="L83" s="30">
        <f t="shared" si="45"/>
        <v>29.099921276681425</v>
      </c>
    </row>
    <row r="84" spans="1:12" ht="12.95">
      <c r="A84" t="str">
        <f>A32</f>
        <v>54 Textiles, printing and other skilled trades</v>
      </c>
      <c r="B84" s="345">
        <f t="shared" si="44"/>
        <v>-2.1944537784958973</v>
      </c>
      <c r="C84" s="34">
        <f t="shared" si="44"/>
        <v>-5.7456046001181926</v>
      </c>
      <c r="D84" s="345">
        <f t="shared" si="44"/>
        <v>1.1584816034576839</v>
      </c>
      <c r="E84" s="345">
        <f t="shared" si="44"/>
        <v>0.1988714956570492</v>
      </c>
      <c r="F84" s="34">
        <f>IF(AND(F$5-D$5 &lt;&gt; 0,F32 &lt;&gt; 0,D32 &lt;&gt; 0),(EXP(LN(F32/D32)/(F$5-D$5))-1)*100,0)</f>
        <v>0.51772579254762974</v>
      </c>
      <c r="H84" s="30">
        <f t="shared" si="45"/>
        <v>21.817832605438227</v>
      </c>
      <c r="I84" s="30">
        <f t="shared" si="45"/>
        <v>20.237391535087184</v>
      </c>
      <c r="J84" s="30">
        <f t="shared" si="45"/>
        <v>21.687359035043411</v>
      </c>
      <c r="K84" s="30">
        <f t="shared" si="45"/>
        <v>22.696401568595075</v>
      </c>
      <c r="L84" s="30">
        <f t="shared" si="45"/>
        <v>23.790508418054738</v>
      </c>
    </row>
    <row r="85" spans="1:12" ht="12.95">
      <c r="A85" s="24"/>
      <c r="B85" s="30"/>
      <c r="C85" s="34"/>
      <c r="D85" s="30"/>
      <c r="E85" s="30"/>
      <c r="F85" s="34"/>
      <c r="H85" s="30"/>
      <c r="I85" s="30"/>
      <c r="J85" s="30"/>
      <c r="K85" s="30"/>
      <c r="L85" s="30"/>
    </row>
    <row r="86" spans="1:12" s="24" customFormat="1" ht="12.95">
      <c r="A86" s="24" t="str">
        <f>A34</f>
        <v>Caring, leisure and other service occupations</v>
      </c>
      <c r="B86" s="34">
        <f t="shared" ref="B86:E89" si="46">IF(AND(C$5-B$5 &lt;&gt; 0,C34 &lt;&gt; 0,B34 &lt;&gt; 0),(EXP(LN(C34/B34)/(C$5-B$5))-1)*100,0)</f>
        <v>0.99473791617998852</v>
      </c>
      <c r="C86" s="34">
        <f t="shared" si="46"/>
        <v>-4.1671735730963722</v>
      </c>
      <c r="D86" s="34">
        <f t="shared" si="46"/>
        <v>0.3973046330722374</v>
      </c>
      <c r="E86" s="34">
        <f t="shared" si="46"/>
        <v>0.66705972017633286</v>
      </c>
      <c r="F86" s="34">
        <f>IF(AND(F$5-D$5 &lt;&gt; 0,F34 &lt;&gt; 0,D34 &lt;&gt; 0),(EXP(LN(F34/D34)/(F$5-D$5))-1)*100,0)</f>
        <v>0.5770609206709354</v>
      </c>
      <c r="H86" s="34">
        <f>(B34/B$51)*100</f>
        <v>9.374863276806396</v>
      </c>
      <c r="I86" s="34">
        <f>(C34/C$51)*100</f>
        <v>9.2509791724131354</v>
      </c>
      <c r="J86" s="34">
        <f>(D34/D$51)*100</f>
        <v>8.9703055707075912</v>
      </c>
      <c r="K86" s="34">
        <f>(E34/E$51)*100</f>
        <v>8.8836306861618173</v>
      </c>
      <c r="L86" s="34">
        <f>(F34/F$51)*100</f>
        <v>9.1049238012306031</v>
      </c>
    </row>
    <row r="87" spans="1:12" ht="12.95">
      <c r="A87" t="str">
        <f>A35</f>
        <v>61 Caring personal service occupations</v>
      </c>
      <c r="B87" s="345">
        <f t="shared" si="46"/>
        <v>0.72545700366948296</v>
      </c>
      <c r="C87" s="34">
        <f t="shared" si="46"/>
        <v>-3.3482203680785361</v>
      </c>
      <c r="D87" s="345">
        <f t="shared" si="46"/>
        <v>0.94412117200162182</v>
      </c>
      <c r="E87" s="345">
        <f t="shared" si="46"/>
        <v>0.79763547892719444</v>
      </c>
      <c r="F87" s="34">
        <f>IF(AND(F$5-D$5 &lt;&gt; 0,F35 &lt;&gt; 0,D35 &lt;&gt; 0),(EXP(LN(F35/D35)/(F$5-D$5))-1)*100,0)</f>
        <v>0.84644040874675142</v>
      </c>
      <c r="H87" s="30">
        <f t="shared" ref="H87:L89" si="47">(B35/B$34)*100</f>
        <v>75.572835929443556</v>
      </c>
      <c r="I87" s="30">
        <f t="shared" si="47"/>
        <v>74.770058377740483</v>
      </c>
      <c r="J87" s="30">
        <f t="shared" si="47"/>
        <v>75.409016668243652</v>
      </c>
      <c r="K87" s="30">
        <f t="shared" si="47"/>
        <v>77.485094539447601</v>
      </c>
      <c r="L87" s="30">
        <f t="shared" si="47"/>
        <v>78.496044533820424</v>
      </c>
    </row>
    <row r="88" spans="1:12" ht="12.95">
      <c r="A88" t="str">
        <f>A36</f>
        <v>62 Leisure, travel and related personal service occupations</v>
      </c>
      <c r="B88" s="345">
        <f t="shared" si="46"/>
        <v>2.0445949149226594</v>
      </c>
      <c r="C88" s="34">
        <f t="shared" si="46"/>
        <v>-7.736014102466882</v>
      </c>
      <c r="D88" s="345">
        <f t="shared" si="46"/>
        <v>-1.1587123033164115</v>
      </c>
      <c r="E88" s="345">
        <f t="shared" si="46"/>
        <v>0.178559171912962</v>
      </c>
      <c r="F88" s="34">
        <f>IF(AND(F$5-D$5 &lt;&gt; 0,F36 &lt;&gt; 0,D36 &lt;&gt; 0),(EXP(LN(F36/D36)/(F$5-D$5))-1)*100,0)</f>
        <v>-0.26919628087314074</v>
      </c>
      <c r="H88" s="30">
        <f t="shared" si="47"/>
        <v>23.3536307698472</v>
      </c>
      <c r="I88" s="30">
        <f t="shared" si="47"/>
        <v>24.339936871643317</v>
      </c>
      <c r="J88" s="30">
        <f t="shared" si="47"/>
        <v>23.43351100037783</v>
      </c>
      <c r="K88" s="30">
        <f t="shared" si="47"/>
        <v>21.673001913674515</v>
      </c>
      <c r="L88" s="30">
        <f t="shared" si="47"/>
        <v>20.643961530152392</v>
      </c>
    </row>
    <row r="89" spans="1:12" ht="12.95">
      <c r="A89" t="str">
        <f>A37</f>
        <v>63 Community and civil enforcement occupations</v>
      </c>
      <c r="B89" s="345">
        <f t="shared" si="46"/>
        <v>-3.6297584463488741</v>
      </c>
      <c r="C89" s="34">
        <f t="shared" si="46"/>
        <v>24.632868476423099</v>
      </c>
      <c r="D89" s="345">
        <f t="shared" si="46"/>
        <v>-5.7953375774188798</v>
      </c>
      <c r="E89" s="345">
        <f t="shared" si="46"/>
        <v>0.88130436955931035</v>
      </c>
      <c r="F89" s="34">
        <f>IF(AND(F$5-D$5 &lt;&gt; 0,F37 &lt;&gt; 0,D37 &lt;&gt; 0),(EXP(LN(F37/D37)/(F$5-D$5))-1)*100,0)</f>
        <v>-1.3952298324035661</v>
      </c>
      <c r="H89" s="30">
        <f t="shared" si="47"/>
        <v>1.0735333007092576</v>
      </c>
      <c r="I89" s="30">
        <f t="shared" si="47"/>
        <v>0.89000475061619033</v>
      </c>
      <c r="J89" s="30">
        <f t="shared" si="47"/>
        <v>1.1574723313785014</v>
      </c>
      <c r="K89" s="30">
        <f t="shared" si="47"/>
        <v>0.84190354687787949</v>
      </c>
      <c r="L89" s="30">
        <f t="shared" si="47"/>
        <v>0.85999393602717877</v>
      </c>
    </row>
    <row r="90" spans="1:12" ht="12.95">
      <c r="B90" s="30"/>
      <c r="C90" s="34"/>
      <c r="D90" s="30"/>
      <c r="E90" s="30"/>
      <c r="F90" s="34"/>
      <c r="H90" s="30"/>
      <c r="I90" s="30"/>
      <c r="J90" s="30"/>
      <c r="K90" s="30"/>
      <c r="L90" s="30"/>
    </row>
    <row r="91" spans="1:12" s="24" customFormat="1" ht="12.95">
      <c r="A91" s="24" t="str">
        <f>A39</f>
        <v>Sales and customer service occupations</v>
      </c>
      <c r="B91" s="34">
        <f t="shared" ref="B91:E93" si="48">IF(AND(C$5-B$5 &lt;&gt; 0,C39 &lt;&gt; 0,B39 &lt;&gt; 0),(EXP(LN(C39/B39)/(C$5-B$5))-1)*100,0)</f>
        <v>-0.62429280438084378</v>
      </c>
      <c r="C91" s="34">
        <f t="shared" si="48"/>
        <v>-1.1381258497254021</v>
      </c>
      <c r="D91" s="34">
        <f t="shared" si="48"/>
        <v>0.26799773429468932</v>
      </c>
      <c r="E91" s="34">
        <f t="shared" si="48"/>
        <v>5.2272058732993898E-2</v>
      </c>
      <c r="F91" s="34">
        <f t="shared" ref="F91:F103" si="49">IF(AND(F$5-D$5 &lt;&gt; 0,F39 &lt;&gt; 0,D39 &lt;&gt; 0),(EXP(LN(F39/D39)/(F$5-D$5))-1)*100,0)</f>
        <v>0.12412899767830776</v>
      </c>
      <c r="H91" s="34">
        <f>(B39/B$51)*100</f>
        <v>8.5556251486458805</v>
      </c>
      <c r="I91" s="34">
        <f>(C39/C$51)*100</f>
        <v>7.9140802894419826</v>
      </c>
      <c r="J91" s="34">
        <f>(D39/D$51)*100</f>
        <v>7.9165239186402614</v>
      </c>
      <c r="K91" s="34">
        <f>(E39/E$51)*100</f>
        <v>7.7896730878275129</v>
      </c>
      <c r="L91" s="34">
        <f>(F39/F$51)*100</f>
        <v>7.5093226688396078</v>
      </c>
    </row>
    <row r="92" spans="1:12" s="24" customFormat="1" ht="12.95">
      <c r="A92" s="10" t="str">
        <f>A40</f>
        <v>71 Sales occupations</v>
      </c>
      <c r="B92" s="345">
        <f t="shared" si="48"/>
        <v>-1.2777973602917769</v>
      </c>
      <c r="C92" s="34">
        <f t="shared" si="48"/>
        <v>-1.9308591534613506</v>
      </c>
      <c r="D92" s="345">
        <f t="shared" si="48"/>
        <v>-0.30053554766803492</v>
      </c>
      <c r="E92" s="345">
        <f t="shared" si="48"/>
        <v>-0.28557255988997943</v>
      </c>
      <c r="F92" s="34">
        <f t="shared" si="49"/>
        <v>-0.29056047198369184</v>
      </c>
      <c r="G92"/>
      <c r="H92" s="30">
        <f t="shared" ref="H92:L93" si="50">(B40/B$34)*100</f>
        <v>74.153584033112068</v>
      </c>
      <c r="I92" s="30">
        <f t="shared" si="50"/>
        <v>67.701221821320146</v>
      </c>
      <c r="J92" s="30">
        <f t="shared" si="50"/>
        <v>69.281068980491739</v>
      </c>
      <c r="K92" s="30">
        <f t="shared" si="50"/>
        <v>66.906519762939098</v>
      </c>
      <c r="L92" s="30">
        <f t="shared" si="50"/>
        <v>60.837953897294504</v>
      </c>
    </row>
    <row r="93" spans="1:12" s="24" customFormat="1" ht="12.95">
      <c r="A93" t="str">
        <f>A41</f>
        <v>72 Customer service occupations</v>
      </c>
      <c r="B93" s="345">
        <f t="shared" si="48"/>
        <v>2.0690210771044049</v>
      </c>
      <c r="C93" s="34">
        <f t="shared" si="48"/>
        <v>1.8689884885069397</v>
      </c>
      <c r="D93" s="345">
        <f t="shared" si="48"/>
        <v>2.2415514632082356</v>
      </c>
      <c r="E93" s="345">
        <f t="shared" si="48"/>
        <v>1.0753295640372418</v>
      </c>
      <c r="F93" s="34">
        <f t="shared" si="49"/>
        <v>1.4625845924234326</v>
      </c>
      <c r="G93"/>
      <c r="H93" s="30">
        <f t="shared" si="50"/>
        <v>17.107748490133083</v>
      </c>
      <c r="I93" s="30">
        <f t="shared" si="50"/>
        <v>17.847347059281713</v>
      </c>
      <c r="J93" s="30">
        <f t="shared" si="50"/>
        <v>18.971486701575103</v>
      </c>
      <c r="K93" s="30">
        <f t="shared" si="50"/>
        <v>20.779172754216297</v>
      </c>
      <c r="L93" s="30">
        <f t="shared" si="50"/>
        <v>21.637449881753739</v>
      </c>
    </row>
    <row r="94" spans="1:12" ht="12.95">
      <c r="C94" s="34"/>
      <c r="F94" s="34"/>
    </row>
    <row r="95" spans="1:12" s="24" customFormat="1" ht="12.95">
      <c r="A95" s="24" t="str">
        <f>A43</f>
        <v>Process, plant and machine operatives</v>
      </c>
      <c r="B95" s="34">
        <f t="shared" ref="B95:E97" si="51">IF(AND(C$5-B$5 &lt;&gt; 0,C43 &lt;&gt; 0,B43 &lt;&gt; 0),(EXP(LN(C43/B43)/(C$5-B$5))-1)*100,0)</f>
        <v>1.4292164760136616</v>
      </c>
      <c r="C95" s="34">
        <f t="shared" si="51"/>
        <v>-10.946459226228079</v>
      </c>
      <c r="D95" s="34">
        <f t="shared" si="51"/>
        <v>0.69254001485188343</v>
      </c>
      <c r="E95" s="34">
        <f t="shared" si="51"/>
        <v>-0.34941358042384074</v>
      </c>
      <c r="F95" s="34">
        <f t="shared" si="49"/>
        <v>-3.2992588521629784E-3</v>
      </c>
      <c r="H95" s="34">
        <f>(B43/B$51)*100</f>
        <v>6.1673474892747739</v>
      </c>
      <c r="I95" s="34">
        <f>(C43/C$51)*100</f>
        <v>6.1912519210049126</v>
      </c>
      <c r="J95" s="34">
        <f>(D43/D$51)*100</f>
        <v>5.5787243694220177</v>
      </c>
      <c r="K95" s="34">
        <f>(E43/E$51)*100</f>
        <v>5.6065329230693282</v>
      </c>
      <c r="L95" s="34">
        <f>(F43/F$51)*100</f>
        <v>5.1916444840312668</v>
      </c>
    </row>
    <row r="96" spans="1:12" ht="12.95">
      <c r="A96" t="str">
        <f>A44</f>
        <v>81 Process, plant and machine operatives</v>
      </c>
      <c r="B96" s="345">
        <f t="shared" si="51"/>
        <v>-0.76551982696938525</v>
      </c>
      <c r="C96" s="34">
        <f t="shared" si="51"/>
        <v>-11.854792589093933</v>
      </c>
      <c r="D96" s="345">
        <f t="shared" si="51"/>
        <v>0.93248711813207485</v>
      </c>
      <c r="E96" s="345">
        <f t="shared" si="51"/>
        <v>-0.64954324577245481</v>
      </c>
      <c r="F96" s="34">
        <f t="shared" si="49"/>
        <v>-0.12497438125811389</v>
      </c>
      <c r="H96" s="30">
        <f t="shared" ref="H96:L97" si="52">(B44/B$43)*100</f>
        <v>40.361169904723262</v>
      </c>
      <c r="I96" s="30">
        <f t="shared" si="52"/>
        <v>36.97957024548154</v>
      </c>
      <c r="J96" s="30">
        <f t="shared" si="52"/>
        <v>36.602383924684453</v>
      </c>
      <c r="K96" s="30">
        <f t="shared" si="52"/>
        <v>37.040578916092777</v>
      </c>
      <c r="L96" s="30">
        <f t="shared" si="52"/>
        <v>35.93998230215373</v>
      </c>
    </row>
    <row r="97" spans="1:12" ht="12.95">
      <c r="A97" t="str">
        <f>A45</f>
        <v>82 Transport and mobile machine drivers and operatives</v>
      </c>
      <c r="B97" s="345">
        <f t="shared" si="51"/>
        <v>2.8374103873298528</v>
      </c>
      <c r="C97" s="34">
        <f t="shared" si="51"/>
        <v>-10.413460998046286</v>
      </c>
      <c r="D97" s="345">
        <f t="shared" si="51"/>
        <v>0.55295917132063277</v>
      </c>
      <c r="E97" s="345">
        <f t="shared" si="51"/>
        <v>-0.17656927446143555</v>
      </c>
      <c r="F97" s="34">
        <f t="shared" si="49"/>
        <v>6.6016875276408982E-2</v>
      </c>
      <c r="H97" s="30">
        <f t="shared" si="52"/>
        <v>59.638830095276731</v>
      </c>
      <c r="I97" s="30">
        <f t="shared" si="52"/>
        <v>63.020429754518446</v>
      </c>
      <c r="J97" s="30">
        <f t="shared" si="52"/>
        <v>63.397616075315554</v>
      </c>
      <c r="K97" s="30">
        <f t="shared" si="52"/>
        <v>62.95942108390723</v>
      </c>
      <c r="L97" s="30">
        <f t="shared" si="52"/>
        <v>64.060017697846263</v>
      </c>
    </row>
    <row r="98" spans="1:12" ht="12.95">
      <c r="C98" s="34"/>
      <c r="F98" s="34"/>
    </row>
    <row r="99" spans="1:12" s="24" customFormat="1" ht="12.95">
      <c r="A99" s="24" t="str">
        <f>A47</f>
        <v>Elementary occupations</v>
      </c>
      <c r="B99" s="34">
        <f t="shared" ref="B99:E101" si="53">IF(AND(C$5-B$5 &lt;&gt; 0,C47 &lt;&gt; 0,B47 &lt;&gt; 0),(EXP(LN(C47/B47)/(C$5-B$5))-1)*100,0)</f>
        <v>-9.0592976536774117E-2</v>
      </c>
      <c r="C99" s="34">
        <f t="shared" si="53"/>
        <v>-8.9371932427550362</v>
      </c>
      <c r="D99" s="34">
        <f t="shared" si="53"/>
        <v>0.42565012932411772</v>
      </c>
      <c r="E99" s="34">
        <f t="shared" si="53"/>
        <v>-0.23887978168446455</v>
      </c>
      <c r="F99" s="34">
        <f t="shared" si="49"/>
        <v>-1.7859840826728313E-2</v>
      </c>
      <c r="H99" s="34">
        <f>(B47/B$51)*100</f>
        <v>11.523494355751696</v>
      </c>
      <c r="I99" s="34">
        <f>(C47/C$51)*100</f>
        <v>10.890241065677957</v>
      </c>
      <c r="J99" s="34">
        <f>(D47/D$51)*100</f>
        <v>10.034223324274196</v>
      </c>
      <c r="K99" s="34">
        <f>(E47/E$51)*100</f>
        <v>9.95130444598718</v>
      </c>
      <c r="L99" s="34">
        <f>(F47/F$51)*100</f>
        <v>9.317623666742481</v>
      </c>
    </row>
    <row r="100" spans="1:12" ht="12.95">
      <c r="A100" t="str">
        <f>A48</f>
        <v>91 Elementary trades and related occupations</v>
      </c>
      <c r="B100" s="345">
        <f t="shared" si="53"/>
        <v>-2.5864090940220463</v>
      </c>
      <c r="C100" s="34">
        <f t="shared" si="53"/>
        <v>-11.498921402451501</v>
      </c>
      <c r="D100" s="345">
        <f t="shared" si="53"/>
        <v>12.738124636248349</v>
      </c>
      <c r="E100" s="345">
        <f t="shared" si="53"/>
        <v>1.1925747074215565</v>
      </c>
      <c r="F100" s="34">
        <f t="shared" si="49"/>
        <v>4.9033521437371386</v>
      </c>
      <c r="H100" s="30">
        <f t="shared" ref="H100:L101" si="54">(B48/B$47)*100</f>
        <v>14.411905206933973</v>
      </c>
      <c r="I100" s="30">
        <f t="shared" si="54"/>
        <v>13.024890552929349</v>
      </c>
      <c r="J100" s="30">
        <f t="shared" si="54"/>
        <v>12.65848158647446</v>
      </c>
      <c r="K100" s="30">
        <f t="shared" si="54"/>
        <v>22.56900358594811</v>
      </c>
      <c r="L100" s="30">
        <f t="shared" si="54"/>
        <v>26.024696557215904</v>
      </c>
    </row>
    <row r="101" spans="1:12" ht="12.95">
      <c r="A101" t="str">
        <f>A49</f>
        <v>92 Elementary administration and service occupations</v>
      </c>
      <c r="B101" s="345">
        <f t="shared" si="53"/>
        <v>0.31174551842354514</v>
      </c>
      <c r="C101" s="34">
        <f t="shared" si="53"/>
        <v>-8.5535636144794971</v>
      </c>
      <c r="D101" s="345">
        <f t="shared" si="53"/>
        <v>-1.9644761175126813</v>
      </c>
      <c r="E101" s="345">
        <f t="shared" si="53"/>
        <v>-0.69330970271912484</v>
      </c>
      <c r="F101" s="34">
        <f t="shared" si="49"/>
        <v>-1.1188527477296928</v>
      </c>
      <c r="H101" s="30">
        <f t="shared" si="54"/>
        <v>85.588094793066034</v>
      </c>
      <c r="I101" s="30">
        <f t="shared" si="54"/>
        <v>86.975109447070636</v>
      </c>
      <c r="J101" s="30">
        <f t="shared" si="54"/>
        <v>87.341518413525549</v>
      </c>
      <c r="K101" s="30">
        <f t="shared" si="54"/>
        <v>77.43099641405189</v>
      </c>
      <c r="L101" s="30">
        <f t="shared" si="54"/>
        <v>73.975303442784096</v>
      </c>
    </row>
    <row r="102" spans="1:12" ht="12.95">
      <c r="A102" s="64"/>
      <c r="C102" s="34"/>
      <c r="F102" s="34"/>
    </row>
    <row r="103" spans="1:12" ht="12.95">
      <c r="A103" s="339" t="str">
        <f t="shared" ref="A103" si="55">A51</f>
        <v>All occupations</v>
      </c>
      <c r="B103" s="346">
        <f>IF(AND(C$5-B$5 &lt;&gt; 0,C51 &lt;&gt; 0,B51 &lt;&gt; 0),(EXP(LN(C51/B51)/(C$5-B$5))-1)*100,0)</f>
        <v>1.3311698180238585</v>
      </c>
      <c r="C103" s="183">
        <f t="shared" ref="C103" si="56">IF(AND(D$5-C$5 &lt;&gt; 0,D51 &lt;&gt; 0,C51 &lt;&gt; 0),(EXP(LN(D51/C51)/(D$5-C$5))-1)*100,0)</f>
        <v>-1.1686419909956003</v>
      </c>
      <c r="D103" s="346">
        <f>IF(AND(E$5-D$5 &lt;&gt; 0,E51 &lt;&gt; 0,D51 &lt;&gt; 0),(EXP(LN(E51/D51)/(E$5-D$5))-1)*100,0)</f>
        <v>0.59245370532161612</v>
      </c>
      <c r="E103" s="346">
        <f>IF(AND(F$5-E$5 &lt;&gt; 0,F51 &lt;&gt; 0,E51 &lt;&gt; 0),(EXP(LN(F51/E51)/(F$5-E$5))-1)*100,0)</f>
        <v>0.41967279423580361</v>
      </c>
      <c r="F103" s="183">
        <f t="shared" si="49"/>
        <v>0.47723343115717576</v>
      </c>
      <c r="G103" s="21"/>
      <c r="H103" s="33">
        <f>(B51/B$51)*100</f>
        <v>100</v>
      </c>
      <c r="I103" s="33">
        <f>(C51/C$51)*100</f>
        <v>100</v>
      </c>
      <c r="J103" s="33">
        <f>(D51/D$51)*100</f>
        <v>100</v>
      </c>
      <c r="K103" s="33">
        <f>(E51/E$51)*100</f>
        <v>100</v>
      </c>
      <c r="L103" s="3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6"/>
  <cols>
    <col min="1" max="1" width="35.5703125" style="72" customWidth="1"/>
    <col min="2" max="4" width="6.7109375" style="72" bestFit="1" customWidth="1"/>
    <col min="5" max="5" width="5" style="72" customWidth="1"/>
    <col min="6" max="8" width="6.7109375" style="72" bestFit="1" customWidth="1"/>
    <col min="9" max="9" width="5" style="72" customWidth="1"/>
    <col min="10" max="12" width="6.7109375" style="72" bestFit="1" customWidth="1"/>
    <col min="13" max="13" width="5" style="72" customWidth="1"/>
    <col min="14" max="14" width="8.85546875" style="72" customWidth="1"/>
    <col min="15" max="15" width="7.140625" style="72" customWidth="1"/>
    <col min="16" max="16" width="2.85546875" style="72" customWidth="1"/>
    <col min="17" max="17" width="7.42578125" style="72" customWidth="1"/>
    <col min="18" max="18" width="7.28515625" style="72" customWidth="1"/>
    <col min="19" max="19" width="2.7109375" style="72" customWidth="1"/>
    <col min="20" max="20" width="8.140625" style="72" customWidth="1"/>
    <col min="21" max="21" width="7.42578125" style="72" customWidth="1"/>
    <col min="22" max="254" width="9.140625" style="72"/>
    <col min="255" max="255" width="33.140625" style="72" bestFit="1" customWidth="1"/>
    <col min="256" max="258" width="7.140625" style="72" customWidth="1"/>
    <col min="259" max="259" width="5" style="72" customWidth="1"/>
    <col min="260" max="262" width="7.140625" style="72" customWidth="1"/>
    <col min="263" max="263" width="5" style="72" customWidth="1"/>
    <col min="264" max="266" width="7.140625" style="72" customWidth="1"/>
    <col min="267" max="510" width="9.140625" style="72"/>
    <col min="511" max="511" width="33.140625" style="72" bestFit="1" customWidth="1"/>
    <col min="512" max="514" width="7.140625" style="72" customWidth="1"/>
    <col min="515" max="515" width="5" style="72" customWidth="1"/>
    <col min="516" max="518" width="7.140625" style="72" customWidth="1"/>
    <col min="519" max="519" width="5" style="72" customWidth="1"/>
    <col min="520" max="522" width="7.140625" style="72" customWidth="1"/>
    <col min="523" max="766" width="9.140625" style="72"/>
    <col min="767" max="767" width="33.140625" style="72" bestFit="1" customWidth="1"/>
    <col min="768" max="770" width="7.140625" style="72" customWidth="1"/>
    <col min="771" max="771" width="5" style="72" customWidth="1"/>
    <col min="772" max="774" width="7.140625" style="72" customWidth="1"/>
    <col min="775" max="775" width="5" style="72" customWidth="1"/>
    <col min="776" max="778" width="7.140625" style="72" customWidth="1"/>
    <col min="779" max="1022" width="9.140625" style="72"/>
    <col min="1023" max="1023" width="33.140625" style="72" bestFit="1" customWidth="1"/>
    <col min="1024" max="1026" width="7.140625" style="72" customWidth="1"/>
    <col min="1027" max="1027" width="5" style="72" customWidth="1"/>
    <col min="1028" max="1030" width="7.140625" style="72" customWidth="1"/>
    <col min="1031" max="1031" width="5" style="72" customWidth="1"/>
    <col min="1032" max="1034" width="7.140625" style="72" customWidth="1"/>
    <col min="1035" max="1278" width="9.140625" style="72"/>
    <col min="1279" max="1279" width="33.140625" style="72" bestFit="1" customWidth="1"/>
    <col min="1280" max="1282" width="7.140625" style="72" customWidth="1"/>
    <col min="1283" max="1283" width="5" style="72" customWidth="1"/>
    <col min="1284" max="1286" width="7.140625" style="72" customWidth="1"/>
    <col min="1287" max="1287" width="5" style="72" customWidth="1"/>
    <col min="1288" max="1290" width="7.140625" style="72" customWidth="1"/>
    <col min="1291" max="1534" width="9.140625" style="72"/>
    <col min="1535" max="1535" width="33.140625" style="72" bestFit="1" customWidth="1"/>
    <col min="1536" max="1538" width="7.140625" style="72" customWidth="1"/>
    <col min="1539" max="1539" width="5" style="72" customWidth="1"/>
    <col min="1540" max="1542" width="7.140625" style="72" customWidth="1"/>
    <col min="1543" max="1543" width="5" style="72" customWidth="1"/>
    <col min="1544" max="1546" width="7.140625" style="72" customWidth="1"/>
    <col min="1547" max="1790" width="9.140625" style="72"/>
    <col min="1791" max="1791" width="33.140625" style="72" bestFit="1" customWidth="1"/>
    <col min="1792" max="1794" width="7.140625" style="72" customWidth="1"/>
    <col min="1795" max="1795" width="5" style="72" customWidth="1"/>
    <col min="1796" max="1798" width="7.140625" style="72" customWidth="1"/>
    <col min="1799" max="1799" width="5" style="72" customWidth="1"/>
    <col min="1800" max="1802" width="7.140625" style="72" customWidth="1"/>
    <col min="1803" max="2046" width="9.140625" style="72"/>
    <col min="2047" max="2047" width="33.140625" style="72" bestFit="1" customWidth="1"/>
    <col min="2048" max="2050" width="7.140625" style="72" customWidth="1"/>
    <col min="2051" max="2051" width="5" style="72" customWidth="1"/>
    <col min="2052" max="2054" width="7.140625" style="72" customWidth="1"/>
    <col min="2055" max="2055" width="5" style="72" customWidth="1"/>
    <col min="2056" max="2058" width="7.140625" style="72" customWidth="1"/>
    <col min="2059" max="2302" width="9.140625" style="72"/>
    <col min="2303" max="2303" width="33.140625" style="72" bestFit="1" customWidth="1"/>
    <col min="2304" max="2306" width="7.140625" style="72" customWidth="1"/>
    <col min="2307" max="2307" width="5" style="72" customWidth="1"/>
    <col min="2308" max="2310" width="7.140625" style="72" customWidth="1"/>
    <col min="2311" max="2311" width="5" style="72" customWidth="1"/>
    <col min="2312" max="2314" width="7.140625" style="72" customWidth="1"/>
    <col min="2315" max="2558" width="9.140625" style="72"/>
    <col min="2559" max="2559" width="33.140625" style="72" bestFit="1" customWidth="1"/>
    <col min="2560" max="2562" width="7.140625" style="72" customWidth="1"/>
    <col min="2563" max="2563" width="5" style="72" customWidth="1"/>
    <col min="2564" max="2566" width="7.140625" style="72" customWidth="1"/>
    <col min="2567" max="2567" width="5" style="72" customWidth="1"/>
    <col min="2568" max="2570" width="7.140625" style="72" customWidth="1"/>
    <col min="2571" max="2814" width="9.140625" style="72"/>
    <col min="2815" max="2815" width="33.140625" style="72" bestFit="1" customWidth="1"/>
    <col min="2816" max="2818" width="7.140625" style="72" customWidth="1"/>
    <col min="2819" max="2819" width="5" style="72" customWidth="1"/>
    <col min="2820" max="2822" width="7.140625" style="72" customWidth="1"/>
    <col min="2823" max="2823" width="5" style="72" customWidth="1"/>
    <col min="2824" max="2826" width="7.140625" style="72" customWidth="1"/>
    <col min="2827" max="3070" width="9.140625" style="72"/>
    <col min="3071" max="3071" width="33.140625" style="72" bestFit="1" customWidth="1"/>
    <col min="3072" max="3074" width="7.140625" style="72" customWidth="1"/>
    <col min="3075" max="3075" width="5" style="72" customWidth="1"/>
    <col min="3076" max="3078" width="7.140625" style="72" customWidth="1"/>
    <col min="3079" max="3079" width="5" style="72" customWidth="1"/>
    <col min="3080" max="3082" width="7.140625" style="72" customWidth="1"/>
    <col min="3083" max="3326" width="9.140625" style="72"/>
    <col min="3327" max="3327" width="33.140625" style="72" bestFit="1" customWidth="1"/>
    <col min="3328" max="3330" width="7.140625" style="72" customWidth="1"/>
    <col min="3331" max="3331" width="5" style="72" customWidth="1"/>
    <col min="3332" max="3334" width="7.140625" style="72" customWidth="1"/>
    <col min="3335" max="3335" width="5" style="72" customWidth="1"/>
    <col min="3336" max="3338" width="7.140625" style="72" customWidth="1"/>
    <col min="3339" max="3582" width="9.140625" style="72"/>
    <col min="3583" max="3583" width="33.140625" style="72" bestFit="1" customWidth="1"/>
    <col min="3584" max="3586" width="7.140625" style="72" customWidth="1"/>
    <col min="3587" max="3587" width="5" style="72" customWidth="1"/>
    <col min="3588" max="3590" width="7.140625" style="72" customWidth="1"/>
    <col min="3591" max="3591" width="5" style="72" customWidth="1"/>
    <col min="3592" max="3594" width="7.140625" style="72" customWidth="1"/>
    <col min="3595" max="3838" width="9.140625" style="72"/>
    <col min="3839" max="3839" width="33.140625" style="72" bestFit="1" customWidth="1"/>
    <col min="3840" max="3842" width="7.140625" style="72" customWidth="1"/>
    <col min="3843" max="3843" width="5" style="72" customWidth="1"/>
    <col min="3844" max="3846" width="7.140625" style="72" customWidth="1"/>
    <col min="3847" max="3847" width="5" style="72" customWidth="1"/>
    <col min="3848" max="3850" width="7.140625" style="72" customWidth="1"/>
    <col min="3851" max="4094" width="9.140625" style="72"/>
    <col min="4095" max="4095" width="33.140625" style="72" bestFit="1" customWidth="1"/>
    <col min="4096" max="4098" width="7.140625" style="72" customWidth="1"/>
    <col min="4099" max="4099" width="5" style="72" customWidth="1"/>
    <col min="4100" max="4102" width="7.140625" style="72" customWidth="1"/>
    <col min="4103" max="4103" width="5" style="72" customWidth="1"/>
    <col min="4104" max="4106" width="7.140625" style="72" customWidth="1"/>
    <col min="4107" max="4350" width="9.140625" style="72"/>
    <col min="4351" max="4351" width="33.140625" style="72" bestFit="1" customWidth="1"/>
    <col min="4352" max="4354" width="7.140625" style="72" customWidth="1"/>
    <col min="4355" max="4355" width="5" style="72" customWidth="1"/>
    <col min="4356" max="4358" width="7.140625" style="72" customWidth="1"/>
    <col min="4359" max="4359" width="5" style="72" customWidth="1"/>
    <col min="4360" max="4362" width="7.140625" style="72" customWidth="1"/>
    <col min="4363" max="4606" width="9.140625" style="72"/>
    <col min="4607" max="4607" width="33.140625" style="72" bestFit="1" customWidth="1"/>
    <col min="4608" max="4610" width="7.140625" style="72" customWidth="1"/>
    <col min="4611" max="4611" width="5" style="72" customWidth="1"/>
    <col min="4612" max="4614" width="7.140625" style="72" customWidth="1"/>
    <col min="4615" max="4615" width="5" style="72" customWidth="1"/>
    <col min="4616" max="4618" width="7.140625" style="72" customWidth="1"/>
    <col min="4619" max="4862" width="9.140625" style="72"/>
    <col min="4863" max="4863" width="33.140625" style="72" bestFit="1" customWidth="1"/>
    <col min="4864" max="4866" width="7.140625" style="72" customWidth="1"/>
    <col min="4867" max="4867" width="5" style="72" customWidth="1"/>
    <col min="4868" max="4870" width="7.140625" style="72" customWidth="1"/>
    <col min="4871" max="4871" width="5" style="72" customWidth="1"/>
    <col min="4872" max="4874" width="7.140625" style="72" customWidth="1"/>
    <col min="4875" max="5118" width="9.140625" style="72"/>
    <col min="5119" max="5119" width="33.140625" style="72" bestFit="1" customWidth="1"/>
    <col min="5120" max="5122" width="7.140625" style="72" customWidth="1"/>
    <col min="5123" max="5123" width="5" style="72" customWidth="1"/>
    <col min="5124" max="5126" width="7.140625" style="72" customWidth="1"/>
    <col min="5127" max="5127" width="5" style="72" customWidth="1"/>
    <col min="5128" max="5130" width="7.140625" style="72" customWidth="1"/>
    <col min="5131" max="5374" width="9.140625" style="72"/>
    <col min="5375" max="5375" width="33.140625" style="72" bestFit="1" customWidth="1"/>
    <col min="5376" max="5378" width="7.140625" style="72" customWidth="1"/>
    <col min="5379" max="5379" width="5" style="72" customWidth="1"/>
    <col min="5380" max="5382" width="7.140625" style="72" customWidth="1"/>
    <col min="5383" max="5383" width="5" style="72" customWidth="1"/>
    <col min="5384" max="5386" width="7.140625" style="72" customWidth="1"/>
    <col min="5387" max="5630" width="9.140625" style="72"/>
    <col min="5631" max="5631" width="33.140625" style="72" bestFit="1" customWidth="1"/>
    <col min="5632" max="5634" width="7.140625" style="72" customWidth="1"/>
    <col min="5635" max="5635" width="5" style="72" customWidth="1"/>
    <col min="5636" max="5638" width="7.140625" style="72" customWidth="1"/>
    <col min="5639" max="5639" width="5" style="72" customWidth="1"/>
    <col min="5640" max="5642" width="7.140625" style="72" customWidth="1"/>
    <col min="5643" max="5886" width="9.140625" style="72"/>
    <col min="5887" max="5887" width="33.140625" style="72" bestFit="1" customWidth="1"/>
    <col min="5888" max="5890" width="7.140625" style="72" customWidth="1"/>
    <col min="5891" max="5891" width="5" style="72" customWidth="1"/>
    <col min="5892" max="5894" width="7.140625" style="72" customWidth="1"/>
    <col min="5895" max="5895" width="5" style="72" customWidth="1"/>
    <col min="5896" max="5898" width="7.140625" style="72" customWidth="1"/>
    <col min="5899" max="6142" width="9.140625" style="72"/>
    <col min="6143" max="6143" width="33.140625" style="72" bestFit="1" customWidth="1"/>
    <col min="6144" max="6146" width="7.140625" style="72" customWidth="1"/>
    <col min="6147" max="6147" width="5" style="72" customWidth="1"/>
    <col min="6148" max="6150" width="7.140625" style="72" customWidth="1"/>
    <col min="6151" max="6151" width="5" style="72" customWidth="1"/>
    <col min="6152" max="6154" width="7.140625" style="72" customWidth="1"/>
    <col min="6155" max="6398" width="9.140625" style="72"/>
    <col min="6399" max="6399" width="33.140625" style="72" bestFit="1" customWidth="1"/>
    <col min="6400" max="6402" width="7.140625" style="72" customWidth="1"/>
    <col min="6403" max="6403" width="5" style="72" customWidth="1"/>
    <col min="6404" max="6406" width="7.140625" style="72" customWidth="1"/>
    <col min="6407" max="6407" width="5" style="72" customWidth="1"/>
    <col min="6408" max="6410" width="7.140625" style="72" customWidth="1"/>
    <col min="6411" max="6654" width="9.140625" style="72"/>
    <col min="6655" max="6655" width="33.140625" style="72" bestFit="1" customWidth="1"/>
    <col min="6656" max="6658" width="7.140625" style="72" customWidth="1"/>
    <col min="6659" max="6659" width="5" style="72" customWidth="1"/>
    <col min="6660" max="6662" width="7.140625" style="72" customWidth="1"/>
    <col min="6663" max="6663" width="5" style="72" customWidth="1"/>
    <col min="6664" max="6666" width="7.140625" style="72" customWidth="1"/>
    <col min="6667" max="6910" width="9.140625" style="72"/>
    <col min="6911" max="6911" width="33.140625" style="72" bestFit="1" customWidth="1"/>
    <col min="6912" max="6914" width="7.140625" style="72" customWidth="1"/>
    <col min="6915" max="6915" width="5" style="72" customWidth="1"/>
    <col min="6916" max="6918" width="7.140625" style="72" customWidth="1"/>
    <col min="6919" max="6919" width="5" style="72" customWidth="1"/>
    <col min="6920" max="6922" width="7.140625" style="72" customWidth="1"/>
    <col min="6923" max="7166" width="9.140625" style="72"/>
    <col min="7167" max="7167" width="33.140625" style="72" bestFit="1" customWidth="1"/>
    <col min="7168" max="7170" width="7.140625" style="72" customWidth="1"/>
    <col min="7171" max="7171" width="5" style="72" customWidth="1"/>
    <col min="7172" max="7174" width="7.140625" style="72" customWidth="1"/>
    <col min="7175" max="7175" width="5" style="72" customWidth="1"/>
    <col min="7176" max="7178" width="7.140625" style="72" customWidth="1"/>
    <col min="7179" max="7422" width="9.140625" style="72"/>
    <col min="7423" max="7423" width="33.140625" style="72" bestFit="1" customWidth="1"/>
    <col min="7424" max="7426" width="7.140625" style="72" customWidth="1"/>
    <col min="7427" max="7427" width="5" style="72" customWidth="1"/>
    <col min="7428" max="7430" width="7.140625" style="72" customWidth="1"/>
    <col min="7431" max="7431" width="5" style="72" customWidth="1"/>
    <col min="7432" max="7434" width="7.140625" style="72" customWidth="1"/>
    <col min="7435" max="7678" width="9.140625" style="72"/>
    <col min="7679" max="7679" width="33.140625" style="72" bestFit="1" customWidth="1"/>
    <col min="7680" max="7682" width="7.140625" style="72" customWidth="1"/>
    <col min="7683" max="7683" width="5" style="72" customWidth="1"/>
    <col min="7684" max="7686" width="7.140625" style="72" customWidth="1"/>
    <col min="7687" max="7687" width="5" style="72" customWidth="1"/>
    <col min="7688" max="7690" width="7.140625" style="72" customWidth="1"/>
    <col min="7691" max="7934" width="9.140625" style="72"/>
    <col min="7935" max="7935" width="33.140625" style="72" bestFit="1" customWidth="1"/>
    <col min="7936" max="7938" width="7.140625" style="72" customWidth="1"/>
    <col min="7939" max="7939" width="5" style="72" customWidth="1"/>
    <col min="7940" max="7942" width="7.140625" style="72" customWidth="1"/>
    <col min="7943" max="7943" width="5" style="72" customWidth="1"/>
    <col min="7944" max="7946" width="7.140625" style="72" customWidth="1"/>
    <col min="7947" max="8190" width="9.140625" style="72"/>
    <col min="8191" max="8191" width="33.140625" style="72" bestFit="1" customWidth="1"/>
    <col min="8192" max="8194" width="7.140625" style="72" customWidth="1"/>
    <col min="8195" max="8195" width="5" style="72" customWidth="1"/>
    <col min="8196" max="8198" width="7.140625" style="72" customWidth="1"/>
    <col min="8199" max="8199" width="5" style="72" customWidth="1"/>
    <col min="8200" max="8202" width="7.140625" style="72" customWidth="1"/>
    <col min="8203" max="8446" width="9.140625" style="72"/>
    <col min="8447" max="8447" width="33.140625" style="72" bestFit="1" customWidth="1"/>
    <col min="8448" max="8450" width="7.140625" style="72" customWidth="1"/>
    <col min="8451" max="8451" width="5" style="72" customWidth="1"/>
    <col min="8452" max="8454" width="7.140625" style="72" customWidth="1"/>
    <col min="8455" max="8455" width="5" style="72" customWidth="1"/>
    <col min="8456" max="8458" width="7.140625" style="72" customWidth="1"/>
    <col min="8459" max="8702" width="9.140625" style="72"/>
    <col min="8703" max="8703" width="33.140625" style="72" bestFit="1" customWidth="1"/>
    <col min="8704" max="8706" width="7.140625" style="72" customWidth="1"/>
    <col min="8707" max="8707" width="5" style="72" customWidth="1"/>
    <col min="8708" max="8710" width="7.140625" style="72" customWidth="1"/>
    <col min="8711" max="8711" width="5" style="72" customWidth="1"/>
    <col min="8712" max="8714" width="7.140625" style="72" customWidth="1"/>
    <col min="8715" max="8958" width="9.140625" style="72"/>
    <col min="8959" max="8959" width="33.140625" style="72" bestFit="1" customWidth="1"/>
    <col min="8960" max="8962" width="7.140625" style="72" customWidth="1"/>
    <col min="8963" max="8963" width="5" style="72" customWidth="1"/>
    <col min="8964" max="8966" width="7.140625" style="72" customWidth="1"/>
    <col min="8967" max="8967" width="5" style="72" customWidth="1"/>
    <col min="8968" max="8970" width="7.140625" style="72" customWidth="1"/>
    <col min="8971" max="9214" width="9.140625" style="72"/>
    <col min="9215" max="9215" width="33.140625" style="72" bestFit="1" customWidth="1"/>
    <col min="9216" max="9218" width="7.140625" style="72" customWidth="1"/>
    <col min="9219" max="9219" width="5" style="72" customWidth="1"/>
    <col min="9220" max="9222" width="7.140625" style="72" customWidth="1"/>
    <col min="9223" max="9223" width="5" style="72" customWidth="1"/>
    <col min="9224" max="9226" width="7.140625" style="72" customWidth="1"/>
    <col min="9227" max="9470" width="9.140625" style="72"/>
    <col min="9471" max="9471" width="33.140625" style="72" bestFit="1" customWidth="1"/>
    <col min="9472" max="9474" width="7.140625" style="72" customWidth="1"/>
    <col min="9475" max="9475" width="5" style="72" customWidth="1"/>
    <col min="9476" max="9478" width="7.140625" style="72" customWidth="1"/>
    <col min="9479" max="9479" width="5" style="72" customWidth="1"/>
    <col min="9480" max="9482" width="7.140625" style="72" customWidth="1"/>
    <col min="9483" max="9726" width="9.140625" style="72"/>
    <col min="9727" max="9727" width="33.140625" style="72" bestFit="1" customWidth="1"/>
    <col min="9728" max="9730" width="7.140625" style="72" customWidth="1"/>
    <col min="9731" max="9731" width="5" style="72" customWidth="1"/>
    <col min="9732" max="9734" width="7.140625" style="72" customWidth="1"/>
    <col min="9735" max="9735" width="5" style="72" customWidth="1"/>
    <col min="9736" max="9738" width="7.140625" style="72" customWidth="1"/>
    <col min="9739" max="9982" width="9.140625" style="72"/>
    <col min="9983" max="9983" width="33.140625" style="72" bestFit="1" customWidth="1"/>
    <col min="9984" max="9986" width="7.140625" style="72" customWidth="1"/>
    <col min="9987" max="9987" width="5" style="72" customWidth="1"/>
    <col min="9988" max="9990" width="7.140625" style="72" customWidth="1"/>
    <col min="9991" max="9991" width="5" style="72" customWidth="1"/>
    <col min="9992" max="9994" width="7.140625" style="72" customWidth="1"/>
    <col min="9995" max="10238" width="9.140625" style="72"/>
    <col min="10239" max="10239" width="33.140625" style="72" bestFit="1" customWidth="1"/>
    <col min="10240" max="10242" width="7.140625" style="72" customWidth="1"/>
    <col min="10243" max="10243" width="5" style="72" customWidth="1"/>
    <col min="10244" max="10246" width="7.140625" style="72" customWidth="1"/>
    <col min="10247" max="10247" width="5" style="72" customWidth="1"/>
    <col min="10248" max="10250" width="7.140625" style="72" customWidth="1"/>
    <col min="10251" max="10494" width="9.140625" style="72"/>
    <col min="10495" max="10495" width="33.140625" style="72" bestFit="1" customWidth="1"/>
    <col min="10496" max="10498" width="7.140625" style="72" customWidth="1"/>
    <col min="10499" max="10499" width="5" style="72" customWidth="1"/>
    <col min="10500" max="10502" width="7.140625" style="72" customWidth="1"/>
    <col min="10503" max="10503" width="5" style="72" customWidth="1"/>
    <col min="10504" max="10506" width="7.140625" style="72" customWidth="1"/>
    <col min="10507" max="10750" width="9.140625" style="72"/>
    <col min="10751" max="10751" width="33.140625" style="72" bestFit="1" customWidth="1"/>
    <col min="10752" max="10754" width="7.140625" style="72" customWidth="1"/>
    <col min="10755" max="10755" width="5" style="72" customWidth="1"/>
    <col min="10756" max="10758" width="7.140625" style="72" customWidth="1"/>
    <col min="10759" max="10759" width="5" style="72" customWidth="1"/>
    <col min="10760" max="10762" width="7.140625" style="72" customWidth="1"/>
    <col min="10763" max="11006" width="9.140625" style="72"/>
    <col min="11007" max="11007" width="33.140625" style="72" bestFit="1" customWidth="1"/>
    <col min="11008" max="11010" width="7.140625" style="72" customWidth="1"/>
    <col min="11011" max="11011" width="5" style="72" customWidth="1"/>
    <col min="11012" max="11014" width="7.140625" style="72" customWidth="1"/>
    <col min="11015" max="11015" width="5" style="72" customWidth="1"/>
    <col min="11016" max="11018" width="7.140625" style="72" customWidth="1"/>
    <col min="11019" max="11262" width="9.140625" style="72"/>
    <col min="11263" max="11263" width="33.140625" style="72" bestFit="1" customWidth="1"/>
    <col min="11264" max="11266" width="7.140625" style="72" customWidth="1"/>
    <col min="11267" max="11267" width="5" style="72" customWidth="1"/>
    <col min="11268" max="11270" width="7.140625" style="72" customWidth="1"/>
    <col min="11271" max="11271" width="5" style="72" customWidth="1"/>
    <col min="11272" max="11274" width="7.140625" style="72" customWidth="1"/>
    <col min="11275" max="11518" width="9.140625" style="72"/>
    <col min="11519" max="11519" width="33.140625" style="72" bestFit="1" customWidth="1"/>
    <col min="11520" max="11522" width="7.140625" style="72" customWidth="1"/>
    <col min="11523" max="11523" width="5" style="72" customWidth="1"/>
    <col min="11524" max="11526" width="7.140625" style="72" customWidth="1"/>
    <col min="11527" max="11527" width="5" style="72" customWidth="1"/>
    <col min="11528" max="11530" width="7.140625" style="72" customWidth="1"/>
    <col min="11531" max="11774" width="9.140625" style="72"/>
    <col min="11775" max="11775" width="33.140625" style="72" bestFit="1" customWidth="1"/>
    <col min="11776" max="11778" width="7.140625" style="72" customWidth="1"/>
    <col min="11779" max="11779" width="5" style="72" customWidth="1"/>
    <col min="11780" max="11782" width="7.140625" style="72" customWidth="1"/>
    <col min="11783" max="11783" width="5" style="72" customWidth="1"/>
    <col min="11784" max="11786" width="7.140625" style="72" customWidth="1"/>
    <col min="11787" max="12030" width="9.140625" style="72"/>
    <col min="12031" max="12031" width="33.140625" style="72" bestFit="1" customWidth="1"/>
    <col min="12032" max="12034" width="7.140625" style="72" customWidth="1"/>
    <col min="12035" max="12035" width="5" style="72" customWidth="1"/>
    <col min="12036" max="12038" width="7.140625" style="72" customWidth="1"/>
    <col min="12039" max="12039" width="5" style="72" customWidth="1"/>
    <col min="12040" max="12042" width="7.140625" style="72" customWidth="1"/>
    <col min="12043" max="12286" width="9.140625" style="72"/>
    <col min="12287" max="12287" width="33.140625" style="72" bestFit="1" customWidth="1"/>
    <col min="12288" max="12290" width="7.140625" style="72" customWidth="1"/>
    <col min="12291" max="12291" width="5" style="72" customWidth="1"/>
    <col min="12292" max="12294" width="7.140625" style="72" customWidth="1"/>
    <col min="12295" max="12295" width="5" style="72" customWidth="1"/>
    <col min="12296" max="12298" width="7.140625" style="72" customWidth="1"/>
    <col min="12299" max="12542" width="9.140625" style="72"/>
    <col min="12543" max="12543" width="33.140625" style="72" bestFit="1" customWidth="1"/>
    <col min="12544" max="12546" width="7.140625" style="72" customWidth="1"/>
    <col min="12547" max="12547" width="5" style="72" customWidth="1"/>
    <col min="12548" max="12550" width="7.140625" style="72" customWidth="1"/>
    <col min="12551" max="12551" width="5" style="72" customWidth="1"/>
    <col min="12552" max="12554" width="7.140625" style="72" customWidth="1"/>
    <col min="12555" max="12798" width="9.140625" style="72"/>
    <col min="12799" max="12799" width="33.140625" style="72" bestFit="1" customWidth="1"/>
    <col min="12800" max="12802" width="7.140625" style="72" customWidth="1"/>
    <col min="12803" max="12803" width="5" style="72" customWidth="1"/>
    <col min="12804" max="12806" width="7.140625" style="72" customWidth="1"/>
    <col min="12807" max="12807" width="5" style="72" customWidth="1"/>
    <col min="12808" max="12810" width="7.140625" style="72" customWidth="1"/>
    <col min="12811" max="13054" width="9.140625" style="72"/>
    <col min="13055" max="13055" width="33.140625" style="72" bestFit="1" customWidth="1"/>
    <col min="13056" max="13058" width="7.140625" style="72" customWidth="1"/>
    <col min="13059" max="13059" width="5" style="72" customWidth="1"/>
    <col min="13060" max="13062" width="7.140625" style="72" customWidth="1"/>
    <col min="13063" max="13063" width="5" style="72" customWidth="1"/>
    <col min="13064" max="13066" width="7.140625" style="72" customWidth="1"/>
    <col min="13067" max="13310" width="9.140625" style="72"/>
    <col min="13311" max="13311" width="33.140625" style="72" bestFit="1" customWidth="1"/>
    <col min="13312" max="13314" width="7.140625" style="72" customWidth="1"/>
    <col min="13315" max="13315" width="5" style="72" customWidth="1"/>
    <col min="13316" max="13318" width="7.140625" style="72" customWidth="1"/>
    <col min="13319" max="13319" width="5" style="72" customWidth="1"/>
    <col min="13320" max="13322" width="7.140625" style="72" customWidth="1"/>
    <col min="13323" max="13566" width="9.140625" style="72"/>
    <col min="13567" max="13567" width="33.140625" style="72" bestFit="1" customWidth="1"/>
    <col min="13568" max="13570" width="7.140625" style="72" customWidth="1"/>
    <col min="13571" max="13571" width="5" style="72" customWidth="1"/>
    <col min="13572" max="13574" width="7.140625" style="72" customWidth="1"/>
    <col min="13575" max="13575" width="5" style="72" customWidth="1"/>
    <col min="13576" max="13578" width="7.140625" style="72" customWidth="1"/>
    <col min="13579" max="13822" width="9.140625" style="72"/>
    <col min="13823" max="13823" width="33.140625" style="72" bestFit="1" customWidth="1"/>
    <col min="13824" max="13826" width="7.140625" style="72" customWidth="1"/>
    <col min="13827" max="13827" width="5" style="72" customWidth="1"/>
    <col min="13828" max="13830" width="7.140625" style="72" customWidth="1"/>
    <col min="13831" max="13831" width="5" style="72" customWidth="1"/>
    <col min="13832" max="13834" width="7.140625" style="72" customWidth="1"/>
    <col min="13835" max="14078" width="9.140625" style="72"/>
    <col min="14079" max="14079" width="33.140625" style="72" bestFit="1" customWidth="1"/>
    <col min="14080" max="14082" width="7.140625" style="72" customWidth="1"/>
    <col min="14083" max="14083" width="5" style="72" customWidth="1"/>
    <col min="14084" max="14086" width="7.140625" style="72" customWidth="1"/>
    <col min="14087" max="14087" width="5" style="72" customWidth="1"/>
    <col min="14088" max="14090" width="7.140625" style="72" customWidth="1"/>
    <col min="14091" max="14334" width="9.140625" style="72"/>
    <col min="14335" max="14335" width="33.140625" style="72" bestFit="1" customWidth="1"/>
    <col min="14336" max="14338" width="7.140625" style="72" customWidth="1"/>
    <col min="14339" max="14339" width="5" style="72" customWidth="1"/>
    <col min="14340" max="14342" width="7.140625" style="72" customWidth="1"/>
    <col min="14343" max="14343" width="5" style="72" customWidth="1"/>
    <col min="14344" max="14346" width="7.140625" style="72" customWidth="1"/>
    <col min="14347" max="14590" width="9.140625" style="72"/>
    <col min="14591" max="14591" width="33.140625" style="72" bestFit="1" customWidth="1"/>
    <col min="14592" max="14594" width="7.140625" style="72" customWidth="1"/>
    <col min="14595" max="14595" width="5" style="72" customWidth="1"/>
    <col min="14596" max="14598" width="7.140625" style="72" customWidth="1"/>
    <col min="14599" max="14599" width="5" style="72" customWidth="1"/>
    <col min="14600" max="14602" width="7.140625" style="72" customWidth="1"/>
    <col min="14603" max="14846" width="9.140625" style="72"/>
    <col min="14847" max="14847" width="33.140625" style="72" bestFit="1" customWidth="1"/>
    <col min="14848" max="14850" width="7.140625" style="72" customWidth="1"/>
    <col min="14851" max="14851" width="5" style="72" customWidth="1"/>
    <col min="14852" max="14854" width="7.140625" style="72" customWidth="1"/>
    <col min="14855" max="14855" width="5" style="72" customWidth="1"/>
    <col min="14856" max="14858" width="7.140625" style="72" customWidth="1"/>
    <col min="14859" max="15102" width="9.140625" style="72"/>
    <col min="15103" max="15103" width="33.140625" style="72" bestFit="1" customWidth="1"/>
    <col min="15104" max="15106" width="7.140625" style="72" customWidth="1"/>
    <col min="15107" max="15107" width="5" style="72" customWidth="1"/>
    <col min="15108" max="15110" width="7.140625" style="72" customWidth="1"/>
    <col min="15111" max="15111" width="5" style="72" customWidth="1"/>
    <col min="15112" max="15114" width="7.140625" style="72" customWidth="1"/>
    <col min="15115" max="15358" width="9.140625" style="72"/>
    <col min="15359" max="15359" width="33.140625" style="72" bestFit="1" customWidth="1"/>
    <col min="15360" max="15362" width="7.140625" style="72" customWidth="1"/>
    <col min="15363" max="15363" width="5" style="72" customWidth="1"/>
    <col min="15364" max="15366" width="7.140625" style="72" customWidth="1"/>
    <col min="15367" max="15367" width="5" style="72" customWidth="1"/>
    <col min="15368" max="15370" width="7.140625" style="72" customWidth="1"/>
    <col min="15371" max="15614" width="9.140625" style="72"/>
    <col min="15615" max="15615" width="33.140625" style="72" bestFit="1" customWidth="1"/>
    <col min="15616" max="15618" width="7.140625" style="72" customWidth="1"/>
    <col min="15619" max="15619" width="5" style="72" customWidth="1"/>
    <col min="15620" max="15622" width="7.140625" style="72" customWidth="1"/>
    <col min="15623" max="15623" width="5" style="72" customWidth="1"/>
    <col min="15624" max="15626" width="7.140625" style="72" customWidth="1"/>
    <col min="15627" max="15870" width="9.140625" style="72"/>
    <col min="15871" max="15871" width="33.140625" style="72" bestFit="1" customWidth="1"/>
    <col min="15872" max="15874" width="7.140625" style="72" customWidth="1"/>
    <col min="15875" max="15875" width="5" style="72" customWidth="1"/>
    <col min="15876" max="15878" width="7.140625" style="72" customWidth="1"/>
    <col min="15879" max="15879" width="5" style="72" customWidth="1"/>
    <col min="15880" max="15882" width="7.140625" style="72" customWidth="1"/>
    <col min="15883" max="16126" width="9.140625" style="72"/>
    <col min="16127" max="16127" width="33.140625" style="72" bestFit="1" customWidth="1"/>
    <col min="16128" max="16130" width="7.140625" style="72" customWidth="1"/>
    <col min="16131" max="16131" width="5" style="72" customWidth="1"/>
    <col min="16132" max="16134" width="7.140625" style="72" customWidth="1"/>
    <col min="16135" max="16135" width="5" style="72" customWidth="1"/>
    <col min="16136" max="16138" width="7.140625" style="72" customWidth="1"/>
    <col min="16139" max="16384" width="9.140625" style="72"/>
  </cols>
  <sheetData>
    <row r="1" spans="1:25" ht="15.6">
      <c r="A1" s="17" t="str">
        <f>CONCATENATE("Occupation Table 4  Occuptation composition (SOC2020) by gender, ",B$6,"-",J$6,", ",Info!B5)</f>
        <v>Occupation Table 4  Occuptation composition (SOC2020) by gender, 2015-2035, England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</row>
    <row r="2" spans="1:25" ht="12.95">
      <c r="A2" s="158" t="s">
        <v>179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</row>
    <row r="3" spans="1:25" ht="12.95">
      <c r="B3" s="103"/>
      <c r="D3" s="103"/>
      <c r="F3" s="103"/>
      <c r="H3" s="103"/>
      <c r="J3" s="103"/>
      <c r="K3" s="212"/>
      <c r="L3" s="224"/>
      <c r="M3" s="212"/>
    </row>
    <row r="4" spans="1:25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114</v>
      </c>
      <c r="M4" s="212"/>
      <c r="N4" s="73"/>
      <c r="O4" s="73"/>
      <c r="P4" s="73"/>
      <c r="Q4" s="73"/>
      <c r="R4" s="73"/>
      <c r="S4" s="73"/>
      <c r="T4" s="73" t="s">
        <v>182</v>
      </c>
      <c r="U4" s="73"/>
    </row>
    <row r="5" spans="1:25" ht="12.95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</row>
    <row r="6" spans="1:25" ht="14.25" customHeight="1">
      <c r="A6" s="217" t="s">
        <v>172</v>
      </c>
      <c r="B6" s="367">
        <v>2015</v>
      </c>
      <c r="C6" s="368"/>
      <c r="D6" s="368"/>
      <c r="E6" s="296"/>
      <c r="F6" s="367">
        <v>2020</v>
      </c>
      <c r="G6" s="368"/>
      <c r="H6" s="368"/>
      <c r="I6" s="296"/>
      <c r="J6" s="367">
        <v>2035</v>
      </c>
      <c r="K6" s="368"/>
      <c r="L6" s="368"/>
      <c r="M6" s="295"/>
      <c r="N6" s="368" t="s">
        <v>177</v>
      </c>
      <c r="O6" s="368"/>
      <c r="P6" s="297"/>
      <c r="Q6" s="368" t="s">
        <v>176</v>
      </c>
      <c r="R6" s="368"/>
      <c r="S6" s="297"/>
      <c r="T6" s="368" t="s">
        <v>119</v>
      </c>
      <c r="U6" s="368"/>
    </row>
    <row r="7" spans="1:25" ht="15" customHeight="1">
      <c r="A7" s="228"/>
      <c r="B7" s="221" t="s">
        <v>173</v>
      </c>
      <c r="C7" s="221" t="s">
        <v>174</v>
      </c>
      <c r="D7" s="221" t="s">
        <v>119</v>
      </c>
      <c r="E7" s="221"/>
      <c r="F7" s="221" t="s">
        <v>173</v>
      </c>
      <c r="G7" s="221" t="s">
        <v>174</v>
      </c>
      <c r="H7" s="221" t="s">
        <v>119</v>
      </c>
      <c r="I7" s="221"/>
      <c r="J7" s="221" t="s">
        <v>173</v>
      </c>
      <c r="K7" s="221" t="s">
        <v>174</v>
      </c>
      <c r="L7" s="221" t="s">
        <v>119</v>
      </c>
      <c r="M7" s="212"/>
      <c r="N7" s="292" t="str">
        <f>CONCATENATE(B6,"-",RIGHT(F6,2))</f>
        <v>2015-20</v>
      </c>
      <c r="O7" s="292" t="str">
        <f>CONCATENATE(F6,"-",RIGHT(J6,2))</f>
        <v>2020-35</v>
      </c>
      <c r="P7" s="272"/>
      <c r="Q7" s="292" t="str">
        <f>CONCATENATE(B6,"-",RIGHT(F6,2))</f>
        <v>2015-20</v>
      </c>
      <c r="R7" s="292" t="str">
        <f>CONCATENATE(F6,"-",RIGHT(J6,2))</f>
        <v>2020-35</v>
      </c>
      <c r="S7" s="156"/>
      <c r="T7" s="292" t="str">
        <f>CONCATENATE(B6,"-",RIGHT(F6,2))</f>
        <v>2015-20</v>
      </c>
      <c r="U7" s="292" t="str">
        <f>CONCATENATE(F6,"-",RIGHT(J6,2))</f>
        <v>2020-35</v>
      </c>
    </row>
    <row r="8" spans="1:25" ht="12.95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98"/>
      <c r="O8" s="298"/>
      <c r="P8" s="298"/>
      <c r="Q8" s="298"/>
      <c r="R8" s="298"/>
      <c r="S8" s="298"/>
      <c r="T8" s="298"/>
      <c r="U8" s="298"/>
    </row>
    <row r="9" spans="1:25">
      <c r="A9" s="300" t="str">
        <f>name!D4</f>
        <v>11 Corporate managers and directors</v>
      </c>
      <c r="B9" s="301">
        <v>585.71859906502971</v>
      </c>
      <c r="C9" s="301">
        <v>1313.7150399618367</v>
      </c>
      <c r="D9" s="301">
        <f>SUM(B9:C9)</f>
        <v>1899.4336390268663</v>
      </c>
      <c r="E9" s="302"/>
      <c r="F9" s="301">
        <v>789.26688769422583</v>
      </c>
      <c r="G9" s="301">
        <v>1518.4732166975457</v>
      </c>
      <c r="H9" s="301">
        <f>SUM(F9:G9)</f>
        <v>2307.7401043917716</v>
      </c>
      <c r="I9" s="302"/>
      <c r="J9" s="301">
        <v>910.99096590816146</v>
      </c>
      <c r="K9" s="301">
        <v>1372.7350954014596</v>
      </c>
      <c r="L9" s="301">
        <f>SUM(J9:K9)</f>
        <v>2283.7260613096209</v>
      </c>
      <c r="M9" s="212"/>
      <c r="N9" s="299">
        <f>IF(B9&gt;0,(EXP(LN(F9/B9)/($F$6-$B$6))-1)*100,0)</f>
        <v>6.1468165174788147</v>
      </c>
      <c r="O9" s="299">
        <f>IF(F9&gt;0,(EXP(LN(J9/F9)/($J$6-$F$6))-1)*100,0)</f>
        <v>0.96077580729421186</v>
      </c>
      <c r="P9" s="299"/>
      <c r="Q9" s="299">
        <f>IF(C9&gt;0,(EXP(LN(G9/C9)/($F$6-$B$6))-1)*100,0)</f>
        <v>2.9392957731267488</v>
      </c>
      <c r="R9" s="299">
        <f>IF(G9&gt;0,(EXP(LN(K9/G9)/($J$6-$F$6))-1)*100,0)</f>
        <v>-0.67041063793328304</v>
      </c>
      <c r="S9" s="298"/>
      <c r="T9" s="299">
        <f>IF(D9&gt;0,(EXP(LN(H9/D9)/($F$6-$B$6))-1)*100,0)</f>
        <v>3.9710798144611426</v>
      </c>
      <c r="U9" s="299">
        <f>IF(H9&gt;0,(EXP(LN(L9/H9)/($J$6-$F$6))-1)*100,0)</f>
        <v>-6.9711619613666009E-2</v>
      </c>
      <c r="W9" s="75"/>
      <c r="X9" s="75"/>
      <c r="Y9" s="75"/>
    </row>
    <row r="10" spans="1:25">
      <c r="A10" s="300" t="str">
        <f>name!D5</f>
        <v>12 Other managers and proprietors</v>
      </c>
      <c r="B10" s="301">
        <v>363.44214010432023</v>
      </c>
      <c r="C10" s="301">
        <v>560.07918748953887</v>
      </c>
      <c r="D10" s="301">
        <f t="shared" ref="D10:D34" si="0">SUM(B10:C10)</f>
        <v>923.52132759385904</v>
      </c>
      <c r="E10" s="302"/>
      <c r="F10" s="301">
        <v>419.77726126692244</v>
      </c>
      <c r="G10" s="301">
        <v>579.99639409238614</v>
      </c>
      <c r="H10" s="301">
        <f t="shared" ref="H10:H34" si="1">SUM(F10:G10)</f>
        <v>999.77365535930858</v>
      </c>
      <c r="I10" s="302"/>
      <c r="J10" s="301">
        <v>432.29893245136003</v>
      </c>
      <c r="K10" s="301">
        <v>736.34822839305525</v>
      </c>
      <c r="L10" s="301">
        <f t="shared" ref="L10:L34" si="2">SUM(J10:K10)</f>
        <v>1168.6471608444153</v>
      </c>
      <c r="M10" s="212"/>
      <c r="N10" s="299">
        <f t="shared" ref="N10:N36" si="3">IF(B10&gt;0,(EXP(LN(F10/B10)/($F$6-$B$6))-1)*100,0)</f>
        <v>2.9240164955128822</v>
      </c>
      <c r="O10" s="299">
        <f t="shared" ref="O10:O36" si="4">IF(F10&gt;0,(EXP(LN(J10/F10)/($J$6-$F$6))-1)*100,0)</f>
        <v>0.1961459945617916</v>
      </c>
      <c r="P10" s="299"/>
      <c r="Q10" s="299">
        <f t="shared" ref="Q10:Q36" si="5">IF(C10&gt;0,(EXP(LN(G10/C10)/($F$6-$B$6))-1)*100,0)</f>
        <v>0.70132195383454388</v>
      </c>
      <c r="R10" s="299">
        <f t="shared" ref="R10:R36" si="6">IF(G10&gt;0,(EXP(LN(K10/G10)/($J$6-$F$6))-1)*100,0)</f>
        <v>1.6039355146640899</v>
      </c>
      <c r="S10" s="298"/>
      <c r="T10" s="299">
        <f t="shared" ref="T10:T36" si="7">IF(D10&gt;0,(EXP(LN(H10/D10)/($F$6-$B$6))-1)*100,0)</f>
        <v>1.5993552333907868</v>
      </c>
      <c r="U10" s="299">
        <f t="shared" ref="U10:U36" si="8">IF(H10&gt;0,(EXP(LN(L10/H10)/($J$6-$F$6))-1)*100,0)</f>
        <v>1.0459197464713021</v>
      </c>
    </row>
    <row r="11" spans="1:25">
      <c r="A11" s="300" t="str">
        <f>name!D6</f>
        <v>21 Science, research, engineering and technology professionals</v>
      </c>
      <c r="B11" s="301">
        <v>325.31581099614453</v>
      </c>
      <c r="C11" s="301">
        <v>1259.7640860814026</v>
      </c>
      <c r="D11" s="301">
        <f t="shared" si="0"/>
        <v>1585.0798970775472</v>
      </c>
      <c r="E11" s="302"/>
      <c r="F11" s="301">
        <v>441.47470313082664</v>
      </c>
      <c r="G11" s="301">
        <v>1456.5973309821147</v>
      </c>
      <c r="H11" s="301">
        <f t="shared" si="1"/>
        <v>1898.0720341129413</v>
      </c>
      <c r="I11" s="302"/>
      <c r="J11" s="301">
        <v>731.63231522961019</v>
      </c>
      <c r="K11" s="301">
        <v>1949.7424922917774</v>
      </c>
      <c r="L11" s="301">
        <f t="shared" si="2"/>
        <v>2681.3748075213875</v>
      </c>
      <c r="M11" s="212"/>
      <c r="N11" s="299">
        <f t="shared" si="3"/>
        <v>6.2967852687343839</v>
      </c>
      <c r="O11" s="299">
        <f t="shared" si="4"/>
        <v>3.4250652951564264</v>
      </c>
      <c r="P11" s="299"/>
      <c r="Q11" s="299">
        <f t="shared" si="5"/>
        <v>2.9461376529431149</v>
      </c>
      <c r="R11" s="299">
        <f t="shared" si="6"/>
        <v>1.9629792153806003</v>
      </c>
      <c r="S11" s="298"/>
      <c r="T11" s="299">
        <f t="shared" si="7"/>
        <v>3.6698109281630753</v>
      </c>
      <c r="U11" s="299">
        <f t="shared" si="8"/>
        <v>2.3300034935685332</v>
      </c>
    </row>
    <row r="12" spans="1:25">
      <c r="A12" s="300" t="str">
        <f>name!D7</f>
        <v>22 Health professionals</v>
      </c>
      <c r="B12" s="301">
        <v>879.00595687022053</v>
      </c>
      <c r="C12" s="301">
        <v>290.43686339058576</v>
      </c>
      <c r="D12" s="301">
        <f t="shared" si="0"/>
        <v>1169.4428202608062</v>
      </c>
      <c r="E12" s="302"/>
      <c r="F12" s="301">
        <v>989.17087870229727</v>
      </c>
      <c r="G12" s="301">
        <v>366.7619182696281</v>
      </c>
      <c r="H12" s="301">
        <f t="shared" si="1"/>
        <v>1355.9327969719254</v>
      </c>
      <c r="I12" s="302"/>
      <c r="J12" s="301">
        <v>1043.8401858456359</v>
      </c>
      <c r="K12" s="301">
        <v>392.94933626417338</v>
      </c>
      <c r="L12" s="301">
        <f t="shared" si="2"/>
        <v>1436.7895221098092</v>
      </c>
      <c r="M12" s="212"/>
      <c r="N12" s="299">
        <f t="shared" si="3"/>
        <v>2.38961283230541</v>
      </c>
      <c r="O12" s="299">
        <f t="shared" si="4"/>
        <v>0.35927439586598275</v>
      </c>
      <c r="P12" s="299"/>
      <c r="Q12" s="299">
        <f t="shared" si="5"/>
        <v>4.7771302948282468</v>
      </c>
      <c r="R12" s="299">
        <f t="shared" si="6"/>
        <v>0.4608437986442171</v>
      </c>
      <c r="S12" s="298"/>
      <c r="T12" s="299">
        <f t="shared" si="7"/>
        <v>3.0034650595811341</v>
      </c>
      <c r="U12" s="299">
        <f t="shared" si="8"/>
        <v>0.38688981041488102</v>
      </c>
    </row>
    <row r="13" spans="1:25">
      <c r="A13" s="300" t="str">
        <f>name!D8</f>
        <v>23 Teaching and other educational professionals</v>
      </c>
      <c r="B13" s="301">
        <v>896.63940091703103</v>
      </c>
      <c r="C13" s="301">
        <v>465.10978424210242</v>
      </c>
      <c r="D13" s="301">
        <f t="shared" si="0"/>
        <v>1361.7491851591335</v>
      </c>
      <c r="E13" s="302"/>
      <c r="F13" s="301">
        <v>1016.4750625074356</v>
      </c>
      <c r="G13" s="301">
        <v>487.15805015784076</v>
      </c>
      <c r="H13" s="301">
        <f t="shared" si="1"/>
        <v>1503.6331126652763</v>
      </c>
      <c r="I13" s="302"/>
      <c r="J13" s="301">
        <v>1059.244904850691</v>
      </c>
      <c r="K13" s="301">
        <v>527.17621703011434</v>
      </c>
      <c r="L13" s="301">
        <f t="shared" si="2"/>
        <v>1586.4211218808055</v>
      </c>
      <c r="M13" s="212"/>
      <c r="N13" s="299">
        <f t="shared" si="3"/>
        <v>2.5405828935878061</v>
      </c>
      <c r="O13" s="299">
        <f t="shared" si="4"/>
        <v>0.27514770025145463</v>
      </c>
      <c r="P13" s="299"/>
      <c r="Q13" s="299">
        <f t="shared" si="5"/>
        <v>0.93060617860400985</v>
      </c>
      <c r="R13" s="299">
        <f t="shared" si="6"/>
        <v>0.5276958461947423</v>
      </c>
      <c r="S13" s="298"/>
      <c r="T13" s="299">
        <f t="shared" si="7"/>
        <v>2.0020620393284005</v>
      </c>
      <c r="U13" s="299">
        <f t="shared" si="8"/>
        <v>0.3579481614985891</v>
      </c>
    </row>
    <row r="14" spans="1:25">
      <c r="A14" s="300" t="str">
        <f>name!D9</f>
        <v>24 Business, media and public service professionals</v>
      </c>
      <c r="B14" s="301">
        <v>739.89337028245995</v>
      </c>
      <c r="C14" s="301">
        <v>1057.078509263207</v>
      </c>
      <c r="D14" s="301">
        <f t="shared" si="0"/>
        <v>1796.971879545667</v>
      </c>
      <c r="E14" s="302"/>
      <c r="F14" s="301">
        <v>1020.0033876827833</v>
      </c>
      <c r="G14" s="301">
        <v>1274.7375045541762</v>
      </c>
      <c r="H14" s="301">
        <f t="shared" si="1"/>
        <v>2294.7408922369596</v>
      </c>
      <c r="I14" s="302"/>
      <c r="J14" s="301">
        <v>1221.3579394136846</v>
      </c>
      <c r="K14" s="301">
        <v>1461.2151776543644</v>
      </c>
      <c r="L14" s="301">
        <f t="shared" si="2"/>
        <v>2682.5731170680492</v>
      </c>
      <c r="M14" s="212"/>
      <c r="N14" s="299">
        <f t="shared" si="3"/>
        <v>6.6317399112106656</v>
      </c>
      <c r="O14" s="299">
        <f t="shared" si="4"/>
        <v>1.2082905984633463</v>
      </c>
      <c r="P14" s="299"/>
      <c r="Q14" s="299">
        <f t="shared" si="5"/>
        <v>3.8156204849634001</v>
      </c>
      <c r="R14" s="299">
        <f t="shared" si="6"/>
        <v>0.91434229810394285</v>
      </c>
      <c r="S14" s="298"/>
      <c r="T14" s="299">
        <f t="shared" si="7"/>
        <v>5.0118899529674188</v>
      </c>
      <c r="U14" s="299">
        <f t="shared" si="8"/>
        <v>1.0464811508875238</v>
      </c>
    </row>
    <row r="15" spans="1:25">
      <c r="A15" s="300" t="str">
        <f>name!D10</f>
        <v>31 Science, engineering and technology associate professionals</v>
      </c>
      <c r="B15" s="301">
        <v>127.96651912532997</v>
      </c>
      <c r="C15" s="301">
        <v>335.3162235863245</v>
      </c>
      <c r="D15" s="301">
        <f t="shared" si="0"/>
        <v>463.28274271165446</v>
      </c>
      <c r="E15" s="302"/>
      <c r="F15" s="301">
        <v>164.90541743510897</v>
      </c>
      <c r="G15" s="301">
        <v>423.50200026833016</v>
      </c>
      <c r="H15" s="301">
        <f t="shared" si="1"/>
        <v>588.40741770343914</v>
      </c>
      <c r="I15" s="302"/>
      <c r="J15" s="301">
        <v>210.11857493331843</v>
      </c>
      <c r="K15" s="301">
        <v>394.21388901440332</v>
      </c>
      <c r="L15" s="301">
        <f t="shared" si="2"/>
        <v>604.33246394772175</v>
      </c>
      <c r="M15" s="212"/>
      <c r="N15" s="299">
        <f t="shared" si="3"/>
        <v>5.202900402470334</v>
      </c>
      <c r="O15" s="299">
        <f t="shared" si="4"/>
        <v>1.628449914514607</v>
      </c>
      <c r="P15" s="299"/>
      <c r="Q15" s="299">
        <f t="shared" si="5"/>
        <v>4.7804308503232695</v>
      </c>
      <c r="R15" s="299">
        <f t="shared" si="6"/>
        <v>-0.47662458785867612</v>
      </c>
      <c r="S15" s="298"/>
      <c r="T15" s="299">
        <f t="shared" si="7"/>
        <v>4.8978056206913756</v>
      </c>
      <c r="U15" s="299">
        <f t="shared" si="8"/>
        <v>0.17819116067332441</v>
      </c>
    </row>
    <row r="16" spans="1:25">
      <c r="A16" s="300" t="str">
        <f>name!D11</f>
        <v>32 Health and social care associate professionals</v>
      </c>
      <c r="B16" s="301">
        <v>378.51027285005705</v>
      </c>
      <c r="C16" s="301">
        <v>114.49174703160232</v>
      </c>
      <c r="D16" s="301">
        <f t="shared" si="0"/>
        <v>493.00201988165935</v>
      </c>
      <c r="E16" s="302"/>
      <c r="F16" s="301">
        <v>437.50755019336901</v>
      </c>
      <c r="G16" s="301">
        <v>129.66876831873392</v>
      </c>
      <c r="H16" s="301">
        <f t="shared" si="1"/>
        <v>567.17631851210297</v>
      </c>
      <c r="I16" s="302"/>
      <c r="J16" s="301">
        <v>860.07846492154374</v>
      </c>
      <c r="K16" s="301">
        <v>195.12566843233208</v>
      </c>
      <c r="L16" s="301">
        <f t="shared" si="2"/>
        <v>1055.2041333538759</v>
      </c>
      <c r="M16" s="212"/>
      <c r="N16" s="299">
        <f t="shared" si="3"/>
        <v>2.9393866562894555</v>
      </c>
      <c r="O16" s="299">
        <f t="shared" si="4"/>
        <v>4.6092691944369157</v>
      </c>
      <c r="P16" s="299"/>
      <c r="Q16" s="299">
        <f t="shared" si="5"/>
        <v>2.5208600095185885</v>
      </c>
      <c r="R16" s="299">
        <f t="shared" si="6"/>
        <v>2.7618548193626635</v>
      </c>
      <c r="S16" s="298"/>
      <c r="T16" s="299">
        <f t="shared" si="7"/>
        <v>2.8427966602561749</v>
      </c>
      <c r="U16" s="299">
        <f t="shared" si="8"/>
        <v>4.225637366043733</v>
      </c>
    </row>
    <row r="17" spans="1:21">
      <c r="A17" s="300" t="str">
        <f>name!D12</f>
        <v>33 Protective service occupations</v>
      </c>
      <c r="B17" s="301">
        <v>64.813944086716745</v>
      </c>
      <c r="C17" s="301">
        <v>229.71943815941162</v>
      </c>
      <c r="D17" s="301">
        <f t="shared" si="0"/>
        <v>294.53338224612838</v>
      </c>
      <c r="E17" s="302"/>
      <c r="F17" s="301">
        <v>81.060724760467608</v>
      </c>
      <c r="G17" s="301">
        <v>239.7962095690612</v>
      </c>
      <c r="H17" s="301">
        <f t="shared" si="1"/>
        <v>320.85693432952883</v>
      </c>
      <c r="I17" s="302"/>
      <c r="J17" s="301">
        <v>94.785132428423083</v>
      </c>
      <c r="K17" s="301">
        <v>199.25599578662175</v>
      </c>
      <c r="L17" s="301">
        <f t="shared" si="2"/>
        <v>294.04112821504486</v>
      </c>
      <c r="M17" s="212"/>
      <c r="N17" s="299">
        <f t="shared" si="3"/>
        <v>4.5751283923300745</v>
      </c>
      <c r="O17" s="299">
        <f t="shared" si="4"/>
        <v>1.0482157147176263</v>
      </c>
      <c r="P17" s="299"/>
      <c r="Q17" s="299">
        <f t="shared" si="5"/>
        <v>0.86231077548855062</v>
      </c>
      <c r="R17" s="299">
        <f t="shared" si="6"/>
        <v>-1.2270695218629668</v>
      </c>
      <c r="S17" s="298"/>
      <c r="T17" s="299">
        <f t="shared" si="7"/>
        <v>1.7267994882371296</v>
      </c>
      <c r="U17" s="299">
        <f t="shared" si="8"/>
        <v>-0.58014851394102562</v>
      </c>
    </row>
    <row r="18" spans="1:21">
      <c r="A18" s="300" t="str">
        <f>name!D13</f>
        <v>34 Culture, media and sports occupations</v>
      </c>
      <c r="B18" s="301">
        <v>280.02872797154498</v>
      </c>
      <c r="C18" s="301">
        <v>347.34112331081229</v>
      </c>
      <c r="D18" s="301">
        <f t="shared" si="0"/>
        <v>627.36985128235733</v>
      </c>
      <c r="E18" s="302"/>
      <c r="F18" s="301">
        <v>329.65326891183929</v>
      </c>
      <c r="G18" s="301">
        <v>351.31506863906549</v>
      </c>
      <c r="H18" s="301">
        <f t="shared" si="1"/>
        <v>680.96833755090483</v>
      </c>
      <c r="I18" s="302"/>
      <c r="J18" s="301">
        <v>340.07147539034497</v>
      </c>
      <c r="K18" s="301">
        <v>338.54554086042094</v>
      </c>
      <c r="L18" s="301">
        <f t="shared" si="2"/>
        <v>678.61701625076591</v>
      </c>
      <c r="M18" s="212"/>
      <c r="N18" s="299">
        <f t="shared" si="3"/>
        <v>3.3168031802595976</v>
      </c>
      <c r="O18" s="299">
        <f t="shared" si="4"/>
        <v>0.20764471989740407</v>
      </c>
      <c r="P18" s="299"/>
      <c r="Q18" s="299">
        <f t="shared" si="5"/>
        <v>0.22778084598282788</v>
      </c>
      <c r="R18" s="299">
        <f t="shared" si="6"/>
        <v>-0.24652783131223766</v>
      </c>
      <c r="S18" s="298"/>
      <c r="T18" s="299">
        <f t="shared" si="7"/>
        <v>1.6531064594081935</v>
      </c>
      <c r="U18" s="299">
        <f t="shared" si="8"/>
        <v>-2.3056564612755626E-2</v>
      </c>
    </row>
    <row r="19" spans="1:21">
      <c r="A19" s="300" t="str">
        <f>name!D14</f>
        <v>35 Business and public service associate professionals</v>
      </c>
      <c r="B19" s="301">
        <v>828.93169448996821</v>
      </c>
      <c r="C19" s="301">
        <v>965.95917277592878</v>
      </c>
      <c r="D19" s="301">
        <f t="shared" si="0"/>
        <v>1794.890867265897</v>
      </c>
      <c r="E19" s="302"/>
      <c r="F19" s="301">
        <v>937.55904591384251</v>
      </c>
      <c r="G19" s="301">
        <v>1053.5518681258898</v>
      </c>
      <c r="H19" s="301">
        <f t="shared" si="1"/>
        <v>1991.1109140397323</v>
      </c>
      <c r="I19" s="302"/>
      <c r="J19" s="301">
        <v>1060.2540630743006</v>
      </c>
      <c r="K19" s="301">
        <v>1080.6873903129567</v>
      </c>
      <c r="L19" s="301">
        <f t="shared" si="2"/>
        <v>2140.9414533872573</v>
      </c>
      <c r="M19" s="212"/>
      <c r="N19" s="299">
        <f t="shared" si="3"/>
        <v>2.4934180414734275</v>
      </c>
      <c r="O19" s="299">
        <f t="shared" si="4"/>
        <v>0.82326435150315014</v>
      </c>
      <c r="P19" s="299"/>
      <c r="Q19" s="299">
        <f t="shared" si="5"/>
        <v>1.7511743106169986</v>
      </c>
      <c r="R19" s="299">
        <f t="shared" si="6"/>
        <v>0.16967795062914348</v>
      </c>
      <c r="S19" s="298"/>
      <c r="T19" s="299">
        <f t="shared" si="7"/>
        <v>2.0966473648974304</v>
      </c>
      <c r="U19" s="299">
        <f t="shared" si="8"/>
        <v>0.48485786703520439</v>
      </c>
    </row>
    <row r="20" spans="1:21">
      <c r="A20" s="300" t="str">
        <f>name!D15</f>
        <v>41 Administrative occupations</v>
      </c>
      <c r="B20" s="301">
        <v>1781.4729749685389</v>
      </c>
      <c r="C20" s="301">
        <v>727.83657437185593</v>
      </c>
      <c r="D20" s="301">
        <f t="shared" si="0"/>
        <v>2509.3095493403948</v>
      </c>
      <c r="E20" s="302"/>
      <c r="F20" s="301">
        <v>1749.3068359973265</v>
      </c>
      <c r="G20" s="301">
        <v>818.45285183372221</v>
      </c>
      <c r="H20" s="301">
        <f t="shared" si="1"/>
        <v>2567.7596878310487</v>
      </c>
      <c r="I20" s="302"/>
      <c r="J20" s="301">
        <v>1642.8800143451274</v>
      </c>
      <c r="K20" s="301">
        <v>965.12021326302624</v>
      </c>
      <c r="L20" s="301">
        <f t="shared" si="2"/>
        <v>2608.0002276081536</v>
      </c>
      <c r="M20" s="212"/>
      <c r="N20" s="299">
        <f t="shared" si="3"/>
        <v>-0.3637552095016483</v>
      </c>
      <c r="O20" s="299">
        <f t="shared" si="4"/>
        <v>-0.41758439989406648</v>
      </c>
      <c r="P20" s="299"/>
      <c r="Q20" s="299">
        <f t="shared" si="5"/>
        <v>2.3745387780761407</v>
      </c>
      <c r="R20" s="299">
        <f t="shared" si="6"/>
        <v>1.1049727211951632</v>
      </c>
      <c r="S20" s="298"/>
      <c r="T20" s="299">
        <f t="shared" si="7"/>
        <v>0.46158537009366452</v>
      </c>
      <c r="U20" s="299">
        <f t="shared" si="8"/>
        <v>0.10371994793105799</v>
      </c>
    </row>
    <row r="21" spans="1:21">
      <c r="A21" s="300" t="str">
        <f>name!D16</f>
        <v>42 Secretarial and related occupations</v>
      </c>
      <c r="B21" s="301">
        <v>594.09075815304323</v>
      </c>
      <c r="C21" s="301">
        <v>46.093453153348044</v>
      </c>
      <c r="D21" s="301">
        <f t="shared" si="0"/>
        <v>640.18421130639126</v>
      </c>
      <c r="E21" s="302"/>
      <c r="F21" s="301">
        <v>536.14507234301448</v>
      </c>
      <c r="G21" s="301">
        <v>35.701728456353983</v>
      </c>
      <c r="H21" s="301">
        <f t="shared" si="1"/>
        <v>571.84680079936845</v>
      </c>
      <c r="I21" s="302"/>
      <c r="J21" s="301">
        <v>360.37254407922774</v>
      </c>
      <c r="K21" s="301">
        <v>37.951441632302746</v>
      </c>
      <c r="L21" s="301">
        <f t="shared" si="2"/>
        <v>398.3239857115305</v>
      </c>
      <c r="M21" s="212"/>
      <c r="N21" s="299">
        <f t="shared" si="3"/>
        <v>-2.0316249998428515</v>
      </c>
      <c r="O21" s="299">
        <f t="shared" si="4"/>
        <v>-2.613679263338986</v>
      </c>
      <c r="P21" s="299"/>
      <c r="Q21" s="299">
        <f t="shared" si="5"/>
        <v>-4.9810997738530371</v>
      </c>
      <c r="R21" s="299">
        <f t="shared" si="6"/>
        <v>0.40822020494153399</v>
      </c>
      <c r="S21" s="298"/>
      <c r="T21" s="299">
        <f t="shared" si="7"/>
        <v>-2.2324015539862851</v>
      </c>
      <c r="U21" s="299">
        <f t="shared" si="8"/>
        <v>-2.3818774306827439</v>
      </c>
    </row>
    <row r="22" spans="1:21">
      <c r="A22" s="300" t="str">
        <f>name!D17</f>
        <v>51 Skilled agricultural and related trades</v>
      </c>
      <c r="B22" s="301">
        <v>48.197532284540223</v>
      </c>
      <c r="C22" s="301">
        <v>250.64111379511544</v>
      </c>
      <c r="D22" s="301">
        <f t="shared" si="0"/>
        <v>298.83864607965569</v>
      </c>
      <c r="E22" s="302"/>
      <c r="F22" s="301">
        <v>54.984282364501738</v>
      </c>
      <c r="G22" s="301">
        <v>216.98274328121153</v>
      </c>
      <c r="H22" s="301">
        <f t="shared" si="1"/>
        <v>271.96702564571325</v>
      </c>
      <c r="I22" s="302"/>
      <c r="J22" s="301">
        <v>71.77569933885907</v>
      </c>
      <c r="K22" s="301">
        <v>226.24225337156895</v>
      </c>
      <c r="L22" s="301">
        <f t="shared" si="2"/>
        <v>298.01795271042801</v>
      </c>
      <c r="M22" s="212"/>
      <c r="N22" s="299">
        <f t="shared" si="3"/>
        <v>2.6698084232242181</v>
      </c>
      <c r="O22" s="299">
        <f t="shared" si="4"/>
        <v>1.792533775357863</v>
      </c>
      <c r="P22" s="299"/>
      <c r="Q22" s="299">
        <f t="shared" si="5"/>
        <v>-2.8428925041797504</v>
      </c>
      <c r="R22" s="299">
        <f t="shared" si="6"/>
        <v>0.27897853235525627</v>
      </c>
      <c r="S22" s="298"/>
      <c r="T22" s="299">
        <f t="shared" si="7"/>
        <v>-1.8668141374121094</v>
      </c>
      <c r="U22" s="299">
        <f t="shared" si="8"/>
        <v>0.61168251002798879</v>
      </c>
    </row>
    <row r="23" spans="1:21">
      <c r="A23" s="300" t="str">
        <f>name!D18</f>
        <v>52 Skilled metal, electrical and electronic trades</v>
      </c>
      <c r="B23" s="301">
        <v>18.13500582062046</v>
      </c>
      <c r="C23" s="301">
        <v>1024.0224599930325</v>
      </c>
      <c r="D23" s="301">
        <f t="shared" si="0"/>
        <v>1042.1574658136531</v>
      </c>
      <c r="E23" s="302"/>
      <c r="F23" s="301">
        <v>22.907832710885604</v>
      </c>
      <c r="G23" s="301">
        <v>899.07084758315523</v>
      </c>
      <c r="H23" s="301">
        <f t="shared" si="1"/>
        <v>921.97868029404083</v>
      </c>
      <c r="I23" s="302"/>
      <c r="J23" s="301">
        <v>50.326039361242614</v>
      </c>
      <c r="K23" s="301">
        <v>815.14902033959197</v>
      </c>
      <c r="L23" s="301">
        <f t="shared" si="2"/>
        <v>865.47505970083455</v>
      </c>
      <c r="M23" s="212"/>
      <c r="N23" s="299">
        <f t="shared" si="3"/>
        <v>4.7835868526153513</v>
      </c>
      <c r="O23" s="299">
        <f t="shared" si="4"/>
        <v>5.3870505129285817</v>
      </c>
      <c r="P23" s="299"/>
      <c r="Q23" s="299">
        <f t="shared" si="5"/>
        <v>-2.5690613105248672</v>
      </c>
      <c r="R23" s="299">
        <f t="shared" si="6"/>
        <v>-0.65114344597780871</v>
      </c>
      <c r="S23" s="298"/>
      <c r="T23" s="299">
        <f t="shared" si="7"/>
        <v>-2.4207430055064094</v>
      </c>
      <c r="U23" s="299">
        <f t="shared" si="8"/>
        <v>-0.42073602765485552</v>
      </c>
    </row>
    <row r="24" spans="1:21">
      <c r="A24" s="300" t="str">
        <f>name!D19</f>
        <v>53 Skilled construction and building trades</v>
      </c>
      <c r="B24" s="301">
        <v>14.726618684604233</v>
      </c>
      <c r="C24" s="301">
        <v>903.50029006499324</v>
      </c>
      <c r="D24" s="301">
        <f t="shared" si="0"/>
        <v>918.22690874959744</v>
      </c>
      <c r="E24" s="302"/>
      <c r="F24" s="301">
        <v>18.915910767141682</v>
      </c>
      <c r="G24" s="301">
        <v>750.69644760200902</v>
      </c>
      <c r="H24" s="301">
        <f t="shared" si="1"/>
        <v>769.61235836915068</v>
      </c>
      <c r="I24" s="302"/>
      <c r="J24" s="301">
        <v>14.529008824624869</v>
      </c>
      <c r="K24" s="301">
        <v>704.16901469255447</v>
      </c>
      <c r="L24" s="301">
        <f t="shared" si="2"/>
        <v>718.69802351717931</v>
      </c>
      <c r="M24" s="212"/>
      <c r="N24" s="299">
        <f t="shared" si="3"/>
        <v>5.1344005880480381</v>
      </c>
      <c r="O24" s="299">
        <f t="shared" si="4"/>
        <v>-1.7436601775250304</v>
      </c>
      <c r="P24" s="299"/>
      <c r="Q24" s="299">
        <f t="shared" si="5"/>
        <v>-3.6376876679225068</v>
      </c>
      <c r="R24" s="299">
        <f t="shared" si="6"/>
        <v>-0.4256446704653416</v>
      </c>
      <c r="S24" s="298"/>
      <c r="T24" s="299">
        <f t="shared" si="7"/>
        <v>-3.4695338426077083</v>
      </c>
      <c r="U24" s="299">
        <f t="shared" si="8"/>
        <v>-0.45526506581277104</v>
      </c>
    </row>
    <row r="25" spans="1:21">
      <c r="A25" s="300" t="str">
        <f>name!D20</f>
        <v>54 Textiles, printing and other skilled trades</v>
      </c>
      <c r="B25" s="301">
        <v>228.69974084486122</v>
      </c>
      <c r="C25" s="301">
        <v>401.76819481597715</v>
      </c>
      <c r="D25" s="301">
        <f t="shared" si="0"/>
        <v>630.46793566083841</v>
      </c>
      <c r="E25" s="302"/>
      <c r="F25" s="301">
        <v>225.4133310493485</v>
      </c>
      <c r="G25" s="301">
        <v>318.36080556645021</v>
      </c>
      <c r="H25" s="301">
        <f t="shared" si="1"/>
        <v>543.77413661579874</v>
      </c>
      <c r="I25" s="302"/>
      <c r="J25" s="301">
        <v>240.99500062934234</v>
      </c>
      <c r="K25" s="301">
        <v>346.57330293943801</v>
      </c>
      <c r="L25" s="301">
        <f t="shared" si="2"/>
        <v>587.56830356878038</v>
      </c>
      <c r="M25" s="212"/>
      <c r="N25" s="299">
        <f t="shared" si="3"/>
        <v>-0.28906587853646526</v>
      </c>
      <c r="O25" s="299">
        <f t="shared" si="4"/>
        <v>0.44659725419118335</v>
      </c>
      <c r="P25" s="299"/>
      <c r="Q25" s="299">
        <f t="shared" si="5"/>
        <v>-4.547170154072977</v>
      </c>
      <c r="R25" s="299">
        <f t="shared" si="6"/>
        <v>0.56766514992365735</v>
      </c>
      <c r="S25" s="298"/>
      <c r="T25" s="299">
        <f t="shared" si="7"/>
        <v>-2.9152294191995054</v>
      </c>
      <c r="U25" s="299">
        <f t="shared" si="8"/>
        <v>0.51772579254762974</v>
      </c>
    </row>
    <row r="26" spans="1:21">
      <c r="A26" s="300" t="str">
        <f>name!D21</f>
        <v>61 Caring personal service occupations</v>
      </c>
      <c r="B26" s="301">
        <v>1718.986981570223</v>
      </c>
      <c r="C26" s="301">
        <v>311.25983263375065</v>
      </c>
      <c r="D26" s="301">
        <f t="shared" si="0"/>
        <v>2030.2468142039736</v>
      </c>
      <c r="E26" s="302"/>
      <c r="F26" s="301">
        <v>1708.3613043924645</v>
      </c>
      <c r="G26" s="301">
        <v>311.47269709986608</v>
      </c>
      <c r="H26" s="301">
        <f t="shared" si="1"/>
        <v>2019.8340014923306</v>
      </c>
      <c r="I26" s="302"/>
      <c r="J26" s="301">
        <v>1857.6970439789782</v>
      </c>
      <c r="K26" s="301">
        <v>434.35397669676667</v>
      </c>
      <c r="L26" s="301">
        <f t="shared" si="2"/>
        <v>2292.0510206757449</v>
      </c>
      <c r="M26" s="212"/>
      <c r="N26" s="299">
        <f t="shared" si="3"/>
        <v>-0.12393401007856353</v>
      </c>
      <c r="O26" s="299">
        <f t="shared" si="4"/>
        <v>0.56024998076524835</v>
      </c>
      <c r="P26" s="299"/>
      <c r="Q26" s="299">
        <f t="shared" si="5"/>
        <v>1.3673865893393256E-2</v>
      </c>
      <c r="R26" s="299">
        <f t="shared" si="6"/>
        <v>2.2417453330319415</v>
      </c>
      <c r="S26" s="298"/>
      <c r="T26" s="299">
        <f t="shared" si="7"/>
        <v>-0.10278790615283473</v>
      </c>
      <c r="U26" s="299">
        <f t="shared" si="8"/>
        <v>0.84644040874677362</v>
      </c>
    </row>
    <row r="27" spans="1:21">
      <c r="A27" s="300" t="str">
        <f>name!D22</f>
        <v>62 Leisure, travel and related personal service occupations</v>
      </c>
      <c r="B27" s="301">
        <v>442.70881565524849</v>
      </c>
      <c r="C27" s="301">
        <v>184.68109088265953</v>
      </c>
      <c r="D27" s="301">
        <f t="shared" si="0"/>
        <v>627.38990653790802</v>
      </c>
      <c r="E27" s="302"/>
      <c r="F27" s="301">
        <v>429.20684779063481</v>
      </c>
      <c r="G27" s="301">
        <v>198.46082888973393</v>
      </c>
      <c r="H27" s="301">
        <f t="shared" si="1"/>
        <v>627.66767668036869</v>
      </c>
      <c r="I27" s="302"/>
      <c r="J27" s="301">
        <v>392.85846470389714</v>
      </c>
      <c r="K27" s="301">
        <v>209.93640702482563</v>
      </c>
      <c r="L27" s="301">
        <f t="shared" si="2"/>
        <v>602.7948717287228</v>
      </c>
      <c r="M27" s="212"/>
      <c r="N27" s="299">
        <f t="shared" si="3"/>
        <v>-0.61755101700854409</v>
      </c>
      <c r="O27" s="299">
        <f t="shared" si="4"/>
        <v>-0.58819372142634441</v>
      </c>
      <c r="P27" s="299"/>
      <c r="Q27" s="299">
        <f t="shared" si="5"/>
        <v>1.4496315173390784</v>
      </c>
      <c r="R27" s="299">
        <f t="shared" si="6"/>
        <v>0.37545585006497628</v>
      </c>
      <c r="S27" s="298"/>
      <c r="T27" s="299">
        <f t="shared" si="7"/>
        <v>8.853217456361584E-3</v>
      </c>
      <c r="U27" s="299">
        <f t="shared" si="8"/>
        <v>-0.26919628087315184</v>
      </c>
    </row>
    <row r="28" spans="1:21">
      <c r="A28" s="300" t="str">
        <f>name!D23</f>
        <v>63 Community and civil enforcement occupations</v>
      </c>
      <c r="B28" s="301">
        <v>6.5494376718399119</v>
      </c>
      <c r="C28" s="301">
        <v>22.290786952543879</v>
      </c>
      <c r="D28" s="301">
        <f t="shared" si="0"/>
        <v>28.84022462438379</v>
      </c>
      <c r="E28" s="302"/>
      <c r="F28" s="301">
        <v>6.7154254449809176</v>
      </c>
      <c r="G28" s="301">
        <v>24.287524520410017</v>
      </c>
      <c r="H28" s="301">
        <f t="shared" si="1"/>
        <v>31.002949965390933</v>
      </c>
      <c r="I28" s="302"/>
      <c r="J28" s="301">
        <v>9.0531806061273876</v>
      </c>
      <c r="K28" s="301">
        <v>16.058275525866105</v>
      </c>
      <c r="L28" s="301">
        <f>SUM(J28:K28)</f>
        <v>25.111456131993492</v>
      </c>
      <c r="M28" s="212"/>
      <c r="N28" s="299">
        <f t="shared" si="3"/>
        <v>0.50181471442729553</v>
      </c>
      <c r="O28" s="299">
        <f t="shared" si="4"/>
        <v>2.0113535673613736</v>
      </c>
      <c r="P28" s="299"/>
      <c r="Q28" s="299">
        <f t="shared" si="5"/>
        <v>1.7305916277277067</v>
      </c>
      <c r="R28" s="299">
        <f t="shared" si="6"/>
        <v>-2.7205641053409724</v>
      </c>
      <c r="S28" s="298"/>
      <c r="T28" s="299">
        <f t="shared" si="7"/>
        <v>1.4567336159130084</v>
      </c>
      <c r="U28" s="299">
        <f t="shared" si="8"/>
        <v>-1.3952298324035439</v>
      </c>
    </row>
    <row r="29" spans="1:21">
      <c r="A29" s="300" t="str">
        <f>name!D24</f>
        <v>71 Sales occupations</v>
      </c>
      <c r="B29" s="301">
        <v>1198.4813946697545</v>
      </c>
      <c r="C29" s="301">
        <v>793.63754454260561</v>
      </c>
      <c r="D29" s="301">
        <f t="shared" si="0"/>
        <v>1992.1189392123601</v>
      </c>
      <c r="E29" s="302"/>
      <c r="F29" s="301">
        <v>1081.291149197466</v>
      </c>
      <c r="G29" s="301">
        <v>774.40548986854833</v>
      </c>
      <c r="H29" s="301">
        <f t="shared" si="1"/>
        <v>1855.6966390660143</v>
      </c>
      <c r="I29" s="302"/>
      <c r="J29" s="301">
        <v>1006.220624018454</v>
      </c>
      <c r="K29" s="301">
        <v>770.22168150481446</v>
      </c>
      <c r="L29" s="301">
        <f t="shared" si="2"/>
        <v>1776.4423055232685</v>
      </c>
      <c r="M29" s="212"/>
      <c r="N29" s="299">
        <f t="shared" si="3"/>
        <v>-2.0369562532958296</v>
      </c>
      <c r="O29" s="299">
        <f t="shared" si="4"/>
        <v>-0.47854782567862131</v>
      </c>
      <c r="P29" s="299"/>
      <c r="Q29" s="299">
        <f t="shared" si="5"/>
        <v>-0.4894231800750326</v>
      </c>
      <c r="R29" s="299">
        <f t="shared" si="6"/>
        <v>-3.6108503681808735E-2</v>
      </c>
      <c r="S29" s="298"/>
      <c r="T29" s="299">
        <f t="shared" si="7"/>
        <v>-1.4087567049916205</v>
      </c>
      <c r="U29" s="299">
        <f t="shared" si="8"/>
        <v>-0.29056047198370294</v>
      </c>
    </row>
    <row r="30" spans="1:21">
      <c r="A30" s="300" t="str">
        <f>name!D25</f>
        <v>72 Customer service occupations</v>
      </c>
      <c r="B30" s="301">
        <v>278.05279602438247</v>
      </c>
      <c r="C30" s="301">
        <v>181.54292303428872</v>
      </c>
      <c r="D30" s="301">
        <f t="shared" si="0"/>
        <v>459.59571905867119</v>
      </c>
      <c r="E30" s="302"/>
      <c r="F30" s="301">
        <v>310.91730322144628</v>
      </c>
      <c r="G30" s="301">
        <v>197.23484610684486</v>
      </c>
      <c r="H30" s="301">
        <f t="shared" si="1"/>
        <v>508.1521493282911</v>
      </c>
      <c r="I30" s="302"/>
      <c r="J30" s="301">
        <v>347.34102424583415</v>
      </c>
      <c r="K30" s="301">
        <v>284.46328361232622</v>
      </c>
      <c r="L30" s="301">
        <f t="shared" si="2"/>
        <v>631.80430785816043</v>
      </c>
      <c r="M30" s="212"/>
      <c r="N30" s="299">
        <f t="shared" si="3"/>
        <v>2.2594670845389464</v>
      </c>
      <c r="O30" s="299">
        <f t="shared" si="4"/>
        <v>0.74126792445048384</v>
      </c>
      <c r="P30" s="299"/>
      <c r="Q30" s="299">
        <f t="shared" si="5"/>
        <v>1.6718824001946908</v>
      </c>
      <c r="R30" s="299">
        <f t="shared" si="6"/>
        <v>2.4714397551956591</v>
      </c>
      <c r="S30" s="298"/>
      <c r="T30" s="299">
        <f t="shared" si="7"/>
        <v>2.0289831609051623</v>
      </c>
      <c r="U30" s="299">
        <f t="shared" si="8"/>
        <v>1.4625845924234326</v>
      </c>
    </row>
    <row r="31" spans="1:21">
      <c r="A31" s="300" t="str">
        <f>name!D26</f>
        <v>81 Process, plant and machine operatives</v>
      </c>
      <c r="B31" s="301">
        <v>156.32690354304097</v>
      </c>
      <c r="C31" s="301">
        <v>556.98642676520933</v>
      </c>
      <c r="D31" s="301">
        <f t="shared" si="0"/>
        <v>713.31333030825033</v>
      </c>
      <c r="E31" s="302"/>
      <c r="F31" s="301">
        <v>140.06899296121219</v>
      </c>
      <c r="G31" s="301">
        <v>469.64960221281223</v>
      </c>
      <c r="H31" s="301">
        <f t="shared" si="1"/>
        <v>609.71859517402436</v>
      </c>
      <c r="I31" s="302"/>
      <c r="J31" s="301">
        <v>164.56825629033261</v>
      </c>
      <c r="K31" s="301">
        <v>433.81990973379123</v>
      </c>
      <c r="L31" s="301">
        <f t="shared" si="2"/>
        <v>598.38816602412385</v>
      </c>
      <c r="M31" s="212"/>
      <c r="N31" s="299">
        <f t="shared" si="3"/>
        <v>-2.1723421108047258</v>
      </c>
      <c r="O31" s="299">
        <f t="shared" si="4"/>
        <v>1.0803966382731289</v>
      </c>
      <c r="P31" s="299"/>
      <c r="Q31" s="299">
        <f t="shared" si="5"/>
        <v>-3.3535582017368726</v>
      </c>
      <c r="R31" s="299">
        <f t="shared" si="6"/>
        <v>-0.52765230552425102</v>
      </c>
      <c r="S31" s="298"/>
      <c r="T31" s="299">
        <f t="shared" si="7"/>
        <v>-3.0897263215582726</v>
      </c>
      <c r="U31" s="299">
        <f t="shared" si="8"/>
        <v>-0.12497438125810278</v>
      </c>
    </row>
    <row r="32" spans="1:21">
      <c r="A32" s="300" t="str">
        <f>name!D27</f>
        <v>82 Transport and mobile machine drivers and operatives</v>
      </c>
      <c r="B32" s="301">
        <v>65.339961617798295</v>
      </c>
      <c r="C32" s="301">
        <v>988.67241243807359</v>
      </c>
      <c r="D32" s="301">
        <f t="shared" si="0"/>
        <v>1054.012374055872</v>
      </c>
      <c r="E32" s="302"/>
      <c r="F32" s="301">
        <v>62.231563596814972</v>
      </c>
      <c r="G32" s="301">
        <v>993.83914180756892</v>
      </c>
      <c r="H32" s="301">
        <f t="shared" si="1"/>
        <v>1056.0707054043839</v>
      </c>
      <c r="I32" s="302"/>
      <c r="J32" s="301">
        <v>91.472322924895138</v>
      </c>
      <c r="K32" s="301">
        <v>975.10462147693943</v>
      </c>
      <c r="L32" s="301">
        <f t="shared" si="2"/>
        <v>1066.5769444018347</v>
      </c>
      <c r="M32" s="212"/>
      <c r="N32" s="299">
        <f t="shared" si="3"/>
        <v>-0.97009382328252514</v>
      </c>
      <c r="O32" s="299">
        <f t="shared" si="4"/>
        <v>2.6010801732986977</v>
      </c>
      <c r="P32" s="299"/>
      <c r="Q32" s="299">
        <f t="shared" si="5"/>
        <v>0.10430073029725762</v>
      </c>
      <c r="R32" s="299">
        <f t="shared" si="6"/>
        <v>-0.12679018705805678</v>
      </c>
      <c r="S32" s="298"/>
      <c r="T32" s="299">
        <f t="shared" si="7"/>
        <v>3.9026588927892902E-2</v>
      </c>
      <c r="U32" s="299">
        <f t="shared" si="8"/>
        <v>6.6016875276431186E-2</v>
      </c>
    </row>
    <row r="33" spans="1:21">
      <c r="A33" s="300" t="str">
        <f>name!D28</f>
        <v>91 Elementary trades and related occupations</v>
      </c>
      <c r="B33" s="301">
        <v>111.56944953454892</v>
      </c>
      <c r="C33" s="301">
        <v>364.33938357079472</v>
      </c>
      <c r="D33" s="301">
        <f t="shared" si="0"/>
        <v>475.90883310534366</v>
      </c>
      <c r="E33" s="302"/>
      <c r="F33" s="301">
        <v>80.255431744973919</v>
      </c>
      <c r="G33" s="301">
        <v>299.01635749787528</v>
      </c>
      <c r="H33" s="301">
        <f t="shared" si="1"/>
        <v>379.2717892428492</v>
      </c>
      <c r="I33" s="302"/>
      <c r="J33" s="301">
        <v>337.87626184001806</v>
      </c>
      <c r="K33" s="301">
        <v>439.7860145001855</v>
      </c>
      <c r="L33" s="301">
        <f t="shared" si="2"/>
        <v>777.66227634020356</v>
      </c>
      <c r="M33" s="212"/>
      <c r="N33" s="299">
        <f t="shared" si="3"/>
        <v>-6.3762938326051728</v>
      </c>
      <c r="O33" s="299">
        <f t="shared" si="4"/>
        <v>10.057307301731399</v>
      </c>
      <c r="P33" s="299"/>
      <c r="Q33" s="299">
        <f t="shared" si="5"/>
        <v>-3.8746873171379925</v>
      </c>
      <c r="R33" s="299">
        <f t="shared" si="6"/>
        <v>2.6052929111471057</v>
      </c>
      <c r="S33" s="298"/>
      <c r="T33" s="299">
        <f t="shared" si="7"/>
        <v>-4.4379725977855111</v>
      </c>
      <c r="U33" s="299">
        <f t="shared" si="8"/>
        <v>4.9033521437371164</v>
      </c>
    </row>
    <row r="34" spans="1:21">
      <c r="A34" s="300" t="str">
        <f>name!D29</f>
        <v>92 Elementary administration and service occupations</v>
      </c>
      <c r="B34" s="301">
        <v>1425.2731921947941</v>
      </c>
      <c r="C34" s="301">
        <v>1401.0103376941013</v>
      </c>
      <c r="D34" s="301">
        <f t="shared" si="0"/>
        <v>2826.2835298888954</v>
      </c>
      <c r="E34" s="302"/>
      <c r="F34" s="301">
        <v>1326.5895282136114</v>
      </c>
      <c r="G34" s="301">
        <v>1290.3257579989206</v>
      </c>
      <c r="H34" s="301">
        <f t="shared" si="1"/>
        <v>2616.915286212532</v>
      </c>
      <c r="I34" s="302"/>
      <c r="J34" s="301">
        <v>1033.9455603766266</v>
      </c>
      <c r="K34" s="301">
        <v>1176.5625522461935</v>
      </c>
      <c r="L34" s="301">
        <f t="shared" si="2"/>
        <v>2210.5081126228201</v>
      </c>
      <c r="M34" s="212"/>
      <c r="N34" s="299">
        <f t="shared" si="3"/>
        <v>-1.4247948389827014</v>
      </c>
      <c r="O34" s="299">
        <f t="shared" si="4"/>
        <v>-1.6478011442666807</v>
      </c>
      <c r="P34" s="299"/>
      <c r="Q34" s="299">
        <f t="shared" si="5"/>
        <v>-1.6325064697472413</v>
      </c>
      <c r="R34" s="299">
        <f t="shared" si="6"/>
        <v>-0.61342824056436207</v>
      </c>
      <c r="S34" s="298"/>
      <c r="T34" s="299">
        <f t="shared" si="7"/>
        <v>-1.5275400347386503</v>
      </c>
      <c r="U34" s="299">
        <f t="shared" si="8"/>
        <v>-1.1188527477296484</v>
      </c>
    </row>
    <row r="35" spans="1:21">
      <c r="A35" s="300"/>
      <c r="B35" s="301"/>
      <c r="C35" s="301"/>
      <c r="D35" s="301"/>
      <c r="E35" s="302"/>
      <c r="F35" s="301"/>
      <c r="G35" s="301"/>
      <c r="H35" s="301"/>
      <c r="I35" s="302"/>
      <c r="J35" s="301"/>
      <c r="K35" s="301"/>
      <c r="L35" s="301"/>
      <c r="M35" s="212"/>
      <c r="N35" s="298"/>
      <c r="O35" s="299"/>
      <c r="P35" s="299"/>
      <c r="Q35" s="299"/>
      <c r="R35" s="299"/>
      <c r="S35" s="298"/>
      <c r="T35" s="299"/>
      <c r="U35" s="299"/>
    </row>
    <row r="36" spans="1:21" ht="12.95">
      <c r="A36" s="303" t="str">
        <f>name!D3</f>
        <v>All occupations</v>
      </c>
      <c r="B36" s="304">
        <f>SUM(B9:B34)</f>
        <v>13558.877999996659</v>
      </c>
      <c r="C36" s="304">
        <f t="shared" ref="C36:D36" si="9">SUM(C9:C34)</f>
        <v>15097.294000001102</v>
      </c>
      <c r="D36" s="304">
        <f t="shared" si="9"/>
        <v>28656.171999997765</v>
      </c>
      <c r="E36" s="304"/>
      <c r="F36" s="304">
        <f>SUM(F9:F34)</f>
        <v>14380.164999994944</v>
      </c>
      <c r="G36" s="304">
        <f t="shared" ref="G36:H36" si="10">SUM(G9:G34)</f>
        <v>15479.516000000252</v>
      </c>
      <c r="H36" s="304">
        <f t="shared" si="10"/>
        <v>29859.680999995195</v>
      </c>
      <c r="I36" s="304"/>
      <c r="J36" s="304">
        <f>SUM(J9:J34)</f>
        <v>15586.584000010662</v>
      </c>
      <c r="K36" s="304">
        <f t="shared" ref="K36:L36" si="11">SUM(K9:K34)</f>
        <v>16483.507000001864</v>
      </c>
      <c r="L36" s="304">
        <f t="shared" si="11"/>
        <v>32070.091000012533</v>
      </c>
      <c r="M36" s="234"/>
      <c r="N36" s="305">
        <f t="shared" si="3"/>
        <v>1.1831098432651954</v>
      </c>
      <c r="O36" s="305">
        <f t="shared" si="4"/>
        <v>0.53851626577410272</v>
      </c>
      <c r="P36" s="305"/>
      <c r="Q36" s="305">
        <f t="shared" si="5"/>
        <v>0.50129387555895022</v>
      </c>
      <c r="R36" s="305">
        <f t="shared" si="6"/>
        <v>0.41983018617532952</v>
      </c>
      <c r="S36" s="305"/>
      <c r="T36" s="305">
        <f t="shared" si="7"/>
        <v>0.82619957207434869</v>
      </c>
      <c r="U36" s="305">
        <f t="shared" si="8"/>
        <v>0.47723343115717576</v>
      </c>
    </row>
    <row r="37" spans="1:21">
      <c r="A37" s="213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5"/>
      <c r="M37" s="212"/>
    </row>
    <row r="38" spans="1:21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60"/>
      <c r="M38" s="212"/>
    </row>
    <row r="39" spans="1:21" ht="12.95">
      <c r="A39" s="234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2"/>
      <c r="M39" s="212"/>
    </row>
    <row r="40" spans="1:21" ht="12.95">
      <c r="A40" s="217"/>
      <c r="B40" s="367"/>
      <c r="C40" s="367"/>
      <c r="D40" s="367"/>
      <c r="E40" s="229"/>
      <c r="F40" s="367"/>
      <c r="G40" s="367"/>
      <c r="H40" s="367"/>
      <c r="I40" s="229"/>
      <c r="J40" s="367"/>
      <c r="K40" s="367"/>
      <c r="L40" s="367"/>
      <c r="M40" s="212"/>
    </row>
    <row r="41" spans="1:21" ht="12.95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12"/>
    </row>
    <row r="42" spans="1:21" ht="12.95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</row>
    <row r="43" spans="1:21">
      <c r="A43" s="213"/>
      <c r="B43" s="293"/>
      <c r="C43" s="293"/>
      <c r="D43" s="293"/>
      <c r="E43" s="294"/>
      <c r="F43" s="293"/>
      <c r="G43" s="293"/>
      <c r="H43" s="293"/>
      <c r="I43" s="294"/>
      <c r="J43" s="293"/>
      <c r="K43" s="293"/>
      <c r="L43" s="293"/>
      <c r="M43" s="212"/>
    </row>
    <row r="44" spans="1:21">
      <c r="A44" s="213"/>
      <c r="B44" s="293"/>
      <c r="C44" s="293"/>
      <c r="D44" s="293"/>
      <c r="E44" s="294"/>
      <c r="F44" s="293"/>
      <c r="G44" s="293"/>
      <c r="H44" s="293"/>
      <c r="I44" s="294"/>
      <c r="J44" s="293"/>
      <c r="K44" s="293"/>
      <c r="L44" s="293"/>
      <c r="M44" s="212"/>
    </row>
    <row r="45" spans="1:21">
      <c r="A45" s="213"/>
      <c r="B45" s="293"/>
      <c r="C45" s="293"/>
      <c r="D45" s="293"/>
      <c r="E45" s="294"/>
      <c r="F45" s="293"/>
      <c r="G45" s="293"/>
      <c r="H45" s="293"/>
      <c r="I45" s="294"/>
      <c r="J45" s="293"/>
      <c r="K45" s="293"/>
      <c r="L45" s="293"/>
      <c r="M45" s="212"/>
    </row>
    <row r="46" spans="1:21">
      <c r="A46" s="213"/>
      <c r="B46" s="293"/>
      <c r="C46" s="293"/>
      <c r="D46" s="293"/>
      <c r="E46" s="294"/>
      <c r="F46" s="293"/>
      <c r="G46" s="293"/>
      <c r="H46" s="293"/>
      <c r="I46" s="294"/>
      <c r="J46" s="293"/>
      <c r="K46" s="293"/>
      <c r="L46" s="293"/>
      <c r="M46" s="212"/>
    </row>
    <row r="47" spans="1:21">
      <c r="A47" s="213"/>
      <c r="B47" s="293"/>
      <c r="C47" s="293"/>
      <c r="D47" s="293"/>
      <c r="E47" s="294"/>
      <c r="F47" s="293"/>
      <c r="G47" s="293"/>
      <c r="H47" s="293"/>
      <c r="I47" s="294"/>
      <c r="J47" s="293"/>
      <c r="K47" s="293"/>
      <c r="L47" s="293"/>
      <c r="M47" s="212"/>
    </row>
    <row r="48" spans="1:21">
      <c r="A48" s="213"/>
      <c r="B48" s="293"/>
      <c r="C48" s="293"/>
      <c r="D48" s="293"/>
      <c r="E48" s="294"/>
      <c r="F48" s="293"/>
      <c r="G48" s="293"/>
      <c r="H48" s="293"/>
      <c r="I48" s="294"/>
      <c r="J48" s="293"/>
      <c r="K48" s="293"/>
      <c r="L48" s="293"/>
      <c r="M48" s="212"/>
    </row>
    <row r="49" spans="1:13">
      <c r="A49" s="213"/>
      <c r="B49" s="293"/>
      <c r="C49" s="293"/>
      <c r="D49" s="293"/>
      <c r="E49" s="294"/>
      <c r="F49" s="293"/>
      <c r="G49" s="293"/>
      <c r="H49" s="293"/>
      <c r="I49" s="294"/>
      <c r="J49" s="293"/>
      <c r="K49" s="293"/>
      <c r="L49" s="293"/>
      <c r="M49" s="212"/>
    </row>
    <row r="50" spans="1:13">
      <c r="A50" s="213"/>
      <c r="B50" s="293"/>
      <c r="C50" s="293"/>
      <c r="D50" s="293"/>
      <c r="E50" s="294"/>
      <c r="F50" s="293"/>
      <c r="G50" s="293"/>
      <c r="H50" s="293"/>
      <c r="I50" s="294"/>
      <c r="J50" s="293"/>
      <c r="K50" s="293"/>
      <c r="L50" s="293"/>
      <c r="M50" s="212"/>
    </row>
    <row r="51" spans="1:13">
      <c r="A51" s="213"/>
      <c r="B51" s="293"/>
      <c r="C51" s="293"/>
      <c r="D51" s="293"/>
      <c r="E51" s="294"/>
      <c r="F51" s="293"/>
      <c r="G51" s="293"/>
      <c r="H51" s="293"/>
      <c r="I51" s="294"/>
      <c r="J51" s="293"/>
      <c r="K51" s="293"/>
      <c r="L51" s="293"/>
      <c r="M51" s="212"/>
    </row>
    <row r="52" spans="1:13">
      <c r="A52" s="213"/>
      <c r="B52" s="293"/>
      <c r="C52" s="293"/>
      <c r="D52" s="293"/>
      <c r="E52" s="294"/>
      <c r="F52" s="293"/>
      <c r="G52" s="293"/>
      <c r="H52" s="293"/>
      <c r="I52" s="294"/>
      <c r="J52" s="293"/>
      <c r="K52" s="293"/>
      <c r="L52" s="293"/>
      <c r="M52" s="212"/>
    </row>
    <row r="53" spans="1:13">
      <c r="A53" s="213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12"/>
    </row>
    <row r="54" spans="1:13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</row>
    <row r="55" spans="1:13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60"/>
      <c r="M55" s="212"/>
    </row>
    <row r="56" spans="1:13" ht="12.95">
      <c r="A56" s="234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2"/>
      <c r="M56" s="212"/>
    </row>
    <row r="57" spans="1:13" ht="12.95">
      <c r="A57" s="217"/>
      <c r="B57" s="367"/>
      <c r="C57" s="367"/>
      <c r="D57" s="367"/>
      <c r="E57" s="229"/>
      <c r="F57" s="367"/>
      <c r="G57" s="367"/>
      <c r="H57" s="367"/>
      <c r="I57" s="229"/>
      <c r="J57" s="367"/>
      <c r="K57" s="367"/>
      <c r="L57" s="367"/>
      <c r="M57" s="212"/>
    </row>
    <row r="58" spans="1:13" ht="12.95">
      <c r="A58" s="234"/>
      <c r="B58" s="235"/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12"/>
    </row>
    <row r="59" spans="1:13" ht="12.95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</row>
    <row r="60" spans="1:13">
      <c r="A60" s="213"/>
      <c r="B60" s="278"/>
      <c r="C60" s="278"/>
      <c r="D60" s="278"/>
      <c r="E60" s="279"/>
      <c r="F60" s="278"/>
      <c r="G60" s="278"/>
      <c r="H60" s="278"/>
      <c r="I60" s="279"/>
      <c r="J60" s="278"/>
      <c r="K60" s="278"/>
      <c r="L60" s="278"/>
      <c r="M60" s="212"/>
    </row>
    <row r="61" spans="1:13">
      <c r="A61" s="213"/>
      <c r="B61" s="278"/>
      <c r="C61" s="278"/>
      <c r="D61" s="278"/>
      <c r="E61" s="279"/>
      <c r="F61" s="278"/>
      <c r="G61" s="278"/>
      <c r="H61" s="278"/>
      <c r="I61" s="279"/>
      <c r="J61" s="278"/>
      <c r="K61" s="278"/>
      <c r="L61" s="278"/>
      <c r="M61" s="212"/>
    </row>
    <row r="62" spans="1:13">
      <c r="A62" s="213"/>
      <c r="B62" s="278"/>
      <c r="C62" s="278"/>
      <c r="D62" s="278"/>
      <c r="E62" s="279"/>
      <c r="F62" s="278"/>
      <c r="G62" s="278"/>
      <c r="H62" s="278"/>
      <c r="I62" s="279"/>
      <c r="J62" s="278"/>
      <c r="K62" s="278"/>
      <c r="L62" s="278"/>
      <c r="M62" s="212"/>
    </row>
    <row r="63" spans="1:13">
      <c r="A63" s="213"/>
      <c r="B63" s="278"/>
      <c r="C63" s="278"/>
      <c r="D63" s="278"/>
      <c r="E63" s="279"/>
      <c r="F63" s="278"/>
      <c r="G63" s="278"/>
      <c r="H63" s="278"/>
      <c r="I63" s="279"/>
      <c r="J63" s="278"/>
      <c r="K63" s="278"/>
      <c r="L63" s="278"/>
      <c r="M63" s="212"/>
    </row>
    <row r="64" spans="1:13">
      <c r="A64" s="213"/>
      <c r="B64" s="278"/>
      <c r="C64" s="278"/>
      <c r="D64" s="278"/>
      <c r="E64" s="279"/>
      <c r="F64" s="278"/>
      <c r="G64" s="278"/>
      <c r="H64" s="278"/>
      <c r="I64" s="279"/>
      <c r="J64" s="278"/>
      <c r="K64" s="278"/>
      <c r="L64" s="278"/>
      <c r="M64" s="212"/>
    </row>
    <row r="65" spans="1:13">
      <c r="A65" s="213"/>
      <c r="B65" s="278"/>
      <c r="C65" s="278"/>
      <c r="D65" s="278"/>
      <c r="E65" s="279"/>
      <c r="F65" s="278"/>
      <c r="G65" s="278"/>
      <c r="H65" s="278"/>
      <c r="I65" s="279"/>
      <c r="J65" s="278"/>
      <c r="K65" s="278"/>
      <c r="L65" s="278"/>
      <c r="M65" s="212"/>
    </row>
    <row r="66" spans="1:13">
      <c r="A66" s="213"/>
      <c r="B66" s="278"/>
      <c r="C66" s="278"/>
      <c r="D66" s="278"/>
      <c r="E66" s="279"/>
      <c r="F66" s="278"/>
      <c r="G66" s="278"/>
      <c r="H66" s="278"/>
      <c r="I66" s="279"/>
      <c r="J66" s="278"/>
      <c r="K66" s="278"/>
      <c r="L66" s="278"/>
      <c r="M66" s="212"/>
    </row>
    <row r="67" spans="1:13">
      <c r="A67" s="213"/>
      <c r="B67" s="278"/>
      <c r="C67" s="278"/>
      <c r="D67" s="278"/>
      <c r="E67" s="279"/>
      <c r="F67" s="278"/>
      <c r="G67" s="278"/>
      <c r="H67" s="278"/>
      <c r="I67" s="279"/>
      <c r="J67" s="278"/>
      <c r="K67" s="278"/>
      <c r="L67" s="278"/>
      <c r="M67" s="212"/>
    </row>
    <row r="68" spans="1:13">
      <c r="A68" s="213"/>
      <c r="B68" s="278"/>
      <c r="C68" s="278"/>
      <c r="D68" s="278"/>
      <c r="E68" s="279"/>
      <c r="F68" s="278"/>
      <c r="G68" s="278"/>
      <c r="H68" s="278"/>
      <c r="I68" s="279"/>
      <c r="J68" s="278"/>
      <c r="K68" s="278"/>
      <c r="L68" s="278"/>
      <c r="M68" s="212"/>
    </row>
    <row r="69" spans="1:13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</row>
    <row r="70" spans="1:13">
      <c r="A70" s="213"/>
      <c r="B70" s="279"/>
      <c r="C70" s="279"/>
      <c r="D70" s="279"/>
      <c r="E70" s="279"/>
      <c r="F70" s="279"/>
      <c r="G70" s="279"/>
      <c r="H70" s="279"/>
      <c r="I70" s="279"/>
      <c r="J70" s="279"/>
      <c r="K70" s="279"/>
      <c r="L70" s="279"/>
      <c r="M70" s="212"/>
    </row>
    <row r="71" spans="1:13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</row>
    <row r="72" spans="1:13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60"/>
      <c r="M72" s="212"/>
    </row>
    <row r="73" spans="1:13" ht="12.95">
      <c r="A73" s="234"/>
      <c r="B73" s="217"/>
      <c r="C73" s="217"/>
      <c r="D73" s="217"/>
      <c r="E73" s="217"/>
      <c r="F73" s="217"/>
      <c r="G73" s="217"/>
      <c r="H73" s="217"/>
      <c r="I73" s="217"/>
      <c r="J73" s="217"/>
      <c r="K73" s="217"/>
      <c r="L73" s="212"/>
      <c r="M73" s="212"/>
    </row>
    <row r="74" spans="1:13" ht="12.95">
      <c r="A74" s="217"/>
      <c r="B74" s="367"/>
      <c r="C74" s="367"/>
      <c r="D74" s="367"/>
      <c r="E74" s="229"/>
      <c r="F74" s="367"/>
      <c r="G74" s="367"/>
      <c r="H74" s="367"/>
      <c r="I74" s="229"/>
      <c r="J74" s="367"/>
      <c r="K74" s="367"/>
      <c r="L74" s="367"/>
      <c r="M74" s="212"/>
    </row>
    <row r="75" spans="1:13" ht="12.95">
      <c r="A75" s="234"/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12"/>
    </row>
    <row r="76" spans="1:13" ht="12.95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</row>
    <row r="77" spans="1:13">
      <c r="A77" s="213"/>
      <c r="B77" s="278"/>
      <c r="C77" s="278"/>
      <c r="D77" s="278"/>
      <c r="E77" s="279"/>
      <c r="F77" s="278"/>
      <c r="G77" s="278"/>
      <c r="H77" s="278"/>
      <c r="I77" s="279"/>
      <c r="J77" s="278"/>
      <c r="K77" s="278"/>
      <c r="L77" s="278"/>
      <c r="M77" s="212"/>
    </row>
    <row r="78" spans="1:13">
      <c r="A78" s="213"/>
      <c r="B78" s="278"/>
      <c r="C78" s="278"/>
      <c r="D78" s="278"/>
      <c r="E78" s="279"/>
      <c r="F78" s="278"/>
      <c r="G78" s="278"/>
      <c r="H78" s="278"/>
      <c r="I78" s="279"/>
      <c r="J78" s="278"/>
      <c r="K78" s="278"/>
      <c r="L78" s="278"/>
      <c r="M78" s="212"/>
    </row>
    <row r="79" spans="1:13">
      <c r="A79" s="213"/>
      <c r="B79" s="278"/>
      <c r="C79" s="278"/>
      <c r="D79" s="278"/>
      <c r="E79" s="279"/>
      <c r="F79" s="278"/>
      <c r="G79" s="278"/>
      <c r="H79" s="278"/>
      <c r="I79" s="279"/>
      <c r="J79" s="278"/>
      <c r="K79" s="278"/>
      <c r="L79" s="278"/>
      <c r="M79" s="212"/>
    </row>
    <row r="80" spans="1:13">
      <c r="A80" s="213"/>
      <c r="B80" s="278"/>
      <c r="C80" s="278"/>
      <c r="D80" s="278"/>
      <c r="E80" s="279"/>
      <c r="F80" s="278"/>
      <c r="G80" s="278"/>
      <c r="H80" s="278"/>
      <c r="I80" s="279"/>
      <c r="J80" s="278"/>
      <c r="K80" s="278"/>
      <c r="L80" s="278"/>
      <c r="M80" s="212"/>
    </row>
    <row r="81" spans="1:13">
      <c r="A81" s="213"/>
      <c r="B81" s="278"/>
      <c r="C81" s="278"/>
      <c r="D81" s="278"/>
      <c r="E81" s="279"/>
      <c r="F81" s="278"/>
      <c r="G81" s="278"/>
      <c r="H81" s="278"/>
      <c r="I81" s="279"/>
      <c r="J81" s="278"/>
      <c r="K81" s="278"/>
      <c r="L81" s="278"/>
      <c r="M81" s="212"/>
    </row>
    <row r="82" spans="1:13">
      <c r="A82" s="213"/>
      <c r="B82" s="278"/>
      <c r="C82" s="278"/>
      <c r="D82" s="278"/>
      <c r="E82" s="279"/>
      <c r="F82" s="278"/>
      <c r="G82" s="278"/>
      <c r="H82" s="278"/>
      <c r="I82" s="279"/>
      <c r="J82" s="278"/>
      <c r="K82" s="278"/>
      <c r="L82" s="278"/>
      <c r="M82" s="212"/>
    </row>
    <row r="83" spans="1:13">
      <c r="A83" s="213"/>
      <c r="B83" s="278"/>
      <c r="C83" s="278"/>
      <c r="D83" s="278"/>
      <c r="E83" s="279"/>
      <c r="F83" s="278"/>
      <c r="G83" s="278"/>
      <c r="H83" s="278"/>
      <c r="I83" s="279"/>
      <c r="J83" s="278"/>
      <c r="K83" s="278"/>
      <c r="L83" s="278"/>
      <c r="M83" s="212"/>
    </row>
    <row r="84" spans="1:13">
      <c r="A84" s="213"/>
      <c r="B84" s="278"/>
      <c r="C84" s="278"/>
      <c r="D84" s="278"/>
      <c r="E84" s="279"/>
      <c r="F84" s="278"/>
      <c r="G84" s="278"/>
      <c r="H84" s="278"/>
      <c r="I84" s="279"/>
      <c r="J84" s="278"/>
      <c r="K84" s="278"/>
      <c r="L84" s="278"/>
      <c r="M84" s="212"/>
    </row>
    <row r="85" spans="1:13">
      <c r="A85" s="213"/>
      <c r="B85" s="278"/>
      <c r="C85" s="278"/>
      <c r="D85" s="278"/>
      <c r="E85" s="279"/>
      <c r="F85" s="278"/>
      <c r="G85" s="278"/>
      <c r="H85" s="278"/>
      <c r="I85" s="279"/>
      <c r="J85" s="278"/>
      <c r="K85" s="278"/>
      <c r="L85" s="278"/>
      <c r="M85" s="212"/>
    </row>
    <row r="86" spans="1:13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</row>
    <row r="87" spans="1:13">
      <c r="A87" s="213"/>
      <c r="B87" s="279"/>
      <c r="C87" s="279"/>
      <c r="D87" s="279"/>
      <c r="E87" s="279"/>
      <c r="F87" s="279"/>
      <c r="G87" s="279"/>
      <c r="H87" s="279"/>
      <c r="I87" s="279"/>
      <c r="J87" s="279"/>
      <c r="K87" s="279"/>
      <c r="L87" s="279"/>
      <c r="M87" s="212"/>
    </row>
    <row r="88" spans="1:13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</row>
    <row r="89" spans="1:13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60"/>
      <c r="M89" s="212"/>
    </row>
    <row r="90" spans="1:13" ht="12.95">
      <c r="A90" s="234"/>
      <c r="B90" s="217"/>
      <c r="C90" s="217"/>
      <c r="D90" s="217"/>
      <c r="E90" s="217"/>
      <c r="F90" s="217"/>
      <c r="G90" s="217"/>
      <c r="H90" s="217"/>
      <c r="I90" s="217"/>
      <c r="J90" s="217"/>
      <c r="K90" s="217"/>
      <c r="L90" s="212"/>
      <c r="M90" s="212"/>
    </row>
    <row r="91" spans="1:13" ht="12.95">
      <c r="A91" s="217"/>
      <c r="B91" s="367"/>
      <c r="C91" s="367"/>
      <c r="D91" s="367"/>
      <c r="E91" s="229"/>
      <c r="F91" s="367"/>
      <c r="G91" s="367"/>
      <c r="H91" s="367"/>
      <c r="I91" s="229"/>
      <c r="J91" s="367"/>
      <c r="K91" s="367"/>
      <c r="L91" s="367"/>
      <c r="M91" s="212"/>
    </row>
    <row r="92" spans="1:13" ht="12.95">
      <c r="A92" s="234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12"/>
    </row>
    <row r="93" spans="1:13" ht="12.95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</row>
    <row r="94" spans="1:13">
      <c r="A94" s="213"/>
      <c r="B94" s="278"/>
      <c r="C94" s="278"/>
      <c r="D94" s="278"/>
      <c r="E94" s="279"/>
      <c r="F94" s="278"/>
      <c r="G94" s="278"/>
      <c r="H94" s="278"/>
      <c r="I94" s="279"/>
      <c r="J94" s="278"/>
      <c r="K94" s="278"/>
      <c r="L94" s="278"/>
      <c r="M94" s="212"/>
    </row>
    <row r="95" spans="1:13">
      <c r="A95" s="213"/>
      <c r="B95" s="278"/>
      <c r="C95" s="278"/>
      <c r="D95" s="278"/>
      <c r="E95" s="279"/>
      <c r="F95" s="278"/>
      <c r="G95" s="278"/>
      <c r="H95" s="278"/>
      <c r="I95" s="279"/>
      <c r="J95" s="278"/>
      <c r="K95" s="278"/>
      <c r="L95" s="278"/>
      <c r="M95" s="212"/>
    </row>
    <row r="96" spans="1:13">
      <c r="A96" s="213"/>
      <c r="B96" s="278"/>
      <c r="C96" s="278"/>
      <c r="D96" s="278"/>
      <c r="E96" s="279"/>
      <c r="F96" s="278"/>
      <c r="G96" s="278"/>
      <c r="H96" s="278"/>
      <c r="I96" s="279"/>
      <c r="J96" s="278"/>
      <c r="K96" s="278"/>
      <c r="L96" s="278"/>
      <c r="M96" s="212"/>
    </row>
    <row r="97" spans="1:13">
      <c r="A97" s="213"/>
      <c r="B97" s="278"/>
      <c r="C97" s="278"/>
      <c r="D97" s="278"/>
      <c r="E97" s="279"/>
      <c r="F97" s="278"/>
      <c r="G97" s="278"/>
      <c r="H97" s="278"/>
      <c r="I97" s="279"/>
      <c r="J97" s="278"/>
      <c r="K97" s="278"/>
      <c r="L97" s="278"/>
      <c r="M97" s="212"/>
    </row>
    <row r="98" spans="1:13">
      <c r="A98" s="213"/>
      <c r="B98" s="278"/>
      <c r="C98" s="278"/>
      <c r="D98" s="278"/>
      <c r="E98" s="279"/>
      <c r="F98" s="278"/>
      <c r="G98" s="278"/>
      <c r="H98" s="278"/>
      <c r="I98" s="279"/>
      <c r="J98" s="278"/>
      <c r="K98" s="278"/>
      <c r="L98" s="278"/>
      <c r="M98" s="212"/>
    </row>
    <row r="99" spans="1:13">
      <c r="A99" s="213"/>
      <c r="B99" s="278"/>
      <c r="C99" s="278"/>
      <c r="D99" s="278"/>
      <c r="E99" s="279"/>
      <c r="F99" s="278"/>
      <c r="G99" s="278"/>
      <c r="H99" s="278"/>
      <c r="I99" s="279"/>
      <c r="J99" s="278"/>
      <c r="K99" s="278"/>
      <c r="L99" s="278"/>
      <c r="M99" s="212"/>
    </row>
    <row r="100" spans="1:13">
      <c r="A100" s="213"/>
      <c r="B100" s="278"/>
      <c r="C100" s="278"/>
      <c r="D100" s="278"/>
      <c r="E100" s="279"/>
      <c r="F100" s="278"/>
      <c r="G100" s="278"/>
      <c r="H100" s="278"/>
      <c r="I100" s="279"/>
      <c r="J100" s="278"/>
      <c r="K100" s="278"/>
      <c r="L100" s="278"/>
      <c r="M100" s="212"/>
    </row>
    <row r="101" spans="1:13">
      <c r="A101" s="213"/>
      <c r="B101" s="278"/>
      <c r="C101" s="278"/>
      <c r="D101" s="278"/>
      <c r="E101" s="279"/>
      <c r="F101" s="278"/>
      <c r="G101" s="278"/>
      <c r="H101" s="278"/>
      <c r="I101" s="279"/>
      <c r="J101" s="278"/>
      <c r="K101" s="278"/>
      <c r="L101" s="278"/>
      <c r="M101" s="212"/>
    </row>
    <row r="102" spans="1:13">
      <c r="A102" s="213"/>
      <c r="B102" s="278"/>
      <c r="C102" s="278"/>
      <c r="D102" s="278"/>
      <c r="E102" s="279"/>
      <c r="F102" s="278"/>
      <c r="G102" s="278"/>
      <c r="H102" s="278"/>
      <c r="I102" s="279"/>
      <c r="J102" s="278"/>
      <c r="K102" s="278"/>
      <c r="L102" s="278"/>
      <c r="M102" s="212"/>
    </row>
    <row r="103" spans="1:13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</row>
    <row r="104" spans="1:13">
      <c r="A104" s="213"/>
      <c r="B104" s="279"/>
      <c r="C104" s="279"/>
      <c r="D104" s="279"/>
      <c r="E104" s="279"/>
      <c r="F104" s="279"/>
      <c r="G104" s="279"/>
      <c r="H104" s="279"/>
      <c r="I104" s="279"/>
      <c r="J104" s="279"/>
      <c r="K104" s="279"/>
      <c r="L104" s="279"/>
      <c r="M104" s="212"/>
    </row>
    <row r="105" spans="1:13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</row>
    <row r="106" spans="1:13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60"/>
      <c r="M106" s="212"/>
    </row>
    <row r="107" spans="1:13" ht="12.95">
      <c r="A107" s="234"/>
      <c r="B107" s="217"/>
      <c r="C107" s="217"/>
      <c r="D107" s="217"/>
      <c r="E107" s="217"/>
      <c r="F107" s="217"/>
      <c r="G107" s="217"/>
      <c r="H107" s="217"/>
      <c r="I107" s="217"/>
      <c r="J107" s="217"/>
      <c r="K107" s="217"/>
      <c r="L107" s="212"/>
      <c r="M107" s="212"/>
    </row>
    <row r="108" spans="1:13" ht="12.95">
      <c r="A108" s="217"/>
      <c r="B108" s="367"/>
      <c r="C108" s="367"/>
      <c r="D108" s="367"/>
      <c r="E108" s="229"/>
      <c r="F108" s="367"/>
      <c r="G108" s="367"/>
      <c r="H108" s="367"/>
      <c r="I108" s="229"/>
      <c r="J108" s="367"/>
      <c r="K108" s="367"/>
      <c r="L108" s="367"/>
      <c r="M108" s="212"/>
    </row>
    <row r="109" spans="1:13" ht="12.95">
      <c r="A109" s="234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12"/>
    </row>
    <row r="110" spans="1:13" ht="12.95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</row>
    <row r="111" spans="1:13">
      <c r="A111" s="213"/>
      <c r="B111" s="278"/>
      <c r="C111" s="278"/>
      <c r="D111" s="278"/>
      <c r="E111" s="279"/>
      <c r="F111" s="278"/>
      <c r="G111" s="278"/>
      <c r="H111" s="278"/>
      <c r="I111" s="279"/>
      <c r="J111" s="278"/>
      <c r="K111" s="278"/>
      <c r="L111" s="278"/>
      <c r="M111" s="212"/>
    </row>
    <row r="112" spans="1:13">
      <c r="A112" s="213"/>
      <c r="B112" s="278"/>
      <c r="C112" s="278"/>
      <c r="D112" s="278"/>
      <c r="E112" s="279"/>
      <c r="F112" s="278"/>
      <c r="G112" s="278"/>
      <c r="H112" s="278"/>
      <c r="I112" s="279"/>
      <c r="J112" s="278"/>
      <c r="K112" s="278"/>
      <c r="L112" s="278"/>
      <c r="M112" s="212"/>
    </row>
    <row r="113" spans="1:13">
      <c r="A113" s="213"/>
      <c r="B113" s="278"/>
      <c r="C113" s="278"/>
      <c r="D113" s="278"/>
      <c r="E113" s="279"/>
      <c r="F113" s="278"/>
      <c r="G113" s="278"/>
      <c r="H113" s="278"/>
      <c r="I113" s="279"/>
      <c r="J113" s="278"/>
      <c r="K113" s="278"/>
      <c r="L113" s="278"/>
      <c r="M113" s="212"/>
    </row>
    <row r="114" spans="1:13">
      <c r="A114" s="213"/>
      <c r="B114" s="278"/>
      <c r="C114" s="278"/>
      <c r="D114" s="278"/>
      <c r="E114" s="279"/>
      <c r="F114" s="278"/>
      <c r="G114" s="278"/>
      <c r="H114" s="278"/>
      <c r="I114" s="279"/>
      <c r="J114" s="278"/>
      <c r="K114" s="278"/>
      <c r="L114" s="278"/>
      <c r="M114" s="212"/>
    </row>
    <row r="115" spans="1:13">
      <c r="A115" s="213"/>
      <c r="B115" s="278"/>
      <c r="C115" s="278"/>
      <c r="D115" s="278"/>
      <c r="E115" s="279"/>
      <c r="F115" s="278"/>
      <c r="G115" s="278"/>
      <c r="H115" s="278"/>
      <c r="I115" s="279"/>
      <c r="J115" s="278"/>
      <c r="K115" s="278"/>
      <c r="L115" s="278"/>
      <c r="M115" s="212"/>
    </row>
    <row r="116" spans="1:13">
      <c r="A116" s="213"/>
      <c r="B116" s="278"/>
      <c r="C116" s="278"/>
      <c r="D116" s="278"/>
      <c r="E116" s="279"/>
      <c r="F116" s="278"/>
      <c r="G116" s="278"/>
      <c r="H116" s="278"/>
      <c r="I116" s="279"/>
      <c r="J116" s="278"/>
      <c r="K116" s="278"/>
      <c r="L116" s="278"/>
      <c r="M116" s="212"/>
    </row>
    <row r="117" spans="1:13">
      <c r="A117" s="213"/>
      <c r="B117" s="278"/>
      <c r="C117" s="278"/>
      <c r="D117" s="278"/>
      <c r="E117" s="279"/>
      <c r="F117" s="278"/>
      <c r="G117" s="278"/>
      <c r="H117" s="278"/>
      <c r="I117" s="279"/>
      <c r="J117" s="278"/>
      <c r="K117" s="278"/>
      <c r="L117" s="278"/>
      <c r="M117" s="212"/>
    </row>
    <row r="118" spans="1:13">
      <c r="A118" s="213"/>
      <c r="B118" s="278"/>
      <c r="C118" s="278"/>
      <c r="D118" s="278"/>
      <c r="E118" s="279"/>
      <c r="F118" s="278"/>
      <c r="G118" s="278"/>
      <c r="H118" s="278"/>
      <c r="I118" s="279"/>
      <c r="J118" s="278"/>
      <c r="K118" s="278"/>
      <c r="L118" s="278"/>
      <c r="M118" s="212"/>
    </row>
    <row r="119" spans="1:13">
      <c r="A119" s="213"/>
      <c r="B119" s="278"/>
      <c r="C119" s="278"/>
      <c r="D119" s="278"/>
      <c r="E119" s="279"/>
      <c r="F119" s="278"/>
      <c r="G119" s="278"/>
      <c r="H119" s="278"/>
      <c r="I119" s="279"/>
      <c r="J119" s="278"/>
      <c r="K119" s="278"/>
      <c r="L119" s="278"/>
      <c r="M119" s="212"/>
    </row>
    <row r="120" spans="1:13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</row>
    <row r="121" spans="1:13">
      <c r="A121" s="213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79"/>
      <c r="M121" s="212"/>
    </row>
    <row r="122" spans="1:13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</row>
    <row r="123" spans="1:13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60"/>
      <c r="M123" s="212"/>
    </row>
    <row r="124" spans="1:13" ht="12.95">
      <c r="A124" s="234"/>
      <c r="B124" s="217"/>
      <c r="C124" s="217"/>
      <c r="D124" s="217"/>
      <c r="E124" s="217"/>
      <c r="F124" s="217"/>
      <c r="G124" s="217"/>
      <c r="H124" s="217"/>
      <c r="I124" s="217"/>
      <c r="J124" s="217"/>
      <c r="K124" s="217"/>
      <c r="L124" s="212"/>
      <c r="M124" s="212"/>
    </row>
    <row r="125" spans="1:13" ht="12.95">
      <c r="A125" s="217"/>
      <c r="B125" s="367"/>
      <c r="C125" s="367"/>
      <c r="D125" s="367"/>
      <c r="E125" s="229"/>
      <c r="F125" s="367"/>
      <c r="G125" s="367"/>
      <c r="H125" s="367"/>
      <c r="I125" s="229"/>
      <c r="J125" s="367"/>
      <c r="K125" s="367"/>
      <c r="L125" s="367"/>
      <c r="M125" s="212"/>
    </row>
    <row r="126" spans="1:13" ht="12.95">
      <c r="A126" s="234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12"/>
    </row>
    <row r="127" spans="1:13" ht="12.95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</row>
    <row r="128" spans="1:13">
      <c r="A128" s="213"/>
      <c r="B128" s="278"/>
      <c r="C128" s="278"/>
      <c r="D128" s="278"/>
      <c r="E128" s="279"/>
      <c r="F128" s="278"/>
      <c r="G128" s="278"/>
      <c r="H128" s="278"/>
      <c r="I128" s="279"/>
      <c r="J128" s="278"/>
      <c r="K128" s="278"/>
      <c r="L128" s="278"/>
      <c r="M128" s="212"/>
    </row>
    <row r="129" spans="1:13">
      <c r="A129" s="213"/>
      <c r="B129" s="278"/>
      <c r="C129" s="278"/>
      <c r="D129" s="278"/>
      <c r="E129" s="279"/>
      <c r="F129" s="278"/>
      <c r="G129" s="278"/>
      <c r="H129" s="278"/>
      <c r="I129" s="279"/>
      <c r="J129" s="278"/>
      <c r="K129" s="278"/>
      <c r="L129" s="278"/>
      <c r="M129" s="212"/>
    </row>
    <row r="130" spans="1:13">
      <c r="A130" s="213"/>
      <c r="B130" s="278"/>
      <c r="C130" s="278"/>
      <c r="D130" s="278"/>
      <c r="E130" s="279"/>
      <c r="F130" s="278"/>
      <c r="G130" s="278"/>
      <c r="H130" s="278"/>
      <c r="I130" s="279"/>
      <c r="J130" s="278"/>
      <c r="K130" s="278"/>
      <c r="L130" s="278"/>
      <c r="M130" s="212"/>
    </row>
    <row r="131" spans="1:13">
      <c r="A131" s="213"/>
      <c r="B131" s="278"/>
      <c r="C131" s="278"/>
      <c r="D131" s="278"/>
      <c r="E131" s="279"/>
      <c r="F131" s="278"/>
      <c r="G131" s="278"/>
      <c r="H131" s="278"/>
      <c r="I131" s="279"/>
      <c r="J131" s="278"/>
      <c r="K131" s="278"/>
      <c r="L131" s="278"/>
      <c r="M131" s="212"/>
    </row>
    <row r="132" spans="1:13">
      <c r="A132" s="213"/>
      <c r="B132" s="278"/>
      <c r="C132" s="278"/>
      <c r="D132" s="278"/>
      <c r="E132" s="279"/>
      <c r="F132" s="278"/>
      <c r="G132" s="278"/>
      <c r="H132" s="278"/>
      <c r="I132" s="279"/>
      <c r="J132" s="278"/>
      <c r="K132" s="278"/>
      <c r="L132" s="278"/>
      <c r="M132" s="212"/>
    </row>
    <row r="133" spans="1:13">
      <c r="A133" s="213"/>
      <c r="B133" s="278"/>
      <c r="C133" s="278"/>
      <c r="D133" s="278"/>
      <c r="E133" s="279"/>
      <c r="F133" s="278"/>
      <c r="G133" s="278"/>
      <c r="H133" s="278"/>
      <c r="I133" s="279"/>
      <c r="J133" s="278"/>
      <c r="K133" s="278"/>
      <c r="L133" s="278"/>
      <c r="M133" s="212"/>
    </row>
    <row r="134" spans="1:13">
      <c r="A134" s="213"/>
      <c r="B134" s="278"/>
      <c r="C134" s="278"/>
      <c r="D134" s="278"/>
      <c r="E134" s="279"/>
      <c r="F134" s="278"/>
      <c r="G134" s="278"/>
      <c r="H134" s="278"/>
      <c r="I134" s="279"/>
      <c r="J134" s="278"/>
      <c r="K134" s="278"/>
      <c r="L134" s="278"/>
      <c r="M134" s="212"/>
    </row>
    <row r="135" spans="1:13">
      <c r="A135" s="213"/>
      <c r="B135" s="278"/>
      <c r="C135" s="278"/>
      <c r="D135" s="278"/>
      <c r="E135" s="279"/>
      <c r="F135" s="278"/>
      <c r="G135" s="278"/>
      <c r="H135" s="278"/>
      <c r="I135" s="279"/>
      <c r="J135" s="278"/>
      <c r="K135" s="278"/>
      <c r="L135" s="278"/>
      <c r="M135" s="212"/>
    </row>
    <row r="136" spans="1:13">
      <c r="A136" s="213"/>
      <c r="B136" s="278"/>
      <c r="C136" s="278"/>
      <c r="D136" s="278"/>
      <c r="E136" s="279"/>
      <c r="F136" s="278"/>
      <c r="G136" s="278"/>
      <c r="H136" s="278"/>
      <c r="I136" s="279"/>
      <c r="J136" s="278"/>
      <c r="K136" s="278"/>
      <c r="L136" s="278"/>
      <c r="M136" s="212"/>
    </row>
    <row r="137" spans="1:13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</row>
    <row r="138" spans="1:13">
      <c r="A138" s="213"/>
      <c r="B138" s="279"/>
      <c r="C138" s="279"/>
      <c r="D138" s="279"/>
      <c r="E138" s="279"/>
      <c r="F138" s="279"/>
      <c r="G138" s="279"/>
      <c r="H138" s="279"/>
      <c r="I138" s="279"/>
      <c r="J138" s="279"/>
      <c r="K138" s="279"/>
      <c r="L138" s="279"/>
      <c r="M138" s="212"/>
    </row>
    <row r="139" spans="1:13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</row>
    <row r="140" spans="1:13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60"/>
      <c r="M140" s="212"/>
    </row>
    <row r="141" spans="1:13" ht="12.95">
      <c r="A141" s="234"/>
      <c r="B141" s="217"/>
      <c r="C141" s="217"/>
      <c r="D141" s="217"/>
      <c r="E141" s="217"/>
      <c r="F141" s="217"/>
      <c r="G141" s="217"/>
      <c r="H141" s="217"/>
      <c r="I141" s="217"/>
      <c r="J141" s="217"/>
      <c r="K141" s="217"/>
      <c r="L141" s="212"/>
      <c r="M141" s="212"/>
    </row>
    <row r="142" spans="1:13" ht="12.95">
      <c r="A142" s="217"/>
      <c r="B142" s="367"/>
      <c r="C142" s="367"/>
      <c r="D142" s="367"/>
      <c r="E142" s="229"/>
      <c r="F142" s="367"/>
      <c r="G142" s="367"/>
      <c r="H142" s="367"/>
      <c r="I142" s="229"/>
      <c r="J142" s="367"/>
      <c r="K142" s="367"/>
      <c r="L142" s="367"/>
      <c r="M142" s="212"/>
    </row>
    <row r="143" spans="1:13" ht="12.95">
      <c r="A143" s="234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12"/>
    </row>
    <row r="144" spans="1:13" ht="12.95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</row>
    <row r="145" spans="1:13">
      <c r="A145" s="213"/>
      <c r="B145" s="278"/>
      <c r="C145" s="278"/>
      <c r="D145" s="278"/>
      <c r="E145" s="279"/>
      <c r="F145" s="278"/>
      <c r="G145" s="278"/>
      <c r="H145" s="278"/>
      <c r="I145" s="279"/>
      <c r="J145" s="278"/>
      <c r="K145" s="278"/>
      <c r="L145" s="278"/>
      <c r="M145" s="212"/>
    </row>
    <row r="146" spans="1:13">
      <c r="A146" s="213"/>
      <c r="B146" s="278"/>
      <c r="C146" s="278"/>
      <c r="D146" s="278"/>
      <c r="E146" s="279"/>
      <c r="F146" s="278"/>
      <c r="G146" s="278"/>
      <c r="H146" s="278"/>
      <c r="I146" s="279"/>
      <c r="J146" s="278"/>
      <c r="K146" s="278"/>
      <c r="L146" s="278"/>
      <c r="M146" s="212"/>
    </row>
    <row r="147" spans="1:13">
      <c r="A147" s="213"/>
      <c r="B147" s="278"/>
      <c r="C147" s="278"/>
      <c r="D147" s="278"/>
      <c r="E147" s="279"/>
      <c r="F147" s="278"/>
      <c r="G147" s="278"/>
      <c r="H147" s="278"/>
      <c r="I147" s="279"/>
      <c r="J147" s="278"/>
      <c r="K147" s="278"/>
      <c r="L147" s="278"/>
      <c r="M147" s="212"/>
    </row>
    <row r="148" spans="1:13">
      <c r="A148" s="213"/>
      <c r="B148" s="278"/>
      <c r="C148" s="278"/>
      <c r="D148" s="278"/>
      <c r="E148" s="279"/>
      <c r="F148" s="278"/>
      <c r="G148" s="278"/>
      <c r="H148" s="278"/>
      <c r="I148" s="279"/>
      <c r="J148" s="278"/>
      <c r="K148" s="278"/>
      <c r="L148" s="278"/>
      <c r="M148" s="212"/>
    </row>
    <row r="149" spans="1:13">
      <c r="A149" s="213"/>
      <c r="B149" s="278"/>
      <c r="C149" s="278"/>
      <c r="D149" s="278"/>
      <c r="E149" s="279"/>
      <c r="F149" s="278"/>
      <c r="G149" s="278"/>
      <c r="H149" s="278"/>
      <c r="I149" s="279"/>
      <c r="J149" s="278"/>
      <c r="K149" s="278"/>
      <c r="L149" s="278"/>
      <c r="M149" s="212"/>
    </row>
    <row r="150" spans="1:13">
      <c r="A150" s="213"/>
      <c r="B150" s="278"/>
      <c r="C150" s="278"/>
      <c r="D150" s="278"/>
      <c r="E150" s="279"/>
      <c r="F150" s="278"/>
      <c r="G150" s="278"/>
      <c r="H150" s="278"/>
      <c r="I150" s="279"/>
      <c r="J150" s="278"/>
      <c r="K150" s="278"/>
      <c r="L150" s="278"/>
      <c r="M150" s="212"/>
    </row>
    <row r="151" spans="1:13">
      <c r="A151" s="213"/>
      <c r="B151" s="278"/>
      <c r="C151" s="278"/>
      <c r="D151" s="278"/>
      <c r="E151" s="279"/>
      <c r="F151" s="278"/>
      <c r="G151" s="278"/>
      <c r="H151" s="278"/>
      <c r="I151" s="279"/>
      <c r="J151" s="278"/>
      <c r="K151" s="278"/>
      <c r="L151" s="278"/>
      <c r="M151" s="212"/>
    </row>
    <row r="152" spans="1:13">
      <c r="A152" s="213"/>
      <c r="B152" s="278"/>
      <c r="C152" s="278"/>
      <c r="D152" s="278"/>
      <c r="E152" s="279"/>
      <c r="F152" s="278"/>
      <c r="G152" s="278"/>
      <c r="H152" s="278"/>
      <c r="I152" s="279"/>
      <c r="J152" s="278"/>
      <c r="K152" s="278"/>
      <c r="L152" s="278"/>
      <c r="M152" s="212"/>
    </row>
    <row r="153" spans="1:13">
      <c r="A153" s="213"/>
      <c r="B153" s="278"/>
      <c r="C153" s="278"/>
      <c r="D153" s="278"/>
      <c r="E153" s="279"/>
      <c r="F153" s="278"/>
      <c r="G153" s="278"/>
      <c r="H153" s="278"/>
      <c r="I153" s="279"/>
      <c r="J153" s="278"/>
      <c r="K153" s="278"/>
      <c r="L153" s="278"/>
      <c r="M153" s="212"/>
    </row>
    <row r="154" spans="1:13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</row>
    <row r="155" spans="1:13">
      <c r="A155" s="213"/>
      <c r="B155" s="279"/>
      <c r="C155" s="279"/>
      <c r="D155" s="279"/>
      <c r="E155" s="279"/>
      <c r="F155" s="279"/>
      <c r="G155" s="279"/>
      <c r="H155" s="279"/>
      <c r="I155" s="279"/>
      <c r="J155" s="279"/>
      <c r="K155" s="279"/>
      <c r="L155" s="279"/>
      <c r="M155" s="212"/>
    </row>
    <row r="156" spans="1:13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</row>
    <row r="157" spans="1:13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60"/>
      <c r="M157" s="212"/>
    </row>
    <row r="158" spans="1:13" ht="12.95">
      <c r="A158" s="234"/>
      <c r="B158" s="217"/>
      <c r="C158" s="217"/>
      <c r="D158" s="217"/>
      <c r="E158" s="217"/>
      <c r="F158" s="217"/>
      <c r="G158" s="217"/>
      <c r="H158" s="217"/>
      <c r="I158" s="217"/>
      <c r="J158" s="217"/>
      <c r="K158" s="217"/>
      <c r="L158" s="212"/>
      <c r="M158" s="212"/>
    </row>
    <row r="159" spans="1:13" ht="12.95">
      <c r="A159" s="217"/>
      <c r="B159" s="367"/>
      <c r="C159" s="367"/>
      <c r="D159" s="367"/>
      <c r="E159" s="229"/>
      <c r="F159" s="367"/>
      <c r="G159" s="367"/>
      <c r="H159" s="367"/>
      <c r="I159" s="229"/>
      <c r="J159" s="367"/>
      <c r="K159" s="367"/>
      <c r="L159" s="367"/>
      <c r="M159" s="212"/>
    </row>
    <row r="160" spans="1:13" ht="12.95">
      <c r="A160" s="234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12"/>
    </row>
    <row r="161" spans="1:13" ht="12.95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</row>
    <row r="162" spans="1:13">
      <c r="A162" s="213"/>
      <c r="B162" s="278"/>
      <c r="C162" s="278"/>
      <c r="D162" s="278"/>
      <c r="E162" s="279"/>
      <c r="F162" s="278"/>
      <c r="G162" s="278"/>
      <c r="H162" s="278"/>
      <c r="I162" s="279"/>
      <c r="J162" s="278"/>
      <c r="K162" s="278"/>
      <c r="L162" s="278"/>
      <c r="M162" s="212"/>
    </row>
    <row r="163" spans="1:13">
      <c r="A163" s="213"/>
      <c r="B163" s="278"/>
      <c r="C163" s="278"/>
      <c r="D163" s="278"/>
      <c r="E163" s="279"/>
      <c r="F163" s="278"/>
      <c r="G163" s="278"/>
      <c r="H163" s="278"/>
      <c r="I163" s="279"/>
      <c r="J163" s="278"/>
      <c r="K163" s="278"/>
      <c r="L163" s="278"/>
      <c r="M163" s="212"/>
    </row>
    <row r="164" spans="1:13">
      <c r="A164" s="213"/>
      <c r="B164" s="278"/>
      <c r="C164" s="278"/>
      <c r="D164" s="278"/>
      <c r="E164" s="279"/>
      <c r="F164" s="278"/>
      <c r="G164" s="278"/>
      <c r="H164" s="278"/>
      <c r="I164" s="279"/>
      <c r="J164" s="278"/>
      <c r="K164" s="278"/>
      <c r="L164" s="278"/>
      <c r="M164" s="212"/>
    </row>
    <row r="165" spans="1:13">
      <c r="A165" s="213"/>
      <c r="B165" s="278"/>
      <c r="C165" s="278"/>
      <c r="D165" s="278"/>
      <c r="E165" s="279"/>
      <c r="F165" s="278"/>
      <c r="G165" s="278"/>
      <c r="H165" s="278"/>
      <c r="I165" s="279"/>
      <c r="J165" s="278"/>
      <c r="K165" s="278"/>
      <c r="L165" s="278"/>
      <c r="M165" s="212"/>
    </row>
    <row r="166" spans="1:13">
      <c r="A166" s="213"/>
      <c r="B166" s="278"/>
      <c r="C166" s="278"/>
      <c r="D166" s="278"/>
      <c r="E166" s="279"/>
      <c r="F166" s="278"/>
      <c r="G166" s="278"/>
      <c r="H166" s="278"/>
      <c r="I166" s="279"/>
      <c r="J166" s="278"/>
      <c r="K166" s="278"/>
      <c r="L166" s="278"/>
      <c r="M166" s="212"/>
    </row>
    <row r="167" spans="1:13">
      <c r="A167" s="213"/>
      <c r="B167" s="278"/>
      <c r="C167" s="278"/>
      <c r="D167" s="278"/>
      <c r="E167" s="279"/>
      <c r="F167" s="278"/>
      <c r="G167" s="278"/>
      <c r="H167" s="278"/>
      <c r="I167" s="279"/>
      <c r="J167" s="278"/>
      <c r="K167" s="278"/>
      <c r="L167" s="278"/>
      <c r="M167" s="212"/>
    </row>
    <row r="168" spans="1:13">
      <c r="A168" s="213"/>
      <c r="B168" s="278"/>
      <c r="C168" s="278"/>
      <c r="D168" s="278"/>
      <c r="E168" s="279"/>
      <c r="F168" s="278"/>
      <c r="G168" s="278"/>
      <c r="H168" s="278"/>
      <c r="I168" s="279"/>
      <c r="J168" s="278"/>
      <c r="K168" s="278"/>
      <c r="L168" s="278"/>
      <c r="M168" s="212"/>
    </row>
    <row r="169" spans="1:13">
      <c r="A169" s="213"/>
      <c r="B169" s="278"/>
      <c r="C169" s="278"/>
      <c r="D169" s="278"/>
      <c r="E169" s="279"/>
      <c r="F169" s="278"/>
      <c r="G169" s="278"/>
      <c r="H169" s="278"/>
      <c r="I169" s="279"/>
      <c r="J169" s="278"/>
      <c r="K169" s="278"/>
      <c r="L169" s="278"/>
      <c r="M169" s="212"/>
    </row>
    <row r="170" spans="1:13">
      <c r="A170" s="213"/>
      <c r="B170" s="278"/>
      <c r="C170" s="278"/>
      <c r="D170" s="278"/>
      <c r="E170" s="279"/>
      <c r="F170" s="278"/>
      <c r="G170" s="278"/>
      <c r="H170" s="278"/>
      <c r="I170" s="279"/>
      <c r="J170" s="278"/>
      <c r="K170" s="278"/>
      <c r="L170" s="278"/>
      <c r="M170" s="212"/>
    </row>
    <row r="171" spans="1:13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</row>
    <row r="172" spans="1:13">
      <c r="A172" s="213"/>
      <c r="B172" s="279"/>
      <c r="C172" s="279"/>
      <c r="D172" s="279"/>
      <c r="E172" s="279"/>
      <c r="F172" s="279"/>
      <c r="G172" s="279"/>
      <c r="H172" s="279"/>
      <c r="I172" s="279"/>
      <c r="J172" s="279"/>
      <c r="K172" s="279"/>
      <c r="L172" s="279"/>
      <c r="M172" s="212"/>
    </row>
    <row r="173" spans="1:13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</row>
    <row r="174" spans="1:13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60"/>
      <c r="M174" s="212"/>
    </row>
    <row r="175" spans="1:13" ht="12.95">
      <c r="A175" s="234"/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2"/>
      <c r="M175" s="212"/>
    </row>
    <row r="176" spans="1:13" ht="12.95">
      <c r="A176" s="217"/>
      <c r="B176" s="367"/>
      <c r="C176" s="367"/>
      <c r="D176" s="367"/>
      <c r="E176" s="229"/>
      <c r="F176" s="367"/>
      <c r="G176" s="367"/>
      <c r="H176" s="367"/>
      <c r="I176" s="229"/>
      <c r="J176" s="367"/>
      <c r="K176" s="367"/>
      <c r="L176" s="367"/>
      <c r="M176" s="212"/>
    </row>
    <row r="177" spans="1:13" ht="12.95">
      <c r="A177" s="234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12"/>
    </row>
    <row r="178" spans="1:13" ht="12.95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</row>
    <row r="179" spans="1:13">
      <c r="A179" s="213"/>
      <c r="B179" s="278"/>
      <c r="C179" s="278"/>
      <c r="D179" s="278"/>
      <c r="E179" s="279"/>
      <c r="F179" s="278"/>
      <c r="G179" s="278"/>
      <c r="H179" s="278"/>
      <c r="I179" s="279"/>
      <c r="J179" s="278"/>
      <c r="K179" s="278"/>
      <c r="L179" s="278"/>
      <c r="M179" s="212"/>
    </row>
    <row r="180" spans="1:13">
      <c r="A180" s="213"/>
      <c r="B180" s="278"/>
      <c r="C180" s="278"/>
      <c r="D180" s="278"/>
      <c r="E180" s="279"/>
      <c r="F180" s="278"/>
      <c r="G180" s="278"/>
      <c r="H180" s="278"/>
      <c r="I180" s="279"/>
      <c r="J180" s="278"/>
      <c r="K180" s="278"/>
      <c r="L180" s="278"/>
      <c r="M180" s="212"/>
    </row>
    <row r="181" spans="1:13">
      <c r="A181" s="213"/>
      <c r="B181" s="278"/>
      <c r="C181" s="278"/>
      <c r="D181" s="278"/>
      <c r="E181" s="279"/>
      <c r="F181" s="278"/>
      <c r="G181" s="278"/>
      <c r="H181" s="278"/>
      <c r="I181" s="279"/>
      <c r="J181" s="278"/>
      <c r="K181" s="278"/>
      <c r="L181" s="278"/>
      <c r="M181" s="212"/>
    </row>
    <row r="182" spans="1:13">
      <c r="A182" s="213"/>
      <c r="B182" s="278"/>
      <c r="C182" s="278"/>
      <c r="D182" s="278"/>
      <c r="E182" s="279"/>
      <c r="F182" s="278"/>
      <c r="G182" s="278"/>
      <c r="H182" s="278"/>
      <c r="I182" s="279"/>
      <c r="J182" s="278"/>
      <c r="K182" s="278"/>
      <c r="L182" s="278"/>
      <c r="M182" s="212"/>
    </row>
    <row r="183" spans="1:13">
      <c r="A183" s="213"/>
      <c r="B183" s="278"/>
      <c r="C183" s="278"/>
      <c r="D183" s="278"/>
      <c r="E183" s="279"/>
      <c r="F183" s="278"/>
      <c r="G183" s="278"/>
      <c r="H183" s="278"/>
      <c r="I183" s="279"/>
      <c r="J183" s="278"/>
      <c r="K183" s="278"/>
      <c r="L183" s="278"/>
      <c r="M183" s="212"/>
    </row>
    <row r="184" spans="1:13">
      <c r="A184" s="213"/>
      <c r="B184" s="278"/>
      <c r="C184" s="278"/>
      <c r="D184" s="278"/>
      <c r="E184" s="279"/>
      <c r="F184" s="278"/>
      <c r="G184" s="278"/>
      <c r="H184" s="278"/>
      <c r="I184" s="279"/>
      <c r="J184" s="278"/>
      <c r="K184" s="278"/>
      <c r="L184" s="278"/>
      <c r="M184" s="212"/>
    </row>
    <row r="185" spans="1:13">
      <c r="A185" s="213"/>
      <c r="B185" s="278"/>
      <c r="C185" s="278"/>
      <c r="D185" s="278"/>
      <c r="E185" s="279"/>
      <c r="F185" s="278"/>
      <c r="G185" s="278"/>
      <c r="H185" s="278"/>
      <c r="I185" s="279"/>
      <c r="J185" s="278"/>
      <c r="K185" s="278"/>
      <c r="L185" s="278"/>
      <c r="M185" s="212"/>
    </row>
    <row r="186" spans="1:13">
      <c r="A186" s="213"/>
      <c r="B186" s="278"/>
      <c r="C186" s="278"/>
      <c r="D186" s="278"/>
      <c r="E186" s="279"/>
      <c r="F186" s="278"/>
      <c r="G186" s="278"/>
      <c r="H186" s="278"/>
      <c r="I186" s="279"/>
      <c r="J186" s="278"/>
      <c r="K186" s="278"/>
      <c r="L186" s="278"/>
      <c r="M186" s="212"/>
    </row>
    <row r="187" spans="1:13">
      <c r="A187" s="213"/>
      <c r="B187" s="278"/>
      <c r="C187" s="278"/>
      <c r="D187" s="278"/>
      <c r="E187" s="279"/>
      <c r="F187" s="278"/>
      <c r="G187" s="278"/>
      <c r="H187" s="278"/>
      <c r="I187" s="279"/>
      <c r="J187" s="278"/>
      <c r="K187" s="278"/>
      <c r="L187" s="278"/>
      <c r="M187" s="212"/>
    </row>
    <row r="188" spans="1:13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</row>
    <row r="189" spans="1:13">
      <c r="A189" s="213"/>
      <c r="B189" s="279"/>
      <c r="C189" s="279"/>
      <c r="D189" s="279"/>
      <c r="E189" s="279"/>
      <c r="F189" s="279"/>
      <c r="G189" s="279"/>
      <c r="H189" s="279"/>
      <c r="I189" s="279"/>
      <c r="J189" s="279"/>
      <c r="K189" s="279"/>
      <c r="L189" s="279"/>
      <c r="M189" s="212"/>
    </row>
    <row r="190" spans="1:13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</row>
    <row r="191" spans="1:13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60"/>
      <c r="M191" s="212"/>
    </row>
    <row r="192" spans="1:13" ht="12.95">
      <c r="A192" s="234"/>
      <c r="B192" s="217"/>
      <c r="C192" s="217"/>
      <c r="D192" s="217"/>
      <c r="E192" s="217"/>
      <c r="F192" s="217"/>
      <c r="G192" s="217"/>
      <c r="H192" s="217"/>
      <c r="I192" s="217"/>
      <c r="J192" s="217"/>
      <c r="K192" s="217"/>
      <c r="L192" s="212"/>
      <c r="M192" s="212"/>
    </row>
    <row r="193" spans="1:13" ht="12.95">
      <c r="A193" s="217"/>
      <c r="B193" s="367"/>
      <c r="C193" s="367"/>
      <c r="D193" s="367"/>
      <c r="E193" s="229"/>
      <c r="F193" s="367"/>
      <c r="G193" s="367"/>
      <c r="H193" s="367"/>
      <c r="I193" s="229"/>
      <c r="J193" s="367"/>
      <c r="K193" s="367"/>
      <c r="L193" s="367"/>
      <c r="M193" s="212"/>
    </row>
    <row r="194" spans="1:13" ht="12.95">
      <c r="A194" s="234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12"/>
    </row>
    <row r="195" spans="1:13" ht="12.95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</row>
    <row r="196" spans="1:13">
      <c r="A196" s="213"/>
      <c r="B196" s="278"/>
      <c r="C196" s="278"/>
      <c r="D196" s="278"/>
      <c r="E196" s="279"/>
      <c r="F196" s="278"/>
      <c r="G196" s="278"/>
      <c r="H196" s="278"/>
      <c r="I196" s="279"/>
      <c r="J196" s="278"/>
      <c r="K196" s="278"/>
      <c r="L196" s="278"/>
      <c r="M196" s="212"/>
    </row>
    <row r="197" spans="1:13">
      <c r="A197" s="213"/>
      <c r="B197" s="278"/>
      <c r="C197" s="278"/>
      <c r="D197" s="278"/>
      <c r="E197" s="279"/>
      <c r="F197" s="278"/>
      <c r="G197" s="278"/>
      <c r="H197" s="278"/>
      <c r="I197" s="279"/>
      <c r="J197" s="278"/>
      <c r="K197" s="278"/>
      <c r="L197" s="278"/>
      <c r="M197" s="212"/>
    </row>
    <row r="198" spans="1:13">
      <c r="A198" s="213"/>
      <c r="B198" s="278"/>
      <c r="C198" s="278"/>
      <c r="D198" s="278"/>
      <c r="E198" s="279"/>
      <c r="F198" s="278"/>
      <c r="G198" s="278"/>
      <c r="H198" s="278"/>
      <c r="I198" s="279"/>
      <c r="J198" s="278"/>
      <c r="K198" s="278"/>
      <c r="L198" s="278"/>
      <c r="M198" s="212"/>
    </row>
    <row r="199" spans="1:13">
      <c r="A199" s="213"/>
      <c r="B199" s="278"/>
      <c r="C199" s="278"/>
      <c r="D199" s="278"/>
      <c r="E199" s="279"/>
      <c r="F199" s="278"/>
      <c r="G199" s="278"/>
      <c r="H199" s="278"/>
      <c r="I199" s="279"/>
      <c r="J199" s="278"/>
      <c r="K199" s="278"/>
      <c r="L199" s="278"/>
      <c r="M199" s="212"/>
    </row>
    <row r="200" spans="1:13">
      <c r="A200" s="213"/>
      <c r="B200" s="278"/>
      <c r="C200" s="278"/>
      <c r="D200" s="278"/>
      <c r="E200" s="279"/>
      <c r="F200" s="278"/>
      <c r="G200" s="278"/>
      <c r="H200" s="278"/>
      <c r="I200" s="279"/>
      <c r="J200" s="278"/>
      <c r="K200" s="278"/>
      <c r="L200" s="278"/>
      <c r="M200" s="212"/>
    </row>
    <row r="201" spans="1:13">
      <c r="A201" s="213"/>
      <c r="B201" s="278"/>
      <c r="C201" s="278"/>
      <c r="D201" s="278"/>
      <c r="E201" s="279"/>
      <c r="F201" s="278"/>
      <c r="G201" s="278"/>
      <c r="H201" s="278"/>
      <c r="I201" s="279"/>
      <c r="J201" s="278"/>
      <c r="K201" s="278"/>
      <c r="L201" s="278"/>
      <c r="M201" s="212"/>
    </row>
    <row r="202" spans="1:13">
      <c r="A202" s="213"/>
      <c r="B202" s="278"/>
      <c r="C202" s="278"/>
      <c r="D202" s="278"/>
      <c r="E202" s="279"/>
      <c r="F202" s="278"/>
      <c r="G202" s="278"/>
      <c r="H202" s="278"/>
      <c r="I202" s="279"/>
      <c r="J202" s="278"/>
      <c r="K202" s="278"/>
      <c r="L202" s="278"/>
      <c r="M202" s="212"/>
    </row>
    <row r="203" spans="1:13">
      <c r="A203" s="213"/>
      <c r="B203" s="278"/>
      <c r="C203" s="278"/>
      <c r="D203" s="278"/>
      <c r="E203" s="279"/>
      <c r="F203" s="278"/>
      <c r="G203" s="278"/>
      <c r="H203" s="278"/>
      <c r="I203" s="279"/>
      <c r="J203" s="278"/>
      <c r="K203" s="278"/>
      <c r="L203" s="278"/>
      <c r="M203" s="212"/>
    </row>
    <row r="204" spans="1:13">
      <c r="A204" s="213"/>
      <c r="B204" s="278"/>
      <c r="C204" s="278"/>
      <c r="D204" s="278"/>
      <c r="E204" s="279"/>
      <c r="F204" s="278"/>
      <c r="G204" s="278"/>
      <c r="H204" s="278"/>
      <c r="I204" s="279"/>
      <c r="J204" s="278"/>
      <c r="K204" s="278"/>
      <c r="L204" s="278"/>
      <c r="M204" s="212"/>
    </row>
    <row r="205" spans="1:13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</row>
    <row r="206" spans="1:13">
      <c r="A206" s="213"/>
      <c r="B206" s="279"/>
      <c r="C206" s="279"/>
      <c r="D206" s="279"/>
      <c r="E206" s="279"/>
      <c r="F206" s="279"/>
      <c r="G206" s="279"/>
      <c r="H206" s="279"/>
      <c r="I206" s="279"/>
      <c r="J206" s="279"/>
      <c r="K206" s="279"/>
      <c r="L206" s="279"/>
      <c r="M206" s="212"/>
    </row>
    <row r="207" spans="1:13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</row>
    <row r="208" spans="1:13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60"/>
      <c r="M208" s="212"/>
    </row>
    <row r="209" spans="1:13" ht="12.95">
      <c r="A209" s="234"/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2"/>
      <c r="M209" s="212"/>
    </row>
    <row r="210" spans="1:13" ht="12.95">
      <c r="A210" s="217"/>
      <c r="B210" s="367"/>
      <c r="C210" s="367"/>
      <c r="D210" s="367"/>
      <c r="E210" s="229"/>
      <c r="F210" s="367"/>
      <c r="G210" s="367"/>
      <c r="H210" s="367"/>
      <c r="I210" s="229"/>
      <c r="J210" s="367"/>
      <c r="K210" s="367"/>
      <c r="L210" s="367"/>
      <c r="M210" s="212"/>
    </row>
    <row r="211" spans="1:13" ht="12.95">
      <c r="A211" s="234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12"/>
    </row>
    <row r="212" spans="1:13" ht="12.95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</row>
    <row r="213" spans="1:13">
      <c r="A213" s="213"/>
      <c r="B213" s="278"/>
      <c r="C213" s="278"/>
      <c r="D213" s="278"/>
      <c r="E213" s="279"/>
      <c r="F213" s="278"/>
      <c r="G213" s="278"/>
      <c r="H213" s="278"/>
      <c r="I213" s="279"/>
      <c r="J213" s="278"/>
      <c r="K213" s="278"/>
      <c r="L213" s="278"/>
      <c r="M213" s="212"/>
    </row>
    <row r="214" spans="1:13">
      <c r="A214" s="213"/>
      <c r="B214" s="278"/>
      <c r="C214" s="278"/>
      <c r="D214" s="278"/>
      <c r="E214" s="279"/>
      <c r="F214" s="278"/>
      <c r="G214" s="278"/>
      <c r="H214" s="278"/>
      <c r="I214" s="279"/>
      <c r="J214" s="278"/>
      <c r="K214" s="278"/>
      <c r="L214" s="278"/>
      <c r="M214" s="212"/>
    </row>
    <row r="215" spans="1:13">
      <c r="A215" s="213"/>
      <c r="B215" s="278"/>
      <c r="C215" s="278"/>
      <c r="D215" s="278"/>
      <c r="E215" s="279"/>
      <c r="F215" s="278"/>
      <c r="G215" s="278"/>
      <c r="H215" s="278"/>
      <c r="I215" s="279"/>
      <c r="J215" s="278"/>
      <c r="K215" s="278"/>
      <c r="L215" s="278"/>
      <c r="M215" s="212"/>
    </row>
    <row r="216" spans="1:13">
      <c r="A216" s="213"/>
      <c r="B216" s="278"/>
      <c r="C216" s="278"/>
      <c r="D216" s="278"/>
      <c r="E216" s="279"/>
      <c r="F216" s="278"/>
      <c r="G216" s="278"/>
      <c r="H216" s="278"/>
      <c r="I216" s="279"/>
      <c r="J216" s="278"/>
      <c r="K216" s="278"/>
      <c r="L216" s="278"/>
      <c r="M216" s="212"/>
    </row>
    <row r="217" spans="1:13">
      <c r="A217" s="213"/>
      <c r="B217" s="278"/>
      <c r="C217" s="278"/>
      <c r="D217" s="278"/>
      <c r="E217" s="279"/>
      <c r="F217" s="278"/>
      <c r="G217" s="278"/>
      <c r="H217" s="278"/>
      <c r="I217" s="279"/>
      <c r="J217" s="278"/>
      <c r="K217" s="278"/>
      <c r="L217" s="278"/>
      <c r="M217" s="212"/>
    </row>
    <row r="218" spans="1:13">
      <c r="A218" s="213"/>
      <c r="B218" s="278"/>
      <c r="C218" s="278"/>
      <c r="D218" s="278"/>
      <c r="E218" s="279"/>
      <c r="F218" s="278"/>
      <c r="G218" s="278"/>
      <c r="H218" s="278"/>
      <c r="I218" s="279"/>
      <c r="J218" s="278"/>
      <c r="K218" s="278"/>
      <c r="L218" s="278"/>
      <c r="M218" s="212"/>
    </row>
    <row r="219" spans="1:13">
      <c r="A219" s="213"/>
      <c r="B219" s="278"/>
      <c r="C219" s="278"/>
      <c r="D219" s="278"/>
      <c r="E219" s="279"/>
      <c r="F219" s="278"/>
      <c r="G219" s="278"/>
      <c r="H219" s="278"/>
      <c r="I219" s="279"/>
      <c r="J219" s="278"/>
      <c r="K219" s="278"/>
      <c r="L219" s="278"/>
      <c r="M219" s="212"/>
    </row>
    <row r="220" spans="1:13">
      <c r="A220" s="213"/>
      <c r="B220" s="278"/>
      <c r="C220" s="278"/>
      <c r="D220" s="278"/>
      <c r="E220" s="279"/>
      <c r="F220" s="278"/>
      <c r="G220" s="278"/>
      <c r="H220" s="278"/>
      <c r="I220" s="279"/>
      <c r="J220" s="278"/>
      <c r="K220" s="278"/>
      <c r="L220" s="278"/>
      <c r="M220" s="212"/>
    </row>
    <row r="221" spans="1:13">
      <c r="A221" s="213"/>
      <c r="B221" s="278"/>
      <c r="C221" s="278"/>
      <c r="D221" s="278"/>
      <c r="E221" s="279"/>
      <c r="F221" s="278"/>
      <c r="G221" s="278"/>
      <c r="H221" s="278"/>
      <c r="I221" s="279"/>
      <c r="J221" s="278"/>
      <c r="K221" s="278"/>
      <c r="L221" s="278"/>
      <c r="M221" s="212"/>
    </row>
    <row r="222" spans="1:13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</row>
    <row r="223" spans="1:13">
      <c r="A223" s="213"/>
      <c r="B223" s="279"/>
      <c r="C223" s="279"/>
      <c r="D223" s="279"/>
      <c r="E223" s="279"/>
      <c r="F223" s="279"/>
      <c r="G223" s="279"/>
      <c r="H223" s="279"/>
      <c r="I223" s="279"/>
      <c r="J223" s="279"/>
      <c r="K223" s="279"/>
      <c r="L223" s="279"/>
      <c r="M223" s="212"/>
    </row>
    <row r="224" spans="1:13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</row>
    <row r="225" spans="1:13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60"/>
      <c r="M225" s="212"/>
    </row>
    <row r="226" spans="1:13" ht="12.95">
      <c r="A226" s="234"/>
      <c r="B226" s="217"/>
      <c r="C226" s="217"/>
      <c r="D226" s="217"/>
      <c r="E226" s="217"/>
      <c r="F226" s="217"/>
      <c r="G226" s="217"/>
      <c r="H226" s="217"/>
      <c r="I226" s="217"/>
      <c r="J226" s="217"/>
      <c r="K226" s="217"/>
      <c r="L226" s="212"/>
      <c r="M226" s="212"/>
    </row>
    <row r="227" spans="1:13" ht="12.95">
      <c r="A227" s="217"/>
      <c r="B227" s="367"/>
      <c r="C227" s="367"/>
      <c r="D227" s="367"/>
      <c r="E227" s="229"/>
      <c r="F227" s="367"/>
      <c r="G227" s="367"/>
      <c r="H227" s="367"/>
      <c r="I227" s="229"/>
      <c r="J227" s="367"/>
      <c r="K227" s="367"/>
      <c r="L227" s="367"/>
      <c r="M227" s="212"/>
    </row>
    <row r="228" spans="1:13" ht="12.95">
      <c r="A228" s="234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12"/>
    </row>
    <row r="229" spans="1:13" ht="12.95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</row>
    <row r="230" spans="1:13">
      <c r="A230" s="213"/>
      <c r="B230" s="278"/>
      <c r="C230" s="278"/>
      <c r="D230" s="278"/>
      <c r="E230" s="279"/>
      <c r="F230" s="278"/>
      <c r="G230" s="278"/>
      <c r="H230" s="278"/>
      <c r="I230" s="279"/>
      <c r="J230" s="278"/>
      <c r="K230" s="278"/>
      <c r="L230" s="278"/>
      <c r="M230" s="212"/>
    </row>
    <row r="231" spans="1:13">
      <c r="A231" s="213"/>
      <c r="B231" s="278"/>
      <c r="C231" s="278"/>
      <c r="D231" s="278"/>
      <c r="E231" s="279"/>
      <c r="F231" s="278"/>
      <c r="G231" s="278"/>
      <c r="H231" s="278"/>
      <c r="I231" s="279"/>
      <c r="J231" s="278"/>
      <c r="K231" s="278"/>
      <c r="L231" s="278"/>
      <c r="M231" s="212"/>
    </row>
    <row r="232" spans="1:13">
      <c r="A232" s="213"/>
      <c r="B232" s="278"/>
      <c r="C232" s="278"/>
      <c r="D232" s="278"/>
      <c r="E232" s="279"/>
      <c r="F232" s="278"/>
      <c r="G232" s="278"/>
      <c r="H232" s="278"/>
      <c r="I232" s="279"/>
      <c r="J232" s="278"/>
      <c r="K232" s="278"/>
      <c r="L232" s="278"/>
      <c r="M232" s="212"/>
    </row>
    <row r="233" spans="1:13">
      <c r="A233" s="213"/>
      <c r="B233" s="278"/>
      <c r="C233" s="278"/>
      <c r="D233" s="278"/>
      <c r="E233" s="279"/>
      <c r="F233" s="278"/>
      <c r="G233" s="278"/>
      <c r="H233" s="278"/>
      <c r="I233" s="279"/>
      <c r="J233" s="278"/>
      <c r="K233" s="278"/>
      <c r="L233" s="278"/>
      <c r="M233" s="212"/>
    </row>
    <row r="234" spans="1:13">
      <c r="A234" s="213"/>
      <c r="B234" s="278"/>
      <c r="C234" s="278"/>
      <c r="D234" s="278"/>
      <c r="E234" s="279"/>
      <c r="F234" s="278"/>
      <c r="G234" s="278"/>
      <c r="H234" s="278"/>
      <c r="I234" s="279"/>
      <c r="J234" s="278"/>
      <c r="K234" s="278"/>
      <c r="L234" s="278"/>
      <c r="M234" s="212"/>
    </row>
    <row r="235" spans="1:13">
      <c r="A235" s="213"/>
      <c r="B235" s="278"/>
      <c r="C235" s="278"/>
      <c r="D235" s="278"/>
      <c r="E235" s="279"/>
      <c r="F235" s="278"/>
      <c r="G235" s="278"/>
      <c r="H235" s="278"/>
      <c r="I235" s="279"/>
      <c r="J235" s="278"/>
      <c r="K235" s="278"/>
      <c r="L235" s="278"/>
      <c r="M235" s="212"/>
    </row>
    <row r="236" spans="1:13">
      <c r="A236" s="213"/>
      <c r="B236" s="278"/>
      <c r="C236" s="278"/>
      <c r="D236" s="278"/>
      <c r="E236" s="279"/>
      <c r="F236" s="278"/>
      <c r="G236" s="278"/>
      <c r="H236" s="278"/>
      <c r="I236" s="279"/>
      <c r="J236" s="278"/>
      <c r="K236" s="278"/>
      <c r="L236" s="278"/>
      <c r="M236" s="212"/>
    </row>
    <row r="237" spans="1:13">
      <c r="A237" s="213"/>
      <c r="B237" s="278"/>
      <c r="C237" s="278"/>
      <c r="D237" s="278"/>
      <c r="E237" s="279"/>
      <c r="F237" s="278"/>
      <c r="G237" s="278"/>
      <c r="H237" s="278"/>
      <c r="I237" s="279"/>
      <c r="J237" s="278"/>
      <c r="K237" s="278"/>
      <c r="L237" s="278"/>
      <c r="M237" s="212"/>
    </row>
    <row r="238" spans="1:13">
      <c r="A238" s="213"/>
      <c r="B238" s="278"/>
      <c r="C238" s="278"/>
      <c r="D238" s="278"/>
      <c r="E238" s="279"/>
      <c r="F238" s="278"/>
      <c r="G238" s="278"/>
      <c r="H238" s="278"/>
      <c r="I238" s="279"/>
      <c r="J238" s="278"/>
      <c r="K238" s="278"/>
      <c r="L238" s="278"/>
      <c r="M238" s="212"/>
    </row>
    <row r="239" spans="1:13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</row>
    <row r="240" spans="1:13">
      <c r="A240" s="213"/>
      <c r="B240" s="279"/>
      <c r="C240" s="279"/>
      <c r="D240" s="279"/>
      <c r="E240" s="279"/>
      <c r="F240" s="279"/>
      <c r="G240" s="279"/>
      <c r="H240" s="279"/>
      <c r="I240" s="279"/>
      <c r="J240" s="279"/>
      <c r="K240" s="279"/>
      <c r="L240" s="279"/>
      <c r="M240" s="212"/>
    </row>
    <row r="241" spans="1:13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</row>
    <row r="242" spans="1:13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60"/>
      <c r="M242" s="212"/>
    </row>
    <row r="243" spans="1:13" ht="12.95">
      <c r="A243" s="234"/>
      <c r="B243" s="217"/>
      <c r="C243" s="217"/>
      <c r="D243" s="217"/>
      <c r="E243" s="217"/>
      <c r="F243" s="217"/>
      <c r="G243" s="217"/>
      <c r="H243" s="217"/>
      <c r="I243" s="217"/>
      <c r="J243" s="217"/>
      <c r="K243" s="217"/>
      <c r="L243" s="212"/>
      <c r="M243" s="212"/>
    </row>
    <row r="244" spans="1:13" ht="12.95">
      <c r="A244" s="217"/>
      <c r="B244" s="367"/>
      <c r="C244" s="367"/>
      <c r="D244" s="367"/>
      <c r="E244" s="229"/>
      <c r="F244" s="367"/>
      <c r="G244" s="367"/>
      <c r="H244" s="367"/>
      <c r="I244" s="229"/>
      <c r="J244" s="367"/>
      <c r="K244" s="367"/>
      <c r="L244" s="367"/>
      <c r="M244" s="212"/>
    </row>
    <row r="245" spans="1:13" ht="12.95">
      <c r="A245" s="234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12"/>
    </row>
    <row r="246" spans="1:13" ht="12.95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</row>
    <row r="247" spans="1:13">
      <c r="A247" s="213"/>
      <c r="B247" s="278"/>
      <c r="C247" s="278"/>
      <c r="D247" s="278"/>
      <c r="E247" s="279"/>
      <c r="F247" s="278"/>
      <c r="G247" s="278"/>
      <c r="H247" s="278"/>
      <c r="I247" s="279"/>
      <c r="J247" s="278"/>
      <c r="K247" s="278"/>
      <c r="L247" s="278"/>
      <c r="M247" s="212"/>
    </row>
    <row r="248" spans="1:13">
      <c r="A248" s="213"/>
      <c r="B248" s="278"/>
      <c r="C248" s="278"/>
      <c r="D248" s="278"/>
      <c r="E248" s="279"/>
      <c r="F248" s="278"/>
      <c r="G248" s="278"/>
      <c r="H248" s="278"/>
      <c r="I248" s="279"/>
      <c r="J248" s="278"/>
      <c r="K248" s="278"/>
      <c r="L248" s="278"/>
      <c r="M248" s="212"/>
    </row>
    <row r="249" spans="1:13">
      <c r="A249" s="213"/>
      <c r="B249" s="278"/>
      <c r="C249" s="278"/>
      <c r="D249" s="278"/>
      <c r="E249" s="279"/>
      <c r="F249" s="278"/>
      <c r="G249" s="278"/>
      <c r="H249" s="278"/>
      <c r="I249" s="279"/>
      <c r="J249" s="278"/>
      <c r="K249" s="278"/>
      <c r="L249" s="278"/>
      <c r="M249" s="212"/>
    </row>
    <row r="250" spans="1:13">
      <c r="A250" s="213"/>
      <c r="B250" s="278"/>
      <c r="C250" s="278"/>
      <c r="D250" s="278"/>
      <c r="E250" s="279"/>
      <c r="F250" s="278"/>
      <c r="G250" s="278"/>
      <c r="H250" s="278"/>
      <c r="I250" s="279"/>
      <c r="J250" s="278"/>
      <c r="K250" s="278"/>
      <c r="L250" s="278"/>
      <c r="M250" s="212"/>
    </row>
    <row r="251" spans="1:13">
      <c r="A251" s="213"/>
      <c r="B251" s="278"/>
      <c r="C251" s="278"/>
      <c r="D251" s="278"/>
      <c r="E251" s="279"/>
      <c r="F251" s="278"/>
      <c r="G251" s="278"/>
      <c r="H251" s="278"/>
      <c r="I251" s="279"/>
      <c r="J251" s="278"/>
      <c r="K251" s="278"/>
      <c r="L251" s="278"/>
      <c r="M251" s="212"/>
    </row>
    <row r="252" spans="1:13">
      <c r="A252" s="213"/>
      <c r="B252" s="278"/>
      <c r="C252" s="278"/>
      <c r="D252" s="278"/>
      <c r="E252" s="279"/>
      <c r="F252" s="278"/>
      <c r="G252" s="278"/>
      <c r="H252" s="278"/>
      <c r="I252" s="279"/>
      <c r="J252" s="278"/>
      <c r="K252" s="278"/>
      <c r="L252" s="278"/>
      <c r="M252" s="212"/>
    </row>
    <row r="253" spans="1:13">
      <c r="A253" s="213"/>
      <c r="B253" s="278"/>
      <c r="C253" s="278"/>
      <c r="D253" s="278"/>
      <c r="E253" s="279"/>
      <c r="F253" s="278"/>
      <c r="G253" s="278"/>
      <c r="H253" s="278"/>
      <c r="I253" s="279"/>
      <c r="J253" s="278"/>
      <c r="K253" s="278"/>
      <c r="L253" s="278"/>
      <c r="M253" s="212"/>
    </row>
    <row r="254" spans="1:13">
      <c r="A254" s="213"/>
      <c r="B254" s="278"/>
      <c r="C254" s="278"/>
      <c r="D254" s="278"/>
      <c r="E254" s="279"/>
      <c r="F254" s="278"/>
      <c r="G254" s="278"/>
      <c r="H254" s="278"/>
      <c r="I254" s="279"/>
      <c r="J254" s="278"/>
      <c r="K254" s="278"/>
      <c r="L254" s="278"/>
      <c r="M254" s="212"/>
    </row>
    <row r="255" spans="1:13">
      <c r="A255" s="213"/>
      <c r="B255" s="278"/>
      <c r="C255" s="278"/>
      <c r="D255" s="278"/>
      <c r="E255" s="279"/>
      <c r="F255" s="278"/>
      <c r="G255" s="278"/>
      <c r="H255" s="278"/>
      <c r="I255" s="279"/>
      <c r="J255" s="278"/>
      <c r="K255" s="278"/>
      <c r="L255" s="278"/>
      <c r="M255" s="212"/>
    </row>
    <row r="256" spans="1:13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</row>
    <row r="257" spans="1:13">
      <c r="A257" s="213"/>
      <c r="B257" s="279"/>
      <c r="C257" s="279"/>
      <c r="D257" s="279"/>
      <c r="E257" s="279"/>
      <c r="F257" s="279"/>
      <c r="G257" s="279"/>
      <c r="H257" s="279"/>
      <c r="I257" s="279"/>
      <c r="J257" s="279"/>
      <c r="K257" s="279"/>
      <c r="L257" s="279"/>
      <c r="M257" s="212"/>
    </row>
    <row r="258" spans="1:13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</row>
    <row r="259" spans="1:13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60"/>
      <c r="M259" s="212"/>
    </row>
    <row r="260" spans="1:13" ht="12.95">
      <c r="A260" s="234"/>
      <c r="B260" s="217"/>
      <c r="C260" s="217"/>
      <c r="D260" s="217"/>
      <c r="E260" s="217"/>
      <c r="F260" s="217"/>
      <c r="G260" s="217"/>
      <c r="H260" s="217"/>
      <c r="I260" s="217"/>
      <c r="J260" s="217"/>
      <c r="K260" s="217"/>
      <c r="L260" s="212"/>
      <c r="M260" s="212"/>
    </row>
    <row r="261" spans="1:13" ht="12.95">
      <c r="A261" s="217"/>
      <c r="B261" s="367"/>
      <c r="C261" s="367"/>
      <c r="D261" s="367"/>
      <c r="E261" s="229"/>
      <c r="F261" s="367"/>
      <c r="G261" s="367"/>
      <c r="H261" s="367"/>
      <c r="I261" s="229"/>
      <c r="J261" s="367"/>
      <c r="K261" s="367"/>
      <c r="L261" s="367"/>
      <c r="M261" s="212"/>
    </row>
    <row r="262" spans="1:13" ht="12.95">
      <c r="A262" s="234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12"/>
    </row>
    <row r="263" spans="1:13" ht="12.95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</row>
    <row r="264" spans="1:13">
      <c r="A264" s="213"/>
      <c r="B264" s="278"/>
      <c r="C264" s="278"/>
      <c r="D264" s="278"/>
      <c r="E264" s="279"/>
      <c r="F264" s="278"/>
      <c r="G264" s="278"/>
      <c r="H264" s="278"/>
      <c r="I264" s="279"/>
      <c r="J264" s="278"/>
      <c r="K264" s="278"/>
      <c r="L264" s="278"/>
      <c r="M264" s="212"/>
    </row>
    <row r="265" spans="1:13">
      <c r="A265" s="213"/>
      <c r="B265" s="278"/>
      <c r="C265" s="278"/>
      <c r="D265" s="278"/>
      <c r="E265" s="279"/>
      <c r="F265" s="278"/>
      <c r="G265" s="278"/>
      <c r="H265" s="278"/>
      <c r="I265" s="279"/>
      <c r="J265" s="278"/>
      <c r="K265" s="278"/>
      <c r="L265" s="278"/>
      <c r="M265" s="212"/>
    </row>
    <row r="266" spans="1:13">
      <c r="A266" s="213"/>
      <c r="B266" s="278"/>
      <c r="C266" s="278"/>
      <c r="D266" s="278"/>
      <c r="E266" s="279"/>
      <c r="F266" s="278"/>
      <c r="G266" s="278"/>
      <c r="H266" s="278"/>
      <c r="I266" s="279"/>
      <c r="J266" s="278"/>
      <c r="K266" s="278"/>
      <c r="L266" s="278"/>
      <c r="M266" s="212"/>
    </row>
    <row r="267" spans="1:13">
      <c r="A267" s="213"/>
      <c r="B267" s="278"/>
      <c r="C267" s="278"/>
      <c r="D267" s="278"/>
      <c r="E267" s="279"/>
      <c r="F267" s="278"/>
      <c r="G267" s="278"/>
      <c r="H267" s="278"/>
      <c r="I267" s="279"/>
      <c r="J267" s="278"/>
      <c r="K267" s="278"/>
      <c r="L267" s="278"/>
      <c r="M267" s="212"/>
    </row>
    <row r="268" spans="1:13">
      <c r="A268" s="213"/>
      <c r="B268" s="278"/>
      <c r="C268" s="278"/>
      <c r="D268" s="278"/>
      <c r="E268" s="279"/>
      <c r="F268" s="278"/>
      <c r="G268" s="278"/>
      <c r="H268" s="278"/>
      <c r="I268" s="279"/>
      <c r="J268" s="278"/>
      <c r="K268" s="278"/>
      <c r="L268" s="278"/>
      <c r="M268" s="212"/>
    </row>
    <row r="269" spans="1:13">
      <c r="A269" s="213"/>
      <c r="B269" s="278"/>
      <c r="C269" s="278"/>
      <c r="D269" s="278"/>
      <c r="E269" s="279"/>
      <c r="F269" s="278"/>
      <c r="G269" s="278"/>
      <c r="H269" s="278"/>
      <c r="I269" s="279"/>
      <c r="J269" s="278"/>
      <c r="K269" s="278"/>
      <c r="L269" s="278"/>
      <c r="M269" s="212"/>
    </row>
    <row r="270" spans="1:13">
      <c r="A270" s="213"/>
      <c r="B270" s="278"/>
      <c r="C270" s="278"/>
      <c r="D270" s="278"/>
      <c r="E270" s="279"/>
      <c r="F270" s="278"/>
      <c r="G270" s="278"/>
      <c r="H270" s="278"/>
      <c r="I270" s="279"/>
      <c r="J270" s="278"/>
      <c r="K270" s="278"/>
      <c r="L270" s="278"/>
      <c r="M270" s="212"/>
    </row>
    <row r="271" spans="1:13">
      <c r="A271" s="213"/>
      <c r="B271" s="278"/>
      <c r="C271" s="278"/>
      <c r="D271" s="278"/>
      <c r="E271" s="279"/>
      <c r="F271" s="278"/>
      <c r="G271" s="278"/>
      <c r="H271" s="278"/>
      <c r="I271" s="279"/>
      <c r="J271" s="278"/>
      <c r="K271" s="278"/>
      <c r="L271" s="278"/>
      <c r="M271" s="212"/>
    </row>
    <row r="272" spans="1:13">
      <c r="A272" s="213"/>
      <c r="B272" s="278"/>
      <c r="C272" s="278"/>
      <c r="D272" s="278"/>
      <c r="E272" s="279"/>
      <c r="F272" s="278"/>
      <c r="G272" s="278"/>
      <c r="H272" s="278"/>
      <c r="I272" s="279"/>
      <c r="J272" s="278"/>
      <c r="K272" s="278"/>
      <c r="L272" s="278"/>
      <c r="M272" s="212"/>
    </row>
    <row r="273" spans="1:13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</row>
    <row r="274" spans="1:13">
      <c r="A274" s="213"/>
      <c r="B274" s="279"/>
      <c r="C274" s="279"/>
      <c r="D274" s="279"/>
      <c r="E274" s="279"/>
      <c r="F274" s="279"/>
      <c r="G274" s="279"/>
      <c r="H274" s="279"/>
      <c r="I274" s="279"/>
      <c r="J274" s="279"/>
      <c r="K274" s="279"/>
      <c r="L274" s="279"/>
      <c r="M274" s="212"/>
    </row>
    <row r="275" spans="1:13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</row>
    <row r="276" spans="1:13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60"/>
      <c r="M276" s="212"/>
    </row>
    <row r="277" spans="1:13" ht="12.95">
      <c r="A277" s="234"/>
      <c r="B277" s="217"/>
      <c r="C277" s="217"/>
      <c r="D277" s="217"/>
      <c r="E277" s="217"/>
      <c r="F277" s="217"/>
      <c r="G277" s="217"/>
      <c r="H277" s="217"/>
      <c r="I277" s="217"/>
      <c r="J277" s="217"/>
      <c r="K277" s="217"/>
      <c r="L277" s="212"/>
      <c r="M277" s="212"/>
    </row>
    <row r="278" spans="1:13" ht="12.95">
      <c r="A278" s="217"/>
      <c r="B278" s="367"/>
      <c r="C278" s="367"/>
      <c r="D278" s="367"/>
      <c r="E278" s="229"/>
      <c r="F278" s="367"/>
      <c r="G278" s="367"/>
      <c r="H278" s="367"/>
      <c r="I278" s="229"/>
      <c r="J278" s="367"/>
      <c r="K278" s="367"/>
      <c r="L278" s="367"/>
      <c r="M278" s="212"/>
    </row>
    <row r="279" spans="1:13" ht="12.95">
      <c r="A279" s="234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12"/>
    </row>
    <row r="280" spans="1:13" ht="12.95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</row>
    <row r="281" spans="1:13">
      <c r="A281" s="213"/>
      <c r="B281" s="278"/>
      <c r="C281" s="278"/>
      <c r="D281" s="278"/>
      <c r="E281" s="279"/>
      <c r="F281" s="278"/>
      <c r="G281" s="278"/>
      <c r="H281" s="278"/>
      <c r="I281" s="279"/>
      <c r="J281" s="278"/>
      <c r="K281" s="278"/>
      <c r="L281" s="278"/>
      <c r="M281" s="212"/>
    </row>
    <row r="282" spans="1:13">
      <c r="A282" s="213"/>
      <c r="B282" s="278"/>
      <c r="C282" s="278"/>
      <c r="D282" s="278"/>
      <c r="E282" s="279"/>
      <c r="F282" s="278"/>
      <c r="G282" s="278"/>
      <c r="H282" s="278"/>
      <c r="I282" s="279"/>
      <c r="J282" s="278"/>
      <c r="K282" s="278"/>
      <c r="L282" s="278"/>
      <c r="M282" s="212"/>
    </row>
    <row r="283" spans="1:13">
      <c r="A283" s="213"/>
      <c r="B283" s="278"/>
      <c r="C283" s="278"/>
      <c r="D283" s="278"/>
      <c r="E283" s="279"/>
      <c r="F283" s="278"/>
      <c r="G283" s="278"/>
      <c r="H283" s="278"/>
      <c r="I283" s="279"/>
      <c r="J283" s="278"/>
      <c r="K283" s="278"/>
      <c r="L283" s="278"/>
      <c r="M283" s="212"/>
    </row>
    <row r="284" spans="1:13">
      <c r="A284" s="213"/>
      <c r="B284" s="278"/>
      <c r="C284" s="278"/>
      <c r="D284" s="278"/>
      <c r="E284" s="279"/>
      <c r="F284" s="278"/>
      <c r="G284" s="278"/>
      <c r="H284" s="278"/>
      <c r="I284" s="279"/>
      <c r="J284" s="278"/>
      <c r="K284" s="278"/>
      <c r="L284" s="278"/>
      <c r="M284" s="212"/>
    </row>
    <row r="285" spans="1:13">
      <c r="A285" s="213"/>
      <c r="B285" s="278"/>
      <c r="C285" s="278"/>
      <c r="D285" s="278"/>
      <c r="E285" s="279"/>
      <c r="F285" s="278"/>
      <c r="G285" s="278"/>
      <c r="H285" s="278"/>
      <c r="I285" s="279"/>
      <c r="J285" s="278"/>
      <c r="K285" s="278"/>
      <c r="L285" s="278"/>
      <c r="M285" s="212"/>
    </row>
    <row r="286" spans="1:13">
      <c r="A286" s="213"/>
      <c r="B286" s="278"/>
      <c r="C286" s="278"/>
      <c r="D286" s="278"/>
      <c r="E286" s="279"/>
      <c r="F286" s="278"/>
      <c r="G286" s="278"/>
      <c r="H286" s="278"/>
      <c r="I286" s="279"/>
      <c r="J286" s="278"/>
      <c r="K286" s="278"/>
      <c r="L286" s="278"/>
      <c r="M286" s="212"/>
    </row>
    <row r="287" spans="1:13">
      <c r="A287" s="213"/>
      <c r="B287" s="278"/>
      <c r="C287" s="278"/>
      <c r="D287" s="278"/>
      <c r="E287" s="279"/>
      <c r="F287" s="278"/>
      <c r="G287" s="278"/>
      <c r="H287" s="278"/>
      <c r="I287" s="279"/>
      <c r="J287" s="278"/>
      <c r="K287" s="278"/>
      <c r="L287" s="278"/>
      <c r="M287" s="212"/>
    </row>
    <row r="288" spans="1:13">
      <c r="A288" s="213"/>
      <c r="B288" s="278"/>
      <c r="C288" s="278"/>
      <c r="D288" s="278"/>
      <c r="E288" s="279"/>
      <c r="F288" s="278"/>
      <c r="G288" s="278"/>
      <c r="H288" s="278"/>
      <c r="I288" s="279"/>
      <c r="J288" s="278"/>
      <c r="K288" s="278"/>
      <c r="L288" s="278"/>
      <c r="M288" s="212"/>
    </row>
    <row r="289" spans="1:13">
      <c r="A289" s="213"/>
      <c r="B289" s="278"/>
      <c r="C289" s="278"/>
      <c r="D289" s="278"/>
      <c r="E289" s="279"/>
      <c r="F289" s="278"/>
      <c r="G289" s="278"/>
      <c r="H289" s="278"/>
      <c r="I289" s="279"/>
      <c r="J289" s="278"/>
      <c r="K289" s="278"/>
      <c r="L289" s="278"/>
      <c r="M289" s="212"/>
    </row>
    <row r="290" spans="1:13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</row>
    <row r="291" spans="1:13">
      <c r="A291" s="213"/>
      <c r="B291" s="279"/>
      <c r="C291" s="279"/>
      <c r="D291" s="279"/>
      <c r="E291" s="279"/>
      <c r="F291" s="279"/>
      <c r="G291" s="279"/>
      <c r="H291" s="279"/>
      <c r="I291" s="279"/>
      <c r="J291" s="279"/>
      <c r="K291" s="279"/>
      <c r="L291" s="279"/>
      <c r="M291" s="212"/>
    </row>
    <row r="292" spans="1:13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</row>
    <row r="293" spans="1:13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60"/>
      <c r="M293" s="212"/>
    </row>
    <row r="294" spans="1:13" ht="12.95">
      <c r="A294" s="234"/>
      <c r="B294" s="217"/>
      <c r="C294" s="217"/>
      <c r="D294" s="217"/>
      <c r="E294" s="217"/>
      <c r="F294" s="217"/>
      <c r="G294" s="217"/>
      <c r="H294" s="217"/>
      <c r="I294" s="217"/>
      <c r="J294" s="217"/>
      <c r="K294" s="217"/>
      <c r="L294" s="212"/>
      <c r="M294" s="212"/>
    </row>
    <row r="295" spans="1:13" ht="12.95">
      <c r="A295" s="217"/>
      <c r="B295" s="367"/>
      <c r="C295" s="367"/>
      <c r="D295" s="367"/>
      <c r="E295" s="229"/>
      <c r="F295" s="367"/>
      <c r="G295" s="367"/>
      <c r="H295" s="367"/>
      <c r="I295" s="229"/>
      <c r="J295" s="367"/>
      <c r="K295" s="367"/>
      <c r="L295" s="367"/>
      <c r="M295" s="212"/>
    </row>
    <row r="296" spans="1:13" ht="12.95">
      <c r="A296" s="234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12"/>
    </row>
    <row r="297" spans="1:13" ht="12.95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</row>
    <row r="298" spans="1:13">
      <c r="A298" s="213"/>
      <c r="B298" s="278"/>
      <c r="C298" s="278"/>
      <c r="D298" s="278"/>
      <c r="E298" s="279"/>
      <c r="F298" s="278"/>
      <c r="G298" s="278"/>
      <c r="H298" s="278"/>
      <c r="I298" s="279"/>
      <c r="J298" s="278"/>
      <c r="K298" s="278"/>
      <c r="L298" s="278"/>
      <c r="M298" s="212"/>
    </row>
    <row r="299" spans="1:13">
      <c r="A299" s="213"/>
      <c r="B299" s="278"/>
      <c r="C299" s="278"/>
      <c r="D299" s="278"/>
      <c r="E299" s="279"/>
      <c r="F299" s="278"/>
      <c r="G299" s="278"/>
      <c r="H299" s="278"/>
      <c r="I299" s="279"/>
      <c r="J299" s="278"/>
      <c r="K299" s="278"/>
      <c r="L299" s="278"/>
      <c r="M299" s="212"/>
    </row>
    <row r="300" spans="1:13">
      <c r="A300" s="213"/>
      <c r="B300" s="278"/>
      <c r="C300" s="278"/>
      <c r="D300" s="278"/>
      <c r="E300" s="279"/>
      <c r="F300" s="278"/>
      <c r="G300" s="278"/>
      <c r="H300" s="278"/>
      <c r="I300" s="279"/>
      <c r="J300" s="278"/>
      <c r="K300" s="278"/>
      <c r="L300" s="278"/>
      <c r="M300" s="212"/>
    </row>
    <row r="301" spans="1:13">
      <c r="A301" s="213"/>
      <c r="B301" s="278"/>
      <c r="C301" s="278"/>
      <c r="D301" s="278"/>
      <c r="E301" s="279"/>
      <c r="F301" s="278"/>
      <c r="G301" s="278"/>
      <c r="H301" s="278"/>
      <c r="I301" s="279"/>
      <c r="J301" s="278"/>
      <c r="K301" s="278"/>
      <c r="L301" s="278"/>
      <c r="M301" s="212"/>
    </row>
    <row r="302" spans="1:13">
      <c r="A302" s="213"/>
      <c r="B302" s="278"/>
      <c r="C302" s="278"/>
      <c r="D302" s="278"/>
      <c r="E302" s="279"/>
      <c r="F302" s="278"/>
      <c r="G302" s="278"/>
      <c r="H302" s="278"/>
      <c r="I302" s="279"/>
      <c r="J302" s="278"/>
      <c r="K302" s="278"/>
      <c r="L302" s="278"/>
      <c r="M302" s="212"/>
    </row>
    <row r="303" spans="1:13">
      <c r="A303" s="213"/>
      <c r="B303" s="278"/>
      <c r="C303" s="278"/>
      <c r="D303" s="278"/>
      <c r="E303" s="279"/>
      <c r="F303" s="278"/>
      <c r="G303" s="278"/>
      <c r="H303" s="278"/>
      <c r="I303" s="279"/>
      <c r="J303" s="278"/>
      <c r="K303" s="278"/>
      <c r="L303" s="278"/>
      <c r="M303" s="212"/>
    </row>
    <row r="304" spans="1:13">
      <c r="A304" s="213"/>
      <c r="B304" s="278"/>
      <c r="C304" s="278"/>
      <c r="D304" s="278"/>
      <c r="E304" s="279"/>
      <c r="F304" s="278"/>
      <c r="G304" s="278"/>
      <c r="H304" s="278"/>
      <c r="I304" s="279"/>
      <c r="J304" s="278"/>
      <c r="K304" s="278"/>
      <c r="L304" s="278"/>
      <c r="M304" s="212"/>
    </row>
    <row r="305" spans="1:13">
      <c r="A305" s="213"/>
      <c r="B305" s="278"/>
      <c r="C305" s="278"/>
      <c r="D305" s="278"/>
      <c r="E305" s="279"/>
      <c r="F305" s="278"/>
      <c r="G305" s="278"/>
      <c r="H305" s="278"/>
      <c r="I305" s="279"/>
      <c r="J305" s="278"/>
      <c r="K305" s="278"/>
      <c r="L305" s="278"/>
      <c r="M305" s="212"/>
    </row>
    <row r="306" spans="1:13">
      <c r="A306" s="213"/>
      <c r="B306" s="278"/>
      <c r="C306" s="278"/>
      <c r="D306" s="278"/>
      <c r="E306" s="279"/>
      <c r="F306" s="278"/>
      <c r="G306" s="278"/>
      <c r="H306" s="278"/>
      <c r="I306" s="279"/>
      <c r="J306" s="278"/>
      <c r="K306" s="278"/>
      <c r="L306" s="278"/>
      <c r="M306" s="212"/>
    </row>
    <row r="307" spans="1:13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</row>
    <row r="308" spans="1:13">
      <c r="A308" s="213"/>
      <c r="B308" s="279"/>
      <c r="C308" s="279"/>
      <c r="D308" s="279"/>
      <c r="E308" s="279"/>
      <c r="F308" s="279"/>
      <c r="G308" s="279"/>
      <c r="H308" s="279"/>
      <c r="I308" s="279"/>
      <c r="J308" s="279"/>
      <c r="K308" s="279"/>
      <c r="L308" s="279"/>
      <c r="M308" s="212"/>
    </row>
    <row r="309" spans="1:13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</row>
    <row r="310" spans="1:13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60"/>
      <c r="M310" s="212"/>
    </row>
    <row r="311" spans="1:13" ht="12.95">
      <c r="A311" s="234"/>
      <c r="B311" s="217"/>
      <c r="C311" s="217"/>
      <c r="D311" s="217"/>
      <c r="E311" s="217"/>
      <c r="F311" s="217"/>
      <c r="G311" s="217"/>
      <c r="H311" s="217"/>
      <c r="I311" s="217"/>
      <c r="J311" s="217"/>
      <c r="K311" s="217"/>
      <c r="L311" s="212"/>
      <c r="M311" s="212"/>
    </row>
    <row r="312" spans="1:13" ht="12.95">
      <c r="A312" s="217"/>
      <c r="B312" s="367"/>
      <c r="C312" s="367"/>
      <c r="D312" s="367"/>
      <c r="E312" s="229"/>
      <c r="F312" s="367"/>
      <c r="G312" s="367"/>
      <c r="H312" s="367"/>
      <c r="I312" s="229"/>
      <c r="J312" s="367"/>
      <c r="K312" s="367"/>
      <c r="L312" s="367"/>
      <c r="M312" s="212"/>
    </row>
    <row r="313" spans="1:13" ht="12.95">
      <c r="A313" s="234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12"/>
    </row>
    <row r="314" spans="1:13" ht="12.95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</row>
    <row r="315" spans="1:13">
      <c r="A315" s="213"/>
      <c r="B315" s="278"/>
      <c r="C315" s="278"/>
      <c r="D315" s="278"/>
      <c r="E315" s="279"/>
      <c r="F315" s="278"/>
      <c r="G315" s="278"/>
      <c r="H315" s="278"/>
      <c r="I315" s="279"/>
      <c r="J315" s="278"/>
      <c r="K315" s="278"/>
      <c r="L315" s="278"/>
      <c r="M315" s="212"/>
    </row>
    <row r="316" spans="1:13">
      <c r="A316" s="213"/>
      <c r="B316" s="278"/>
      <c r="C316" s="278"/>
      <c r="D316" s="278"/>
      <c r="E316" s="279"/>
      <c r="F316" s="278"/>
      <c r="G316" s="278"/>
      <c r="H316" s="278"/>
      <c r="I316" s="279"/>
      <c r="J316" s="278"/>
      <c r="K316" s="278"/>
      <c r="L316" s="278"/>
      <c r="M316" s="212"/>
    </row>
    <row r="317" spans="1:13">
      <c r="A317" s="213"/>
      <c r="B317" s="278"/>
      <c r="C317" s="278"/>
      <c r="D317" s="278"/>
      <c r="E317" s="279"/>
      <c r="F317" s="278"/>
      <c r="G317" s="278"/>
      <c r="H317" s="278"/>
      <c r="I317" s="279"/>
      <c r="J317" s="278"/>
      <c r="K317" s="278"/>
      <c r="L317" s="278"/>
      <c r="M317" s="212"/>
    </row>
    <row r="318" spans="1:13">
      <c r="A318" s="213"/>
      <c r="B318" s="278"/>
      <c r="C318" s="278"/>
      <c r="D318" s="278"/>
      <c r="E318" s="279"/>
      <c r="F318" s="278"/>
      <c r="G318" s="278"/>
      <c r="H318" s="278"/>
      <c r="I318" s="279"/>
      <c r="J318" s="278"/>
      <c r="K318" s="278"/>
      <c r="L318" s="278"/>
      <c r="M318" s="212"/>
    </row>
    <row r="319" spans="1:13">
      <c r="A319" s="213"/>
      <c r="B319" s="278"/>
      <c r="C319" s="278"/>
      <c r="D319" s="278"/>
      <c r="E319" s="279"/>
      <c r="F319" s="278"/>
      <c r="G319" s="278"/>
      <c r="H319" s="278"/>
      <c r="I319" s="279"/>
      <c r="J319" s="278"/>
      <c r="K319" s="278"/>
      <c r="L319" s="278"/>
      <c r="M319" s="212"/>
    </row>
    <row r="320" spans="1:13">
      <c r="A320" s="213"/>
      <c r="B320" s="278"/>
      <c r="C320" s="278"/>
      <c r="D320" s="278"/>
      <c r="E320" s="279"/>
      <c r="F320" s="278"/>
      <c r="G320" s="278"/>
      <c r="H320" s="278"/>
      <c r="I320" s="279"/>
      <c r="J320" s="278"/>
      <c r="K320" s="278"/>
      <c r="L320" s="278"/>
      <c r="M320" s="212"/>
    </row>
    <row r="321" spans="1:13">
      <c r="A321" s="213"/>
      <c r="B321" s="278"/>
      <c r="C321" s="278"/>
      <c r="D321" s="278"/>
      <c r="E321" s="279"/>
      <c r="F321" s="278"/>
      <c r="G321" s="278"/>
      <c r="H321" s="278"/>
      <c r="I321" s="279"/>
      <c r="J321" s="278"/>
      <c r="K321" s="278"/>
      <c r="L321" s="278"/>
      <c r="M321" s="212"/>
    </row>
    <row r="322" spans="1:13">
      <c r="A322" s="213"/>
      <c r="B322" s="278"/>
      <c r="C322" s="278"/>
      <c r="D322" s="278"/>
      <c r="E322" s="279"/>
      <c r="F322" s="278"/>
      <c r="G322" s="278"/>
      <c r="H322" s="278"/>
      <c r="I322" s="279"/>
      <c r="J322" s="278"/>
      <c r="K322" s="278"/>
      <c r="L322" s="278"/>
      <c r="M322" s="212"/>
    </row>
    <row r="323" spans="1:13">
      <c r="A323" s="213"/>
      <c r="B323" s="278"/>
      <c r="C323" s="278"/>
      <c r="D323" s="278"/>
      <c r="E323" s="279"/>
      <c r="F323" s="278"/>
      <c r="G323" s="278"/>
      <c r="H323" s="278"/>
      <c r="I323" s="279"/>
      <c r="J323" s="278"/>
      <c r="K323" s="278"/>
      <c r="L323" s="278"/>
      <c r="M323" s="212"/>
    </row>
    <row r="324" spans="1:13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</row>
    <row r="325" spans="1:13">
      <c r="A325" s="213"/>
      <c r="B325" s="279"/>
      <c r="C325" s="279"/>
      <c r="D325" s="279"/>
      <c r="E325" s="279"/>
      <c r="F325" s="279"/>
      <c r="G325" s="279"/>
      <c r="H325" s="279"/>
      <c r="I325" s="279"/>
      <c r="J325" s="279"/>
      <c r="K325" s="279"/>
      <c r="L325" s="279"/>
      <c r="M325" s="212"/>
    </row>
    <row r="326" spans="1:13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</row>
    <row r="327" spans="1:13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60"/>
      <c r="M327" s="212"/>
    </row>
    <row r="328" spans="1:13" ht="12.95">
      <c r="A328" s="234"/>
      <c r="B328" s="217"/>
      <c r="C328" s="217"/>
      <c r="D328" s="217"/>
      <c r="E328" s="217"/>
      <c r="F328" s="217"/>
      <c r="G328" s="217"/>
      <c r="H328" s="217"/>
      <c r="I328" s="217"/>
      <c r="J328" s="217"/>
      <c r="K328" s="217"/>
      <c r="L328" s="212"/>
      <c r="M328" s="212"/>
    </row>
    <row r="329" spans="1:13" ht="12.95">
      <c r="A329" s="217"/>
      <c r="B329" s="367"/>
      <c r="C329" s="367"/>
      <c r="D329" s="367"/>
      <c r="E329" s="229"/>
      <c r="F329" s="367"/>
      <c r="G329" s="367"/>
      <c r="H329" s="367"/>
      <c r="I329" s="229"/>
      <c r="J329" s="367"/>
      <c r="K329" s="367"/>
      <c r="L329" s="367"/>
      <c r="M329" s="212"/>
    </row>
    <row r="330" spans="1:13" ht="12.95">
      <c r="A330" s="234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12"/>
    </row>
    <row r="331" spans="1:13" ht="12.95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</row>
    <row r="332" spans="1:13">
      <c r="A332" s="213"/>
      <c r="B332" s="278"/>
      <c r="C332" s="278"/>
      <c r="D332" s="278"/>
      <c r="E332" s="279"/>
      <c r="F332" s="278"/>
      <c r="G332" s="278"/>
      <c r="H332" s="278"/>
      <c r="I332" s="279"/>
      <c r="J332" s="278"/>
      <c r="K332" s="278"/>
      <c r="L332" s="278"/>
      <c r="M332" s="212"/>
    </row>
    <row r="333" spans="1:13">
      <c r="A333" s="213"/>
      <c r="B333" s="278"/>
      <c r="C333" s="278"/>
      <c r="D333" s="278"/>
      <c r="E333" s="279"/>
      <c r="F333" s="278"/>
      <c r="G333" s="278"/>
      <c r="H333" s="278"/>
      <c r="I333" s="279"/>
      <c r="J333" s="278"/>
      <c r="K333" s="278"/>
      <c r="L333" s="278"/>
      <c r="M333" s="212"/>
    </row>
    <row r="334" spans="1:13">
      <c r="A334" s="213"/>
      <c r="B334" s="278"/>
      <c r="C334" s="278"/>
      <c r="D334" s="278"/>
      <c r="E334" s="279"/>
      <c r="F334" s="278"/>
      <c r="G334" s="278"/>
      <c r="H334" s="278"/>
      <c r="I334" s="279"/>
      <c r="J334" s="278"/>
      <c r="K334" s="278"/>
      <c r="L334" s="278"/>
      <c r="M334" s="212"/>
    </row>
    <row r="335" spans="1:13">
      <c r="A335" s="213"/>
      <c r="B335" s="278"/>
      <c r="C335" s="278"/>
      <c r="D335" s="278"/>
      <c r="E335" s="279"/>
      <c r="F335" s="278"/>
      <c r="G335" s="278"/>
      <c r="H335" s="278"/>
      <c r="I335" s="279"/>
      <c r="J335" s="278"/>
      <c r="K335" s="278"/>
      <c r="L335" s="278"/>
      <c r="M335" s="212"/>
    </row>
    <row r="336" spans="1:13">
      <c r="A336" s="213"/>
      <c r="B336" s="278"/>
      <c r="C336" s="278"/>
      <c r="D336" s="278"/>
      <c r="E336" s="279"/>
      <c r="F336" s="278"/>
      <c r="G336" s="278"/>
      <c r="H336" s="278"/>
      <c r="I336" s="279"/>
      <c r="J336" s="278"/>
      <c r="K336" s="278"/>
      <c r="L336" s="278"/>
      <c r="M336" s="212"/>
    </row>
    <row r="337" spans="1:13">
      <c r="A337" s="213"/>
      <c r="B337" s="278"/>
      <c r="C337" s="278"/>
      <c r="D337" s="278"/>
      <c r="E337" s="279"/>
      <c r="F337" s="278"/>
      <c r="G337" s="278"/>
      <c r="H337" s="278"/>
      <c r="I337" s="279"/>
      <c r="J337" s="278"/>
      <c r="K337" s="278"/>
      <c r="L337" s="278"/>
      <c r="M337" s="212"/>
    </row>
    <row r="338" spans="1:13">
      <c r="A338" s="213"/>
      <c r="B338" s="278"/>
      <c r="C338" s="278"/>
      <c r="D338" s="278"/>
      <c r="E338" s="279"/>
      <c r="F338" s="278"/>
      <c r="G338" s="278"/>
      <c r="H338" s="278"/>
      <c r="I338" s="279"/>
      <c r="J338" s="278"/>
      <c r="K338" s="278"/>
      <c r="L338" s="278"/>
      <c r="M338" s="212"/>
    </row>
    <row r="339" spans="1:13">
      <c r="A339" s="213"/>
      <c r="B339" s="278"/>
      <c r="C339" s="278"/>
      <c r="D339" s="278"/>
      <c r="E339" s="279"/>
      <c r="F339" s="278"/>
      <c r="G339" s="278"/>
      <c r="H339" s="278"/>
      <c r="I339" s="279"/>
      <c r="J339" s="278"/>
      <c r="K339" s="278"/>
      <c r="L339" s="278"/>
      <c r="M339" s="212"/>
    </row>
    <row r="340" spans="1:13">
      <c r="A340" s="213"/>
      <c r="B340" s="278"/>
      <c r="C340" s="278"/>
      <c r="D340" s="278"/>
      <c r="E340" s="279"/>
      <c r="F340" s="278"/>
      <c r="G340" s="278"/>
      <c r="H340" s="278"/>
      <c r="I340" s="279"/>
      <c r="J340" s="278"/>
      <c r="K340" s="278"/>
      <c r="L340" s="278"/>
      <c r="M340" s="212"/>
    </row>
    <row r="341" spans="1:13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</row>
    <row r="342" spans="1:13">
      <c r="A342" s="213"/>
      <c r="B342" s="279"/>
      <c r="C342" s="279"/>
      <c r="D342" s="279"/>
      <c r="E342" s="279"/>
      <c r="F342" s="279"/>
      <c r="G342" s="279"/>
      <c r="H342" s="279"/>
      <c r="I342" s="279"/>
      <c r="J342" s="279"/>
      <c r="K342" s="279"/>
      <c r="L342" s="279"/>
      <c r="M342" s="212"/>
    </row>
    <row r="343" spans="1:13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</row>
    <row r="344" spans="1:13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60"/>
      <c r="M344" s="212"/>
    </row>
    <row r="345" spans="1:13" ht="12.95">
      <c r="A345" s="234"/>
      <c r="B345" s="217"/>
      <c r="C345" s="217"/>
      <c r="D345" s="217"/>
      <c r="E345" s="217"/>
      <c r="F345" s="217"/>
      <c r="G345" s="217"/>
      <c r="H345" s="217"/>
      <c r="I345" s="217"/>
      <c r="J345" s="217"/>
      <c r="K345" s="217"/>
      <c r="L345" s="212"/>
      <c r="M345" s="212"/>
    </row>
    <row r="346" spans="1:13" ht="12.95">
      <c r="A346" s="217"/>
      <c r="B346" s="367"/>
      <c r="C346" s="367"/>
      <c r="D346" s="367"/>
      <c r="E346" s="229"/>
      <c r="F346" s="367"/>
      <c r="G346" s="367"/>
      <c r="H346" s="367"/>
      <c r="I346" s="229"/>
      <c r="J346" s="367"/>
      <c r="K346" s="367"/>
      <c r="L346" s="367"/>
      <c r="M346" s="212"/>
    </row>
    <row r="347" spans="1:13" ht="12.95">
      <c r="A347" s="234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12"/>
    </row>
    <row r="348" spans="1:13" ht="12.95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</row>
    <row r="349" spans="1:13">
      <c r="A349" s="213"/>
      <c r="B349" s="278"/>
      <c r="C349" s="278"/>
      <c r="D349" s="278"/>
      <c r="E349" s="279"/>
      <c r="F349" s="278"/>
      <c r="G349" s="278"/>
      <c r="H349" s="278"/>
      <c r="I349" s="279"/>
      <c r="J349" s="278"/>
      <c r="K349" s="278"/>
      <c r="L349" s="278"/>
      <c r="M349" s="212"/>
    </row>
    <row r="350" spans="1:13">
      <c r="A350" s="213"/>
      <c r="B350" s="278"/>
      <c r="C350" s="278"/>
      <c r="D350" s="278"/>
      <c r="E350" s="279"/>
      <c r="F350" s="278"/>
      <c r="G350" s="278"/>
      <c r="H350" s="278"/>
      <c r="I350" s="279"/>
      <c r="J350" s="278"/>
      <c r="K350" s="278"/>
      <c r="L350" s="278"/>
      <c r="M350" s="212"/>
    </row>
    <row r="351" spans="1:13">
      <c r="A351" s="213"/>
      <c r="B351" s="278"/>
      <c r="C351" s="278"/>
      <c r="D351" s="278"/>
      <c r="E351" s="279"/>
      <c r="F351" s="278"/>
      <c r="G351" s="278"/>
      <c r="H351" s="278"/>
      <c r="I351" s="279"/>
      <c r="J351" s="278"/>
      <c r="K351" s="278"/>
      <c r="L351" s="278"/>
      <c r="M351" s="212"/>
    </row>
    <row r="352" spans="1:13">
      <c r="A352" s="213"/>
      <c r="B352" s="278"/>
      <c r="C352" s="278"/>
      <c r="D352" s="278"/>
      <c r="E352" s="279"/>
      <c r="F352" s="278"/>
      <c r="G352" s="278"/>
      <c r="H352" s="278"/>
      <c r="I352" s="279"/>
      <c r="J352" s="278"/>
      <c r="K352" s="278"/>
      <c r="L352" s="278"/>
      <c r="M352" s="212"/>
    </row>
    <row r="353" spans="1:13">
      <c r="A353" s="213"/>
      <c r="B353" s="278"/>
      <c r="C353" s="278"/>
      <c r="D353" s="278"/>
      <c r="E353" s="279"/>
      <c r="F353" s="278"/>
      <c r="G353" s="278"/>
      <c r="H353" s="278"/>
      <c r="I353" s="279"/>
      <c r="J353" s="278"/>
      <c r="K353" s="278"/>
      <c r="L353" s="278"/>
      <c r="M353" s="212"/>
    </row>
    <row r="354" spans="1:13">
      <c r="A354" s="213"/>
      <c r="B354" s="278"/>
      <c r="C354" s="278"/>
      <c r="D354" s="278"/>
      <c r="E354" s="279"/>
      <c r="F354" s="278"/>
      <c r="G354" s="278"/>
      <c r="H354" s="278"/>
      <c r="I354" s="279"/>
      <c r="J354" s="278"/>
      <c r="K354" s="278"/>
      <c r="L354" s="278"/>
      <c r="M354" s="212"/>
    </row>
    <row r="355" spans="1:13">
      <c r="A355" s="213"/>
      <c r="B355" s="278"/>
      <c r="C355" s="278"/>
      <c r="D355" s="278"/>
      <c r="E355" s="279"/>
      <c r="F355" s="278"/>
      <c r="G355" s="278"/>
      <c r="H355" s="278"/>
      <c r="I355" s="279"/>
      <c r="J355" s="278"/>
      <c r="K355" s="278"/>
      <c r="L355" s="278"/>
      <c r="M355" s="212"/>
    </row>
    <row r="356" spans="1:13">
      <c r="A356" s="213"/>
      <c r="B356" s="278"/>
      <c r="C356" s="278"/>
      <c r="D356" s="278"/>
      <c r="E356" s="279"/>
      <c r="F356" s="278"/>
      <c r="G356" s="278"/>
      <c r="H356" s="278"/>
      <c r="I356" s="279"/>
      <c r="J356" s="278"/>
      <c r="K356" s="278"/>
      <c r="L356" s="278"/>
      <c r="M356" s="212"/>
    </row>
    <row r="357" spans="1:13">
      <c r="A357" s="213"/>
      <c r="B357" s="278"/>
      <c r="C357" s="278"/>
      <c r="D357" s="278"/>
      <c r="E357" s="279"/>
      <c r="F357" s="278"/>
      <c r="G357" s="278"/>
      <c r="H357" s="278"/>
      <c r="I357" s="279"/>
      <c r="J357" s="278"/>
      <c r="K357" s="278"/>
      <c r="L357" s="278"/>
      <c r="M357" s="212"/>
    </row>
    <row r="358" spans="1:13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</row>
    <row r="359" spans="1:13">
      <c r="A359" s="213"/>
      <c r="B359" s="279"/>
      <c r="C359" s="279"/>
      <c r="D359" s="279"/>
      <c r="E359" s="279"/>
      <c r="F359" s="279"/>
      <c r="G359" s="279"/>
      <c r="H359" s="279"/>
      <c r="I359" s="279"/>
      <c r="J359" s="279"/>
      <c r="K359" s="279"/>
      <c r="L359" s="279"/>
      <c r="M359" s="212"/>
    </row>
    <row r="360" spans="1:13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</row>
    <row r="361" spans="1:13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60"/>
      <c r="M361" s="212"/>
    </row>
    <row r="362" spans="1:13" ht="12.95">
      <c r="A362" s="234"/>
      <c r="B362" s="217"/>
      <c r="C362" s="217"/>
      <c r="D362" s="217"/>
      <c r="E362" s="217"/>
      <c r="F362" s="217"/>
      <c r="G362" s="217"/>
      <c r="H362" s="217"/>
      <c r="I362" s="217"/>
      <c r="J362" s="217"/>
      <c r="K362" s="217"/>
      <c r="L362" s="212"/>
      <c r="M362" s="212"/>
    </row>
    <row r="363" spans="1:13" ht="12.95">
      <c r="A363" s="217"/>
      <c r="B363" s="367"/>
      <c r="C363" s="367"/>
      <c r="D363" s="367"/>
      <c r="E363" s="229"/>
      <c r="F363" s="367"/>
      <c r="G363" s="367"/>
      <c r="H363" s="367"/>
      <c r="I363" s="229"/>
      <c r="J363" s="367"/>
      <c r="K363" s="367"/>
      <c r="L363" s="367"/>
      <c r="M363" s="212"/>
    </row>
    <row r="364" spans="1:13" ht="12.95">
      <c r="A364" s="234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12"/>
    </row>
    <row r="365" spans="1:13" ht="12.95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</row>
    <row r="366" spans="1:13">
      <c r="A366" s="213"/>
      <c r="B366" s="278"/>
      <c r="C366" s="278"/>
      <c r="D366" s="278"/>
      <c r="E366" s="279"/>
      <c r="F366" s="278"/>
      <c r="G366" s="278"/>
      <c r="H366" s="278"/>
      <c r="I366" s="279"/>
      <c r="J366" s="278"/>
      <c r="K366" s="278"/>
      <c r="L366" s="278"/>
      <c r="M366" s="212"/>
    </row>
    <row r="367" spans="1:13">
      <c r="A367" s="213"/>
      <c r="B367" s="278"/>
      <c r="C367" s="278"/>
      <c r="D367" s="278"/>
      <c r="E367" s="279"/>
      <c r="F367" s="278"/>
      <c r="G367" s="278"/>
      <c r="H367" s="278"/>
      <c r="I367" s="279"/>
      <c r="J367" s="278"/>
      <c r="K367" s="278"/>
      <c r="L367" s="278"/>
      <c r="M367" s="212"/>
    </row>
    <row r="368" spans="1:13">
      <c r="A368" s="213"/>
      <c r="B368" s="278"/>
      <c r="C368" s="278"/>
      <c r="D368" s="278"/>
      <c r="E368" s="279"/>
      <c r="F368" s="278"/>
      <c r="G368" s="278"/>
      <c r="H368" s="278"/>
      <c r="I368" s="279"/>
      <c r="J368" s="278"/>
      <c r="K368" s="278"/>
      <c r="L368" s="278"/>
      <c r="M368" s="212"/>
    </row>
    <row r="369" spans="1:13">
      <c r="A369" s="213"/>
      <c r="B369" s="278"/>
      <c r="C369" s="278"/>
      <c r="D369" s="278"/>
      <c r="E369" s="279"/>
      <c r="F369" s="278"/>
      <c r="G369" s="278"/>
      <c r="H369" s="278"/>
      <c r="I369" s="279"/>
      <c r="J369" s="278"/>
      <c r="K369" s="278"/>
      <c r="L369" s="278"/>
      <c r="M369" s="212"/>
    </row>
    <row r="370" spans="1:13">
      <c r="A370" s="213"/>
      <c r="B370" s="278"/>
      <c r="C370" s="278"/>
      <c r="D370" s="278"/>
      <c r="E370" s="279"/>
      <c r="F370" s="278"/>
      <c r="G370" s="278"/>
      <c r="H370" s="278"/>
      <c r="I370" s="279"/>
      <c r="J370" s="278"/>
      <c r="K370" s="278"/>
      <c r="L370" s="278"/>
      <c r="M370" s="212"/>
    </row>
    <row r="371" spans="1:13">
      <c r="A371" s="213"/>
      <c r="B371" s="278"/>
      <c r="C371" s="278"/>
      <c r="D371" s="278"/>
      <c r="E371" s="279"/>
      <c r="F371" s="278"/>
      <c r="G371" s="278"/>
      <c r="H371" s="278"/>
      <c r="I371" s="279"/>
      <c r="J371" s="278"/>
      <c r="K371" s="278"/>
      <c r="L371" s="278"/>
      <c r="M371" s="212"/>
    </row>
    <row r="372" spans="1:13">
      <c r="A372" s="213"/>
      <c r="B372" s="278"/>
      <c r="C372" s="278"/>
      <c r="D372" s="278"/>
      <c r="E372" s="279"/>
      <c r="F372" s="278"/>
      <c r="G372" s="278"/>
      <c r="H372" s="278"/>
      <c r="I372" s="279"/>
      <c r="J372" s="278"/>
      <c r="K372" s="278"/>
      <c r="L372" s="278"/>
      <c r="M372" s="212"/>
    </row>
    <row r="373" spans="1:13">
      <c r="A373" s="213"/>
      <c r="B373" s="278"/>
      <c r="C373" s="278"/>
      <c r="D373" s="278"/>
      <c r="E373" s="279"/>
      <c r="F373" s="278"/>
      <c r="G373" s="278"/>
      <c r="H373" s="278"/>
      <c r="I373" s="279"/>
      <c r="J373" s="278"/>
      <c r="K373" s="278"/>
      <c r="L373" s="278"/>
      <c r="M373" s="212"/>
    </row>
    <row r="374" spans="1:13">
      <c r="A374" s="213"/>
      <c r="B374" s="278"/>
      <c r="C374" s="278"/>
      <c r="D374" s="278"/>
      <c r="E374" s="279"/>
      <c r="F374" s="278"/>
      <c r="G374" s="278"/>
      <c r="H374" s="278"/>
      <c r="I374" s="279"/>
      <c r="J374" s="278"/>
      <c r="K374" s="278"/>
      <c r="L374" s="278"/>
      <c r="M374" s="212"/>
    </row>
    <row r="375" spans="1:13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</row>
    <row r="376" spans="1:13">
      <c r="A376" s="213"/>
      <c r="B376" s="279"/>
      <c r="C376" s="279"/>
      <c r="D376" s="279"/>
      <c r="E376" s="279"/>
      <c r="F376" s="279"/>
      <c r="G376" s="279"/>
      <c r="H376" s="279"/>
      <c r="I376" s="279"/>
      <c r="J376" s="279"/>
      <c r="K376" s="279"/>
      <c r="L376" s="279"/>
      <c r="M376" s="212"/>
    </row>
    <row r="377" spans="1:13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</row>
    <row r="378" spans="1:13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60"/>
      <c r="M378" s="212"/>
    </row>
    <row r="379" spans="1:13" ht="12.95">
      <c r="A379" s="234"/>
      <c r="B379" s="217"/>
      <c r="C379" s="217"/>
      <c r="D379" s="217"/>
      <c r="E379" s="217"/>
      <c r="F379" s="217"/>
      <c r="G379" s="217"/>
      <c r="H379" s="217"/>
      <c r="I379" s="217"/>
      <c r="J379" s="217"/>
      <c r="K379" s="217"/>
      <c r="L379" s="212"/>
      <c r="M379" s="212"/>
    </row>
    <row r="380" spans="1:13" ht="12.95">
      <c r="A380" s="217"/>
      <c r="B380" s="367"/>
      <c r="C380" s="367"/>
      <c r="D380" s="367"/>
      <c r="E380" s="229"/>
      <c r="F380" s="367"/>
      <c r="G380" s="367"/>
      <c r="H380" s="367"/>
      <c r="I380" s="229"/>
      <c r="J380" s="367"/>
      <c r="K380" s="367"/>
      <c r="L380" s="367"/>
      <c r="M380" s="212"/>
    </row>
    <row r="381" spans="1:13" ht="12.95">
      <c r="A381" s="234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12"/>
    </row>
    <row r="382" spans="1:13" ht="12.95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</row>
    <row r="383" spans="1:13">
      <c r="A383" s="213"/>
      <c r="B383" s="278"/>
      <c r="C383" s="278"/>
      <c r="D383" s="278"/>
      <c r="E383" s="279"/>
      <c r="F383" s="278"/>
      <c r="G383" s="278"/>
      <c r="H383" s="278"/>
      <c r="I383" s="279"/>
      <c r="J383" s="278"/>
      <c r="K383" s="278"/>
      <c r="L383" s="278"/>
      <c r="M383" s="212"/>
    </row>
    <row r="384" spans="1:13">
      <c r="A384" s="213"/>
      <c r="B384" s="278"/>
      <c r="C384" s="278"/>
      <c r="D384" s="278"/>
      <c r="E384" s="279"/>
      <c r="F384" s="278"/>
      <c r="G384" s="278"/>
      <c r="H384" s="278"/>
      <c r="I384" s="279"/>
      <c r="J384" s="278"/>
      <c r="K384" s="278"/>
      <c r="L384" s="278"/>
      <c r="M384" s="212"/>
    </row>
    <row r="385" spans="1:13">
      <c r="A385" s="213"/>
      <c r="B385" s="278"/>
      <c r="C385" s="278"/>
      <c r="D385" s="278"/>
      <c r="E385" s="279"/>
      <c r="F385" s="278"/>
      <c r="G385" s="278"/>
      <c r="H385" s="278"/>
      <c r="I385" s="279"/>
      <c r="J385" s="278"/>
      <c r="K385" s="278"/>
      <c r="L385" s="278"/>
      <c r="M385" s="212"/>
    </row>
    <row r="386" spans="1:13">
      <c r="A386" s="213"/>
      <c r="B386" s="278"/>
      <c r="C386" s="278"/>
      <c r="D386" s="278"/>
      <c r="E386" s="279"/>
      <c r="F386" s="278"/>
      <c r="G386" s="278"/>
      <c r="H386" s="278"/>
      <c r="I386" s="279"/>
      <c r="J386" s="278"/>
      <c r="K386" s="278"/>
      <c r="L386" s="278"/>
      <c r="M386" s="212"/>
    </row>
    <row r="387" spans="1:13">
      <c r="A387" s="213"/>
      <c r="B387" s="278"/>
      <c r="C387" s="278"/>
      <c r="D387" s="278"/>
      <c r="E387" s="279"/>
      <c r="F387" s="278"/>
      <c r="G387" s="278"/>
      <c r="H387" s="278"/>
      <c r="I387" s="279"/>
      <c r="J387" s="278"/>
      <c r="K387" s="278"/>
      <c r="L387" s="278"/>
      <c r="M387" s="212"/>
    </row>
    <row r="388" spans="1:13">
      <c r="A388" s="213"/>
      <c r="B388" s="278"/>
      <c r="C388" s="278"/>
      <c r="D388" s="278"/>
      <c r="E388" s="279"/>
      <c r="F388" s="278"/>
      <c r="G388" s="278"/>
      <c r="H388" s="278"/>
      <c r="I388" s="279"/>
      <c r="J388" s="278"/>
      <c r="K388" s="278"/>
      <c r="L388" s="278"/>
      <c r="M388" s="212"/>
    </row>
    <row r="389" spans="1:13">
      <c r="A389" s="213"/>
      <c r="B389" s="278"/>
      <c r="C389" s="278"/>
      <c r="D389" s="278"/>
      <c r="E389" s="279"/>
      <c r="F389" s="278"/>
      <c r="G389" s="278"/>
      <c r="H389" s="278"/>
      <c r="I389" s="279"/>
      <c r="J389" s="278"/>
      <c r="K389" s="278"/>
      <c r="L389" s="278"/>
      <c r="M389" s="212"/>
    </row>
    <row r="390" spans="1:13">
      <c r="A390" s="213"/>
      <c r="B390" s="278"/>
      <c r="C390" s="278"/>
      <c r="D390" s="278"/>
      <c r="E390" s="279"/>
      <c r="F390" s="278"/>
      <c r="G390" s="278"/>
      <c r="H390" s="278"/>
      <c r="I390" s="279"/>
      <c r="J390" s="278"/>
      <c r="K390" s="278"/>
      <c r="L390" s="278"/>
      <c r="M390" s="212"/>
    </row>
    <row r="391" spans="1:13">
      <c r="A391" s="213"/>
      <c r="B391" s="278"/>
      <c r="C391" s="278"/>
      <c r="D391" s="278"/>
      <c r="E391" s="279"/>
      <c r="F391" s="278"/>
      <c r="G391" s="278"/>
      <c r="H391" s="278"/>
      <c r="I391" s="279"/>
      <c r="J391" s="278"/>
      <c r="K391" s="278"/>
      <c r="L391" s="278"/>
      <c r="M391" s="212"/>
    </row>
    <row r="392" spans="1:13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</row>
    <row r="393" spans="1:13">
      <c r="A393" s="213"/>
      <c r="B393" s="279"/>
      <c r="C393" s="279"/>
      <c r="D393" s="279"/>
      <c r="E393" s="279"/>
      <c r="F393" s="279"/>
      <c r="G393" s="279"/>
      <c r="H393" s="279"/>
      <c r="I393" s="279"/>
      <c r="J393" s="279"/>
      <c r="K393" s="279"/>
      <c r="L393" s="279"/>
      <c r="M393" s="212"/>
    </row>
    <row r="394" spans="1:13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</row>
    <row r="395" spans="1:13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60"/>
      <c r="M395" s="212"/>
    </row>
    <row r="396" spans="1:13" ht="12.95">
      <c r="A396" s="234"/>
      <c r="B396" s="217"/>
      <c r="C396" s="217"/>
      <c r="D396" s="217"/>
      <c r="E396" s="217"/>
      <c r="F396" s="217"/>
      <c r="G396" s="217"/>
      <c r="H396" s="217"/>
      <c r="I396" s="217"/>
      <c r="J396" s="217"/>
      <c r="K396" s="217"/>
      <c r="L396" s="212"/>
      <c r="M396" s="212"/>
    </row>
    <row r="397" spans="1:13" ht="12.95">
      <c r="A397" s="217"/>
      <c r="B397" s="367"/>
      <c r="C397" s="367"/>
      <c r="D397" s="367"/>
      <c r="E397" s="229"/>
      <c r="F397" s="367"/>
      <c r="G397" s="367"/>
      <c r="H397" s="367"/>
      <c r="I397" s="229"/>
      <c r="J397" s="367"/>
      <c r="K397" s="367"/>
      <c r="L397" s="367"/>
      <c r="M397" s="212"/>
    </row>
    <row r="398" spans="1:13" ht="12.95">
      <c r="A398" s="234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12"/>
    </row>
    <row r="399" spans="1:13" ht="12.95">
      <c r="A399" s="234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12"/>
    </row>
    <row r="400" spans="1:13">
      <c r="A400" s="213"/>
      <c r="B400" s="278"/>
      <c r="C400" s="278"/>
      <c r="D400" s="278"/>
      <c r="E400" s="279"/>
      <c r="F400" s="278"/>
      <c r="G400" s="278"/>
      <c r="H400" s="278"/>
      <c r="I400" s="279"/>
      <c r="J400" s="278"/>
      <c r="K400" s="278"/>
      <c r="L400" s="278"/>
      <c r="M400" s="212"/>
    </row>
    <row r="401" spans="1:13">
      <c r="A401" s="213"/>
      <c r="B401" s="278"/>
      <c r="C401" s="278"/>
      <c r="D401" s="278"/>
      <c r="E401" s="279"/>
      <c r="F401" s="278"/>
      <c r="G401" s="278"/>
      <c r="H401" s="278"/>
      <c r="I401" s="279"/>
      <c r="J401" s="278"/>
      <c r="K401" s="278"/>
      <c r="L401" s="278"/>
      <c r="M401" s="212"/>
    </row>
    <row r="402" spans="1:13">
      <c r="A402" s="213"/>
      <c r="B402" s="278"/>
      <c r="C402" s="278"/>
      <c r="D402" s="278"/>
      <c r="E402" s="279"/>
      <c r="F402" s="278"/>
      <c r="G402" s="278"/>
      <c r="H402" s="278"/>
      <c r="I402" s="279"/>
      <c r="J402" s="278"/>
      <c r="K402" s="278"/>
      <c r="L402" s="278"/>
      <c r="M402" s="212"/>
    </row>
    <row r="403" spans="1:13">
      <c r="A403" s="213"/>
      <c r="B403" s="278"/>
      <c r="C403" s="278"/>
      <c r="D403" s="278"/>
      <c r="E403" s="279"/>
      <c r="F403" s="278"/>
      <c r="G403" s="278"/>
      <c r="H403" s="278"/>
      <c r="I403" s="279"/>
      <c r="J403" s="278"/>
      <c r="K403" s="278"/>
      <c r="L403" s="278"/>
      <c r="M403" s="212"/>
    </row>
    <row r="404" spans="1:13">
      <c r="A404" s="213"/>
      <c r="B404" s="278"/>
      <c r="C404" s="278"/>
      <c r="D404" s="278"/>
      <c r="E404" s="279"/>
      <c r="F404" s="278"/>
      <c r="G404" s="278"/>
      <c r="H404" s="278"/>
      <c r="I404" s="279"/>
      <c r="J404" s="278"/>
      <c r="K404" s="278"/>
      <c r="L404" s="278"/>
      <c r="M404" s="212"/>
    </row>
    <row r="405" spans="1:13">
      <c r="A405" s="213"/>
      <c r="B405" s="278"/>
      <c r="C405" s="278"/>
      <c r="D405" s="278"/>
      <c r="E405" s="279"/>
      <c r="F405" s="278"/>
      <c r="G405" s="278"/>
      <c r="H405" s="278"/>
      <c r="I405" s="279"/>
      <c r="J405" s="278"/>
      <c r="K405" s="278"/>
      <c r="L405" s="278"/>
      <c r="M405" s="212"/>
    </row>
    <row r="406" spans="1:13">
      <c r="A406" s="213"/>
      <c r="B406" s="278"/>
      <c r="C406" s="278"/>
      <c r="D406" s="278"/>
      <c r="E406" s="279"/>
      <c r="F406" s="278"/>
      <c r="G406" s="278"/>
      <c r="H406" s="278"/>
      <c r="I406" s="279"/>
      <c r="J406" s="278"/>
      <c r="K406" s="278"/>
      <c r="L406" s="278"/>
      <c r="M406" s="212"/>
    </row>
    <row r="407" spans="1:13">
      <c r="A407" s="213"/>
      <c r="B407" s="278"/>
      <c r="C407" s="278"/>
      <c r="D407" s="278"/>
      <c r="E407" s="279"/>
      <c r="F407" s="278"/>
      <c r="G407" s="278"/>
      <c r="H407" s="278"/>
      <c r="I407" s="279"/>
      <c r="J407" s="278"/>
      <c r="K407" s="278"/>
      <c r="L407" s="278"/>
      <c r="M407" s="212"/>
    </row>
    <row r="408" spans="1:13">
      <c r="A408" s="213"/>
      <c r="B408" s="278"/>
      <c r="C408" s="278"/>
      <c r="D408" s="278"/>
      <c r="E408" s="279"/>
      <c r="F408" s="278"/>
      <c r="G408" s="278"/>
      <c r="H408" s="278"/>
      <c r="I408" s="279"/>
      <c r="J408" s="278"/>
      <c r="K408" s="278"/>
      <c r="L408" s="278"/>
      <c r="M408" s="212"/>
    </row>
    <row r="409" spans="1:13">
      <c r="A409" s="213"/>
      <c r="B409" s="278"/>
      <c r="C409" s="278"/>
      <c r="D409" s="278"/>
      <c r="E409" s="279"/>
      <c r="F409" s="278"/>
      <c r="G409" s="278"/>
      <c r="H409" s="278"/>
      <c r="I409" s="279"/>
      <c r="J409" s="278"/>
      <c r="K409" s="278"/>
      <c r="L409" s="278"/>
      <c r="M409" s="212"/>
    </row>
    <row r="410" spans="1:13">
      <c r="A410" s="213"/>
      <c r="B410" s="279"/>
      <c r="C410" s="279"/>
      <c r="D410" s="279"/>
      <c r="E410" s="279"/>
      <c r="F410" s="279"/>
      <c r="G410" s="279"/>
      <c r="H410" s="279"/>
      <c r="I410" s="279"/>
      <c r="J410" s="279"/>
      <c r="K410" s="279"/>
      <c r="L410" s="279"/>
      <c r="M410" s="212"/>
    </row>
    <row r="411" spans="1:13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6"/>
      <c r="M411" s="212"/>
    </row>
    <row r="412" spans="1:13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60"/>
      <c r="M412" s="212"/>
    </row>
    <row r="413" spans="1:13" ht="12.95">
      <c r="A413" s="234"/>
      <c r="B413" s="217"/>
      <c r="C413" s="217"/>
      <c r="D413" s="217"/>
      <c r="E413" s="217"/>
      <c r="F413" s="217"/>
      <c r="G413" s="217"/>
      <c r="H413" s="217"/>
      <c r="I413" s="217"/>
      <c r="J413" s="217"/>
      <c r="K413" s="217"/>
      <c r="L413" s="212"/>
      <c r="M413" s="212"/>
    </row>
    <row r="414" spans="1:13" ht="12.95">
      <c r="A414" s="217"/>
      <c r="B414" s="367"/>
      <c r="C414" s="367"/>
      <c r="D414" s="367"/>
      <c r="E414" s="229"/>
      <c r="F414" s="367"/>
      <c r="G414" s="367"/>
      <c r="H414" s="367"/>
      <c r="I414" s="229"/>
      <c r="J414" s="367"/>
      <c r="K414" s="367"/>
      <c r="L414" s="367"/>
      <c r="M414" s="212"/>
    </row>
    <row r="415" spans="1:13" ht="12.95">
      <c r="A415" s="234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12"/>
    </row>
    <row r="416" spans="1:13" ht="12.95">
      <c r="A416" s="234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12"/>
    </row>
    <row r="417" spans="1:13">
      <c r="A417" s="213"/>
      <c r="B417" s="278"/>
      <c r="C417" s="278"/>
      <c r="D417" s="278"/>
      <c r="E417" s="279"/>
      <c r="F417" s="278"/>
      <c r="G417" s="278"/>
      <c r="H417" s="278"/>
      <c r="I417" s="279"/>
      <c r="J417" s="278"/>
      <c r="K417" s="278"/>
      <c r="L417" s="278"/>
      <c r="M417" s="212"/>
    </row>
    <row r="418" spans="1:13">
      <c r="A418" s="213"/>
      <c r="B418" s="278"/>
      <c r="C418" s="278"/>
      <c r="D418" s="278"/>
      <c r="E418" s="279"/>
      <c r="F418" s="278"/>
      <c r="G418" s="278"/>
      <c r="H418" s="278"/>
      <c r="I418" s="279"/>
      <c r="J418" s="278"/>
      <c r="K418" s="278"/>
      <c r="L418" s="278"/>
      <c r="M418" s="212"/>
    </row>
    <row r="419" spans="1:13">
      <c r="A419" s="213"/>
      <c r="B419" s="278"/>
      <c r="C419" s="278"/>
      <c r="D419" s="278"/>
      <c r="E419" s="279"/>
      <c r="F419" s="278"/>
      <c r="G419" s="278"/>
      <c r="H419" s="278"/>
      <c r="I419" s="279"/>
      <c r="J419" s="278"/>
      <c r="K419" s="278"/>
      <c r="L419" s="278"/>
      <c r="M419" s="212"/>
    </row>
    <row r="420" spans="1:13">
      <c r="A420" s="213"/>
      <c r="B420" s="278"/>
      <c r="C420" s="278"/>
      <c r="D420" s="278"/>
      <c r="E420" s="279"/>
      <c r="F420" s="278"/>
      <c r="G420" s="278"/>
      <c r="H420" s="278"/>
      <c r="I420" s="279"/>
      <c r="J420" s="278"/>
      <c r="K420" s="278"/>
      <c r="L420" s="278"/>
      <c r="M420" s="212"/>
    </row>
    <row r="421" spans="1:13">
      <c r="A421" s="213"/>
      <c r="B421" s="278"/>
      <c r="C421" s="278"/>
      <c r="D421" s="278"/>
      <c r="E421" s="279"/>
      <c r="F421" s="278"/>
      <c r="G421" s="278"/>
      <c r="H421" s="278"/>
      <c r="I421" s="279"/>
      <c r="J421" s="278"/>
      <c r="K421" s="278"/>
      <c r="L421" s="278"/>
      <c r="M421" s="212"/>
    </row>
    <row r="422" spans="1:13">
      <c r="A422" s="213"/>
      <c r="B422" s="278"/>
      <c r="C422" s="278"/>
      <c r="D422" s="278"/>
      <c r="E422" s="279"/>
      <c r="F422" s="278"/>
      <c r="G422" s="278"/>
      <c r="H422" s="278"/>
      <c r="I422" s="279"/>
      <c r="J422" s="278"/>
      <c r="K422" s="278"/>
      <c r="L422" s="278"/>
      <c r="M422" s="212"/>
    </row>
    <row r="423" spans="1:13">
      <c r="A423" s="213"/>
      <c r="B423" s="278"/>
      <c r="C423" s="278"/>
      <c r="D423" s="278"/>
      <c r="E423" s="279"/>
      <c r="F423" s="278"/>
      <c r="G423" s="278"/>
      <c r="H423" s="278"/>
      <c r="I423" s="279"/>
      <c r="J423" s="278"/>
      <c r="K423" s="278"/>
      <c r="L423" s="278"/>
      <c r="M423" s="212"/>
    </row>
    <row r="424" spans="1:13">
      <c r="A424" s="213"/>
      <c r="B424" s="278"/>
      <c r="C424" s="278"/>
      <c r="D424" s="278"/>
      <c r="E424" s="279"/>
      <c r="F424" s="278"/>
      <c r="G424" s="278"/>
      <c r="H424" s="278"/>
      <c r="I424" s="279"/>
      <c r="J424" s="278"/>
      <c r="K424" s="278"/>
      <c r="L424" s="278"/>
      <c r="M424" s="212"/>
    </row>
    <row r="425" spans="1:13">
      <c r="A425" s="213"/>
      <c r="B425" s="278"/>
      <c r="C425" s="278"/>
      <c r="D425" s="278"/>
      <c r="E425" s="279"/>
      <c r="F425" s="278"/>
      <c r="G425" s="278"/>
      <c r="H425" s="278"/>
      <c r="I425" s="279"/>
      <c r="J425" s="278"/>
      <c r="K425" s="278"/>
      <c r="L425" s="278"/>
      <c r="M425" s="212"/>
    </row>
    <row r="426" spans="1:13">
      <c r="A426" s="213"/>
      <c r="B426" s="278"/>
      <c r="C426" s="278"/>
      <c r="D426" s="278"/>
      <c r="E426" s="279"/>
      <c r="F426" s="278"/>
      <c r="G426" s="278"/>
      <c r="H426" s="278"/>
      <c r="I426" s="279"/>
      <c r="J426" s="278"/>
      <c r="K426" s="278"/>
      <c r="L426" s="278"/>
      <c r="M426" s="212"/>
    </row>
    <row r="427" spans="1:13">
      <c r="A427" s="213"/>
      <c r="B427" s="279"/>
      <c r="C427" s="279"/>
      <c r="D427" s="279"/>
      <c r="E427" s="279"/>
      <c r="F427" s="279"/>
      <c r="G427" s="279"/>
      <c r="H427" s="279"/>
      <c r="I427" s="279"/>
      <c r="J427" s="279"/>
      <c r="K427" s="279"/>
      <c r="L427" s="279"/>
      <c r="M427" s="212"/>
    </row>
    <row r="428" spans="1:13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6"/>
      <c r="M428" s="212"/>
    </row>
    <row r="429" spans="1:13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60"/>
      <c r="M429" s="212"/>
    </row>
    <row r="430" spans="1:13" ht="12.95">
      <c r="A430" s="234"/>
      <c r="B430" s="217"/>
      <c r="C430" s="217"/>
      <c r="D430" s="217"/>
      <c r="E430" s="217"/>
      <c r="F430" s="217"/>
      <c r="G430" s="217"/>
      <c r="H430" s="217"/>
      <c r="I430" s="217"/>
      <c r="J430" s="217"/>
      <c r="K430" s="217"/>
      <c r="L430" s="212"/>
      <c r="M430" s="212"/>
    </row>
    <row r="431" spans="1:13" ht="12.95">
      <c r="A431" s="217"/>
      <c r="B431" s="367"/>
      <c r="C431" s="367"/>
      <c r="D431" s="367"/>
      <c r="E431" s="229"/>
      <c r="F431" s="367"/>
      <c r="G431" s="367"/>
      <c r="H431" s="367"/>
      <c r="I431" s="229"/>
      <c r="J431" s="367"/>
      <c r="K431" s="367"/>
      <c r="L431" s="367"/>
      <c r="M431" s="212"/>
    </row>
    <row r="432" spans="1:13" ht="12.95">
      <c r="A432" s="234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12"/>
    </row>
    <row r="433" spans="1:13" ht="12.95">
      <c r="A433" s="234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12"/>
    </row>
    <row r="434" spans="1:13">
      <c r="A434" s="213"/>
      <c r="B434" s="278"/>
      <c r="C434" s="278"/>
      <c r="D434" s="278"/>
      <c r="E434" s="279"/>
      <c r="F434" s="278"/>
      <c r="G434" s="278"/>
      <c r="H434" s="278"/>
      <c r="I434" s="279"/>
      <c r="J434" s="278"/>
      <c r="K434" s="278"/>
      <c r="L434" s="278"/>
      <c r="M434" s="212"/>
    </row>
    <row r="435" spans="1:13">
      <c r="A435" s="213"/>
      <c r="B435" s="278"/>
      <c r="C435" s="278"/>
      <c r="D435" s="278"/>
      <c r="E435" s="279"/>
      <c r="F435" s="278"/>
      <c r="G435" s="278"/>
      <c r="H435" s="278"/>
      <c r="I435" s="279"/>
      <c r="J435" s="278"/>
      <c r="K435" s="278"/>
      <c r="L435" s="278"/>
      <c r="M435" s="212"/>
    </row>
    <row r="436" spans="1:13">
      <c r="A436" s="213"/>
      <c r="B436" s="278"/>
      <c r="C436" s="278"/>
      <c r="D436" s="278"/>
      <c r="E436" s="279"/>
      <c r="F436" s="278"/>
      <c r="G436" s="278"/>
      <c r="H436" s="278"/>
      <c r="I436" s="279"/>
      <c r="J436" s="278"/>
      <c r="K436" s="278"/>
      <c r="L436" s="278"/>
      <c r="M436" s="212"/>
    </row>
    <row r="437" spans="1:13">
      <c r="A437" s="213"/>
      <c r="B437" s="278"/>
      <c r="C437" s="278"/>
      <c r="D437" s="278"/>
      <c r="E437" s="279"/>
      <c r="F437" s="278"/>
      <c r="G437" s="278"/>
      <c r="H437" s="278"/>
      <c r="I437" s="279"/>
      <c r="J437" s="278"/>
      <c r="K437" s="278"/>
      <c r="L437" s="278"/>
      <c r="M437" s="212"/>
    </row>
    <row r="438" spans="1:13">
      <c r="A438" s="213"/>
      <c r="B438" s="278"/>
      <c r="C438" s="278"/>
      <c r="D438" s="278"/>
      <c r="E438" s="279"/>
      <c r="F438" s="278"/>
      <c r="G438" s="278"/>
      <c r="H438" s="278"/>
      <c r="I438" s="279"/>
      <c r="J438" s="278"/>
      <c r="K438" s="278"/>
      <c r="L438" s="278"/>
      <c r="M438" s="212"/>
    </row>
    <row r="439" spans="1:13">
      <c r="A439" s="213"/>
      <c r="B439" s="278"/>
      <c r="C439" s="278"/>
      <c r="D439" s="278"/>
      <c r="E439" s="279"/>
      <c r="F439" s="278"/>
      <c r="G439" s="278"/>
      <c r="H439" s="278"/>
      <c r="I439" s="279"/>
      <c r="J439" s="278"/>
      <c r="K439" s="278"/>
      <c r="L439" s="278"/>
      <c r="M439" s="212"/>
    </row>
    <row r="440" spans="1:13">
      <c r="A440" s="213"/>
      <c r="B440" s="278"/>
      <c r="C440" s="278"/>
      <c r="D440" s="278"/>
      <c r="E440" s="279"/>
      <c r="F440" s="278"/>
      <c r="G440" s="278"/>
      <c r="H440" s="278"/>
      <c r="I440" s="279"/>
      <c r="J440" s="278"/>
      <c r="K440" s="278"/>
      <c r="L440" s="278"/>
      <c r="M440" s="212"/>
    </row>
    <row r="441" spans="1:13">
      <c r="A441" s="213"/>
      <c r="B441" s="278"/>
      <c r="C441" s="278"/>
      <c r="D441" s="278"/>
      <c r="E441" s="279"/>
      <c r="F441" s="278"/>
      <c r="G441" s="278"/>
      <c r="H441" s="278"/>
      <c r="I441" s="279"/>
      <c r="J441" s="278"/>
      <c r="K441" s="278"/>
      <c r="L441" s="278"/>
      <c r="M441" s="212"/>
    </row>
    <row r="442" spans="1:13">
      <c r="A442" s="213"/>
      <c r="B442" s="278"/>
      <c r="C442" s="278"/>
      <c r="D442" s="278"/>
      <c r="E442" s="279"/>
      <c r="F442" s="278"/>
      <c r="G442" s="278"/>
      <c r="H442" s="278"/>
      <c r="I442" s="279"/>
      <c r="J442" s="278"/>
      <c r="K442" s="278"/>
      <c r="L442" s="278"/>
      <c r="M442" s="212"/>
    </row>
    <row r="443" spans="1:13">
      <c r="A443" s="213"/>
      <c r="B443" s="278"/>
      <c r="C443" s="278"/>
      <c r="D443" s="278"/>
      <c r="E443" s="279"/>
      <c r="F443" s="278"/>
      <c r="G443" s="278"/>
      <c r="H443" s="278"/>
      <c r="I443" s="279"/>
      <c r="J443" s="278"/>
      <c r="K443" s="278"/>
      <c r="L443" s="278"/>
      <c r="M443" s="212"/>
    </row>
    <row r="444" spans="1:13">
      <c r="A444" s="213"/>
      <c r="B444" s="279"/>
      <c r="C444" s="279"/>
      <c r="D444" s="279"/>
      <c r="E444" s="279"/>
      <c r="F444" s="279"/>
      <c r="G444" s="279"/>
      <c r="H444" s="279"/>
      <c r="I444" s="279"/>
      <c r="J444" s="279"/>
      <c r="K444" s="279"/>
      <c r="L444" s="279"/>
      <c r="M444" s="212"/>
    </row>
    <row r="445" spans="1:13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6"/>
      <c r="M445" s="212"/>
    </row>
    <row r="446" spans="1:13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60"/>
      <c r="M446" s="212"/>
    </row>
    <row r="447" spans="1:13" ht="12.95">
      <c r="A447" s="234"/>
      <c r="B447" s="217"/>
      <c r="C447" s="217"/>
      <c r="D447" s="217"/>
      <c r="E447" s="217"/>
      <c r="F447" s="217"/>
      <c r="G447" s="217"/>
      <c r="H447" s="217"/>
      <c r="I447" s="217"/>
      <c r="J447" s="217"/>
      <c r="K447" s="217"/>
      <c r="L447" s="212"/>
      <c r="M447" s="212"/>
    </row>
    <row r="448" spans="1:13" ht="12.95">
      <c r="A448" s="217"/>
      <c r="B448" s="367"/>
      <c r="C448" s="367"/>
      <c r="D448" s="367"/>
      <c r="E448" s="229"/>
      <c r="F448" s="367"/>
      <c r="G448" s="367"/>
      <c r="H448" s="367"/>
      <c r="I448" s="229"/>
      <c r="J448" s="367"/>
      <c r="K448" s="367"/>
      <c r="L448" s="367"/>
      <c r="M448" s="212"/>
    </row>
    <row r="449" spans="1:13" ht="12.95">
      <c r="A449" s="234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12"/>
    </row>
    <row r="450" spans="1:13" ht="12.95">
      <c r="A450" s="234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12"/>
    </row>
    <row r="451" spans="1:13">
      <c r="A451" s="213"/>
      <c r="B451" s="278"/>
      <c r="C451" s="278"/>
      <c r="D451" s="278"/>
      <c r="E451" s="279"/>
      <c r="F451" s="278"/>
      <c r="G451" s="278"/>
      <c r="H451" s="278"/>
      <c r="I451" s="279"/>
      <c r="J451" s="278"/>
      <c r="K451" s="278"/>
      <c r="L451" s="278"/>
      <c r="M451" s="212"/>
    </row>
    <row r="452" spans="1:13">
      <c r="A452" s="213"/>
      <c r="B452" s="278"/>
      <c r="C452" s="278"/>
      <c r="D452" s="278"/>
      <c r="E452" s="279"/>
      <c r="F452" s="278"/>
      <c r="G452" s="278"/>
      <c r="H452" s="278"/>
      <c r="I452" s="279"/>
      <c r="J452" s="278"/>
      <c r="K452" s="278"/>
      <c r="L452" s="278"/>
      <c r="M452" s="212"/>
    </row>
    <row r="453" spans="1:13">
      <c r="A453" s="213"/>
      <c r="B453" s="278"/>
      <c r="C453" s="278"/>
      <c r="D453" s="278"/>
      <c r="E453" s="279"/>
      <c r="F453" s="278"/>
      <c r="G453" s="278"/>
      <c r="H453" s="278"/>
      <c r="I453" s="279"/>
      <c r="J453" s="278"/>
      <c r="K453" s="278"/>
      <c r="L453" s="278"/>
      <c r="M453" s="212"/>
    </row>
    <row r="454" spans="1:13">
      <c r="A454" s="213"/>
      <c r="B454" s="278"/>
      <c r="C454" s="278"/>
      <c r="D454" s="278"/>
      <c r="E454" s="279"/>
      <c r="F454" s="278"/>
      <c r="G454" s="278"/>
      <c r="H454" s="278"/>
      <c r="I454" s="279"/>
      <c r="J454" s="278"/>
      <c r="K454" s="278"/>
      <c r="L454" s="278"/>
      <c r="M454" s="212"/>
    </row>
    <row r="455" spans="1:13">
      <c r="A455" s="213"/>
      <c r="B455" s="278"/>
      <c r="C455" s="278"/>
      <c r="D455" s="278"/>
      <c r="E455" s="279"/>
      <c r="F455" s="278"/>
      <c r="G455" s="278"/>
      <c r="H455" s="278"/>
      <c r="I455" s="279"/>
      <c r="J455" s="278"/>
      <c r="K455" s="278"/>
      <c r="L455" s="278"/>
      <c r="M455" s="212"/>
    </row>
    <row r="456" spans="1:13">
      <c r="A456" s="213"/>
      <c r="B456" s="278"/>
      <c r="C456" s="278"/>
      <c r="D456" s="278"/>
      <c r="E456" s="279"/>
      <c r="F456" s="278"/>
      <c r="G456" s="278"/>
      <c r="H456" s="278"/>
      <c r="I456" s="279"/>
      <c r="J456" s="278"/>
      <c r="K456" s="278"/>
      <c r="L456" s="278"/>
      <c r="M456" s="212"/>
    </row>
    <row r="457" spans="1:13">
      <c r="A457" s="213"/>
      <c r="B457" s="278"/>
      <c r="C457" s="278"/>
      <c r="D457" s="278"/>
      <c r="E457" s="279"/>
      <c r="F457" s="278"/>
      <c r="G457" s="278"/>
      <c r="H457" s="278"/>
      <c r="I457" s="279"/>
      <c r="J457" s="278"/>
      <c r="K457" s="278"/>
      <c r="L457" s="278"/>
      <c r="M457" s="212"/>
    </row>
    <row r="458" spans="1:13">
      <c r="A458" s="213"/>
      <c r="B458" s="278"/>
      <c r="C458" s="278"/>
      <c r="D458" s="278"/>
      <c r="E458" s="279"/>
      <c r="F458" s="278"/>
      <c r="G458" s="278"/>
      <c r="H458" s="278"/>
      <c r="I458" s="279"/>
      <c r="J458" s="278"/>
      <c r="K458" s="278"/>
      <c r="L458" s="278"/>
      <c r="M458" s="212"/>
    </row>
    <row r="459" spans="1:13">
      <c r="A459" s="213"/>
      <c r="B459" s="278"/>
      <c r="C459" s="278"/>
      <c r="D459" s="278"/>
      <c r="E459" s="279"/>
      <c r="F459" s="278"/>
      <c r="G459" s="278"/>
      <c r="H459" s="278"/>
      <c r="I459" s="279"/>
      <c r="J459" s="278"/>
      <c r="K459" s="278"/>
      <c r="L459" s="278"/>
      <c r="M459" s="212"/>
    </row>
    <row r="460" spans="1:13">
      <c r="A460" s="213"/>
      <c r="B460" s="278"/>
      <c r="C460" s="278"/>
      <c r="D460" s="278"/>
      <c r="E460" s="279"/>
      <c r="F460" s="278"/>
      <c r="G460" s="278"/>
      <c r="H460" s="278"/>
      <c r="I460" s="279"/>
      <c r="J460" s="278"/>
      <c r="K460" s="278"/>
      <c r="L460" s="278"/>
      <c r="M460" s="212"/>
    </row>
    <row r="461" spans="1:13">
      <c r="A461" s="213"/>
      <c r="B461" s="279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12"/>
    </row>
    <row r="462" spans="1:13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6"/>
      <c r="M462" s="212"/>
    </row>
    <row r="463" spans="1:13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60"/>
      <c r="M463" s="212"/>
    </row>
    <row r="464" spans="1:13" ht="12.95">
      <c r="A464" s="234"/>
      <c r="B464" s="217"/>
      <c r="C464" s="217"/>
      <c r="D464" s="217"/>
      <c r="E464" s="217"/>
      <c r="F464" s="217"/>
      <c r="G464" s="217"/>
      <c r="H464" s="217"/>
      <c r="I464" s="217"/>
      <c r="J464" s="217"/>
      <c r="K464" s="217"/>
      <c r="L464" s="212"/>
      <c r="M464" s="212"/>
    </row>
    <row r="465" spans="1:13" ht="12.95">
      <c r="A465" s="217"/>
      <c r="B465" s="367"/>
      <c r="C465" s="367"/>
      <c r="D465" s="367"/>
      <c r="E465" s="229"/>
      <c r="F465" s="367"/>
      <c r="G465" s="367"/>
      <c r="H465" s="367"/>
      <c r="I465" s="229"/>
      <c r="J465" s="367"/>
      <c r="K465" s="367"/>
      <c r="L465" s="367"/>
      <c r="M465" s="212"/>
    </row>
    <row r="466" spans="1:13" ht="12.95">
      <c r="A466" s="234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12"/>
    </row>
    <row r="467" spans="1:13" ht="12.95">
      <c r="A467" s="234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12"/>
    </row>
    <row r="468" spans="1:13">
      <c r="A468" s="213"/>
      <c r="B468" s="278"/>
      <c r="C468" s="278"/>
      <c r="D468" s="278"/>
      <c r="E468" s="279"/>
      <c r="F468" s="278"/>
      <c r="G468" s="278"/>
      <c r="H468" s="278"/>
      <c r="I468" s="279"/>
      <c r="J468" s="278"/>
      <c r="K468" s="278"/>
      <c r="L468" s="278"/>
      <c r="M468" s="212"/>
    </row>
    <row r="469" spans="1:13">
      <c r="A469" s="213"/>
      <c r="B469" s="278"/>
      <c r="C469" s="278"/>
      <c r="D469" s="278"/>
      <c r="E469" s="279"/>
      <c r="F469" s="278"/>
      <c r="G469" s="278"/>
      <c r="H469" s="278"/>
      <c r="I469" s="279"/>
      <c r="J469" s="278"/>
      <c r="K469" s="278"/>
      <c r="L469" s="278"/>
      <c r="M469" s="212"/>
    </row>
    <row r="470" spans="1:13">
      <c r="A470" s="213"/>
      <c r="B470" s="278"/>
      <c r="C470" s="278"/>
      <c r="D470" s="278"/>
      <c r="E470" s="279"/>
      <c r="F470" s="278"/>
      <c r="G470" s="278"/>
      <c r="H470" s="278"/>
      <c r="I470" s="279"/>
      <c r="J470" s="278"/>
      <c r="K470" s="278"/>
      <c r="L470" s="278"/>
      <c r="M470" s="212"/>
    </row>
    <row r="471" spans="1:13">
      <c r="A471" s="213"/>
      <c r="B471" s="278"/>
      <c r="C471" s="278"/>
      <c r="D471" s="278"/>
      <c r="E471" s="279"/>
      <c r="F471" s="278"/>
      <c r="G471" s="278"/>
      <c r="H471" s="278"/>
      <c r="I471" s="279"/>
      <c r="J471" s="278"/>
      <c r="K471" s="278"/>
      <c r="L471" s="278"/>
      <c r="M471" s="212"/>
    </row>
    <row r="472" spans="1:13">
      <c r="A472" s="213"/>
      <c r="B472" s="278"/>
      <c r="C472" s="278"/>
      <c r="D472" s="278"/>
      <c r="E472" s="279"/>
      <c r="F472" s="278"/>
      <c r="G472" s="278"/>
      <c r="H472" s="278"/>
      <c r="I472" s="279"/>
      <c r="J472" s="278"/>
      <c r="K472" s="278"/>
      <c r="L472" s="278"/>
      <c r="M472" s="212"/>
    </row>
    <row r="473" spans="1:13">
      <c r="A473" s="213"/>
      <c r="B473" s="278"/>
      <c r="C473" s="278"/>
      <c r="D473" s="278"/>
      <c r="E473" s="279"/>
      <c r="F473" s="278"/>
      <c r="G473" s="278"/>
      <c r="H473" s="278"/>
      <c r="I473" s="279"/>
      <c r="J473" s="278"/>
      <c r="K473" s="278"/>
      <c r="L473" s="278"/>
      <c r="M473" s="212"/>
    </row>
    <row r="474" spans="1:13">
      <c r="A474" s="213"/>
      <c r="B474" s="278"/>
      <c r="C474" s="278"/>
      <c r="D474" s="278"/>
      <c r="E474" s="279"/>
      <c r="F474" s="278"/>
      <c r="G474" s="278"/>
      <c r="H474" s="278"/>
      <c r="I474" s="279"/>
      <c r="J474" s="278"/>
      <c r="K474" s="278"/>
      <c r="L474" s="278"/>
      <c r="M474" s="212"/>
    </row>
    <row r="475" spans="1:13">
      <c r="A475" s="213"/>
      <c r="B475" s="278"/>
      <c r="C475" s="278"/>
      <c r="D475" s="278"/>
      <c r="E475" s="279"/>
      <c r="F475" s="278"/>
      <c r="G475" s="278"/>
      <c r="H475" s="278"/>
      <c r="I475" s="279"/>
      <c r="J475" s="278"/>
      <c r="K475" s="278"/>
      <c r="L475" s="278"/>
      <c r="M475" s="212"/>
    </row>
    <row r="476" spans="1:13">
      <c r="A476" s="213"/>
      <c r="B476" s="278"/>
      <c r="C476" s="278"/>
      <c r="D476" s="278"/>
      <c r="E476" s="279"/>
      <c r="F476" s="278"/>
      <c r="G476" s="278"/>
      <c r="H476" s="278"/>
      <c r="I476" s="279"/>
      <c r="J476" s="278"/>
      <c r="K476" s="278"/>
      <c r="L476" s="278"/>
      <c r="M476" s="212"/>
    </row>
    <row r="477" spans="1:13">
      <c r="A477" s="213"/>
      <c r="B477" s="278"/>
      <c r="C477" s="278"/>
      <c r="D477" s="278"/>
      <c r="E477" s="279"/>
      <c r="F477" s="278"/>
      <c r="G477" s="278"/>
      <c r="H477" s="278"/>
      <c r="I477" s="279"/>
      <c r="J477" s="278"/>
      <c r="K477" s="278"/>
      <c r="L477" s="278"/>
      <c r="M477" s="212"/>
    </row>
    <row r="478" spans="1:13">
      <c r="A478" s="213"/>
      <c r="B478" s="279"/>
      <c r="C478" s="279"/>
      <c r="D478" s="279"/>
      <c r="E478" s="279"/>
      <c r="F478" s="279"/>
      <c r="G478" s="279"/>
      <c r="H478" s="279"/>
      <c r="I478" s="279"/>
      <c r="J478" s="279"/>
      <c r="K478" s="279"/>
      <c r="L478" s="279"/>
      <c r="M478" s="212"/>
    </row>
    <row r="479" spans="1:13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6"/>
      <c r="M479" s="212"/>
    </row>
    <row r="480" spans="1:13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60"/>
      <c r="M480" s="212"/>
    </row>
    <row r="481" spans="1:13" ht="12.95">
      <c r="A481" s="234"/>
      <c r="B481" s="217"/>
      <c r="C481" s="217"/>
      <c r="D481" s="217"/>
      <c r="E481" s="217"/>
      <c r="F481" s="217"/>
      <c r="G481" s="217"/>
      <c r="H481" s="217"/>
      <c r="I481" s="217"/>
      <c r="J481" s="217"/>
      <c r="K481" s="217"/>
      <c r="L481" s="212"/>
      <c r="M481" s="212"/>
    </row>
    <row r="482" spans="1:13" ht="12.95">
      <c r="A482" s="217"/>
      <c r="B482" s="367"/>
      <c r="C482" s="367"/>
      <c r="D482" s="367"/>
      <c r="E482" s="229"/>
      <c r="F482" s="367"/>
      <c r="G482" s="367"/>
      <c r="H482" s="367"/>
      <c r="I482" s="229"/>
      <c r="J482" s="367"/>
      <c r="K482" s="367"/>
      <c r="L482" s="367"/>
      <c r="M482" s="212"/>
    </row>
    <row r="483" spans="1:13" ht="12.95">
      <c r="A483" s="234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12"/>
    </row>
    <row r="484" spans="1:13" ht="12.95">
      <c r="A484" s="234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12"/>
    </row>
    <row r="485" spans="1:13">
      <c r="A485" s="213"/>
      <c r="B485" s="278"/>
      <c r="C485" s="278"/>
      <c r="D485" s="278"/>
      <c r="E485" s="279"/>
      <c r="F485" s="278"/>
      <c r="G485" s="278"/>
      <c r="H485" s="278"/>
      <c r="I485" s="279"/>
      <c r="J485" s="278"/>
      <c r="K485" s="278"/>
      <c r="L485" s="278"/>
      <c r="M485" s="212"/>
    </row>
    <row r="486" spans="1:13">
      <c r="A486" s="213"/>
      <c r="B486" s="278"/>
      <c r="C486" s="278"/>
      <c r="D486" s="278"/>
      <c r="E486" s="279"/>
      <c r="F486" s="278"/>
      <c r="G486" s="278"/>
      <c r="H486" s="278"/>
      <c r="I486" s="279"/>
      <c r="J486" s="278"/>
      <c r="K486" s="278"/>
      <c r="L486" s="278"/>
      <c r="M486" s="212"/>
    </row>
    <row r="487" spans="1:13">
      <c r="A487" s="213"/>
      <c r="B487" s="278"/>
      <c r="C487" s="278"/>
      <c r="D487" s="278"/>
      <c r="E487" s="279"/>
      <c r="F487" s="278"/>
      <c r="G487" s="278"/>
      <c r="H487" s="278"/>
      <c r="I487" s="279"/>
      <c r="J487" s="278"/>
      <c r="K487" s="278"/>
      <c r="L487" s="278"/>
      <c r="M487" s="212"/>
    </row>
    <row r="488" spans="1:13">
      <c r="A488" s="213"/>
      <c r="B488" s="278"/>
      <c r="C488" s="278"/>
      <c r="D488" s="278"/>
      <c r="E488" s="279"/>
      <c r="F488" s="278"/>
      <c r="G488" s="278"/>
      <c r="H488" s="278"/>
      <c r="I488" s="279"/>
      <c r="J488" s="278"/>
      <c r="K488" s="278"/>
      <c r="L488" s="278"/>
      <c r="M488" s="212"/>
    </row>
    <row r="489" spans="1:13">
      <c r="A489" s="213"/>
      <c r="B489" s="278"/>
      <c r="C489" s="278"/>
      <c r="D489" s="278"/>
      <c r="E489" s="279"/>
      <c r="F489" s="278"/>
      <c r="G489" s="278"/>
      <c r="H489" s="278"/>
      <c r="I489" s="279"/>
      <c r="J489" s="278"/>
      <c r="K489" s="278"/>
      <c r="L489" s="278"/>
      <c r="M489" s="212"/>
    </row>
    <row r="490" spans="1:13">
      <c r="A490" s="213"/>
      <c r="B490" s="278"/>
      <c r="C490" s="278"/>
      <c r="D490" s="278"/>
      <c r="E490" s="279"/>
      <c r="F490" s="278"/>
      <c r="G490" s="278"/>
      <c r="H490" s="278"/>
      <c r="I490" s="279"/>
      <c r="J490" s="278"/>
      <c r="K490" s="278"/>
      <c r="L490" s="278"/>
      <c r="M490" s="212"/>
    </row>
    <row r="491" spans="1:13">
      <c r="A491" s="213"/>
      <c r="B491" s="278"/>
      <c r="C491" s="278"/>
      <c r="D491" s="278"/>
      <c r="E491" s="279"/>
      <c r="F491" s="278"/>
      <c r="G491" s="278"/>
      <c r="H491" s="278"/>
      <c r="I491" s="279"/>
      <c r="J491" s="278"/>
      <c r="K491" s="278"/>
      <c r="L491" s="278"/>
      <c r="M491" s="212"/>
    </row>
    <row r="492" spans="1:13">
      <c r="A492" s="213"/>
      <c r="B492" s="278"/>
      <c r="C492" s="278"/>
      <c r="D492" s="278"/>
      <c r="E492" s="279"/>
      <c r="F492" s="278"/>
      <c r="G492" s="278"/>
      <c r="H492" s="278"/>
      <c r="I492" s="279"/>
      <c r="J492" s="278"/>
      <c r="K492" s="278"/>
      <c r="L492" s="278"/>
      <c r="M492" s="212"/>
    </row>
    <row r="493" spans="1:13">
      <c r="A493" s="213"/>
      <c r="B493" s="278"/>
      <c r="C493" s="278"/>
      <c r="D493" s="278"/>
      <c r="E493" s="279"/>
      <c r="F493" s="278"/>
      <c r="G493" s="278"/>
      <c r="H493" s="278"/>
      <c r="I493" s="279"/>
      <c r="J493" s="278"/>
      <c r="K493" s="278"/>
      <c r="L493" s="278"/>
      <c r="M493" s="212"/>
    </row>
    <row r="494" spans="1:13">
      <c r="A494" s="213"/>
      <c r="B494" s="278"/>
      <c r="C494" s="278"/>
      <c r="D494" s="278"/>
      <c r="E494" s="279"/>
      <c r="F494" s="278"/>
      <c r="G494" s="278"/>
      <c r="H494" s="278"/>
      <c r="I494" s="279"/>
      <c r="J494" s="278"/>
      <c r="K494" s="278"/>
      <c r="L494" s="278"/>
      <c r="M494" s="212"/>
    </row>
    <row r="495" spans="1:13">
      <c r="A495" s="213"/>
      <c r="B495" s="279"/>
      <c r="C495" s="279"/>
      <c r="D495" s="279"/>
      <c r="E495" s="279"/>
      <c r="F495" s="279"/>
      <c r="G495" s="279"/>
      <c r="H495" s="279"/>
      <c r="I495" s="279"/>
      <c r="J495" s="279"/>
      <c r="K495" s="279"/>
      <c r="L495" s="279"/>
      <c r="M495" s="212"/>
    </row>
    <row r="496" spans="1:13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6"/>
      <c r="M496" s="212"/>
    </row>
    <row r="497" spans="1:13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60"/>
      <c r="M497" s="212"/>
    </row>
    <row r="498" spans="1:13" ht="12.95">
      <c r="A498" s="234"/>
      <c r="B498" s="217"/>
      <c r="C498" s="217"/>
      <c r="D498" s="217"/>
      <c r="E498" s="217"/>
      <c r="F498" s="217"/>
      <c r="G498" s="217"/>
      <c r="H498" s="217"/>
      <c r="I498" s="217"/>
      <c r="J498" s="217"/>
      <c r="K498" s="217"/>
      <c r="L498" s="212"/>
      <c r="M498" s="212"/>
    </row>
    <row r="499" spans="1:13" ht="12.95">
      <c r="A499" s="217"/>
      <c r="B499" s="367"/>
      <c r="C499" s="367"/>
      <c r="D499" s="367"/>
      <c r="E499" s="229"/>
      <c r="F499" s="367"/>
      <c r="G499" s="367"/>
      <c r="H499" s="367"/>
      <c r="I499" s="229"/>
      <c r="J499" s="367"/>
      <c r="K499" s="367"/>
      <c r="L499" s="367"/>
      <c r="M499" s="212"/>
    </row>
    <row r="500" spans="1:13" ht="12.95">
      <c r="A500" s="234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12"/>
    </row>
    <row r="501" spans="1:13" ht="12.95">
      <c r="A501" s="234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12"/>
    </row>
    <row r="502" spans="1:13">
      <c r="A502" s="213"/>
      <c r="B502" s="278"/>
      <c r="C502" s="278"/>
      <c r="D502" s="278"/>
      <c r="E502" s="279"/>
      <c r="F502" s="278"/>
      <c r="G502" s="278"/>
      <c r="H502" s="278"/>
      <c r="I502" s="279"/>
      <c r="J502" s="278"/>
      <c r="K502" s="278"/>
      <c r="L502" s="278"/>
      <c r="M502" s="212"/>
    </row>
    <row r="503" spans="1:13">
      <c r="A503" s="213"/>
      <c r="B503" s="278"/>
      <c r="C503" s="278"/>
      <c r="D503" s="278"/>
      <c r="E503" s="279"/>
      <c r="F503" s="278"/>
      <c r="G503" s="278"/>
      <c r="H503" s="278"/>
      <c r="I503" s="279"/>
      <c r="J503" s="278"/>
      <c r="K503" s="278"/>
      <c r="L503" s="278"/>
      <c r="M503" s="212"/>
    </row>
    <row r="504" spans="1:13">
      <c r="A504" s="213"/>
      <c r="B504" s="278"/>
      <c r="C504" s="278"/>
      <c r="D504" s="278"/>
      <c r="E504" s="279"/>
      <c r="F504" s="278"/>
      <c r="G504" s="278"/>
      <c r="H504" s="278"/>
      <c r="I504" s="279"/>
      <c r="J504" s="278"/>
      <c r="K504" s="278"/>
      <c r="L504" s="278"/>
      <c r="M504" s="212"/>
    </row>
    <row r="505" spans="1:13">
      <c r="A505" s="213"/>
      <c r="B505" s="278"/>
      <c r="C505" s="278"/>
      <c r="D505" s="278"/>
      <c r="E505" s="279"/>
      <c r="F505" s="278"/>
      <c r="G505" s="278"/>
      <c r="H505" s="278"/>
      <c r="I505" s="279"/>
      <c r="J505" s="278"/>
      <c r="K505" s="278"/>
      <c r="L505" s="278"/>
      <c r="M505" s="212"/>
    </row>
    <row r="506" spans="1:13">
      <c r="A506" s="213"/>
      <c r="B506" s="278"/>
      <c r="C506" s="278"/>
      <c r="D506" s="278"/>
      <c r="E506" s="279"/>
      <c r="F506" s="278"/>
      <c r="G506" s="278"/>
      <c r="H506" s="278"/>
      <c r="I506" s="279"/>
      <c r="J506" s="278"/>
      <c r="K506" s="278"/>
      <c r="L506" s="278"/>
      <c r="M506" s="212"/>
    </row>
    <row r="507" spans="1:13">
      <c r="A507" s="213"/>
      <c r="B507" s="278"/>
      <c r="C507" s="278"/>
      <c r="D507" s="278"/>
      <c r="E507" s="279"/>
      <c r="F507" s="278"/>
      <c r="G507" s="278"/>
      <c r="H507" s="278"/>
      <c r="I507" s="279"/>
      <c r="J507" s="278"/>
      <c r="K507" s="278"/>
      <c r="L507" s="278"/>
      <c r="M507" s="212"/>
    </row>
    <row r="508" spans="1:13">
      <c r="A508" s="213"/>
      <c r="B508" s="278"/>
      <c r="C508" s="278"/>
      <c r="D508" s="278"/>
      <c r="E508" s="279"/>
      <c r="F508" s="278"/>
      <c r="G508" s="278"/>
      <c r="H508" s="278"/>
      <c r="I508" s="279"/>
      <c r="J508" s="278"/>
      <c r="K508" s="278"/>
      <c r="L508" s="278"/>
      <c r="M508" s="212"/>
    </row>
    <row r="509" spans="1:13">
      <c r="A509" s="213"/>
      <c r="B509" s="278"/>
      <c r="C509" s="278"/>
      <c r="D509" s="278"/>
      <c r="E509" s="279"/>
      <c r="F509" s="278"/>
      <c r="G509" s="278"/>
      <c r="H509" s="278"/>
      <c r="I509" s="279"/>
      <c r="J509" s="278"/>
      <c r="K509" s="278"/>
      <c r="L509" s="278"/>
      <c r="M509" s="212"/>
    </row>
    <row r="510" spans="1:13">
      <c r="A510" s="213"/>
      <c r="B510" s="278"/>
      <c r="C510" s="278"/>
      <c r="D510" s="278"/>
      <c r="E510" s="279"/>
      <c r="F510" s="278"/>
      <c r="G510" s="278"/>
      <c r="H510" s="278"/>
      <c r="I510" s="279"/>
      <c r="J510" s="278"/>
      <c r="K510" s="278"/>
      <c r="L510" s="278"/>
      <c r="M510" s="212"/>
    </row>
    <row r="511" spans="1:13">
      <c r="A511" s="213"/>
      <c r="B511" s="278"/>
      <c r="C511" s="278"/>
      <c r="D511" s="278"/>
      <c r="E511" s="279"/>
      <c r="F511" s="278"/>
      <c r="G511" s="278"/>
      <c r="H511" s="278"/>
      <c r="I511" s="279"/>
      <c r="J511" s="278"/>
      <c r="K511" s="278"/>
      <c r="L511" s="278"/>
      <c r="M511" s="212"/>
    </row>
    <row r="512" spans="1:13">
      <c r="A512" s="213"/>
      <c r="B512" s="279"/>
      <c r="C512" s="279"/>
      <c r="D512" s="279"/>
      <c r="E512" s="279"/>
      <c r="F512" s="279"/>
      <c r="G512" s="279"/>
      <c r="H512" s="279"/>
      <c r="I512" s="279"/>
      <c r="J512" s="279"/>
      <c r="K512" s="279"/>
      <c r="L512" s="279"/>
      <c r="M512" s="212"/>
    </row>
    <row r="513" spans="1:13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6"/>
      <c r="M513" s="212"/>
    </row>
    <row r="514" spans="1:13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60"/>
      <c r="M514" s="212"/>
    </row>
    <row r="515" spans="1:13" ht="12.95">
      <c r="A515" s="234"/>
      <c r="B515" s="217"/>
      <c r="C515" s="217"/>
      <c r="D515" s="217"/>
      <c r="E515" s="217"/>
      <c r="F515" s="217"/>
      <c r="G515" s="217"/>
      <c r="H515" s="217"/>
      <c r="I515" s="217"/>
      <c r="J515" s="217"/>
      <c r="K515" s="217"/>
      <c r="L515" s="212"/>
      <c r="M515" s="212"/>
    </row>
    <row r="516" spans="1:13" ht="12.95">
      <c r="A516" s="217"/>
      <c r="B516" s="367"/>
      <c r="C516" s="367"/>
      <c r="D516" s="367"/>
      <c r="E516" s="229"/>
      <c r="F516" s="367"/>
      <c r="G516" s="367"/>
      <c r="H516" s="367"/>
      <c r="I516" s="229"/>
      <c r="J516" s="367"/>
      <c r="K516" s="367"/>
      <c r="L516" s="367"/>
      <c r="M516" s="212"/>
    </row>
    <row r="517" spans="1:13" ht="12.95">
      <c r="A517" s="234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12"/>
    </row>
    <row r="518" spans="1:13" ht="12.95">
      <c r="A518" s="234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12"/>
    </row>
    <row r="519" spans="1:13">
      <c r="A519" s="213"/>
      <c r="B519" s="278"/>
      <c r="C519" s="278"/>
      <c r="D519" s="278"/>
      <c r="E519" s="279"/>
      <c r="F519" s="278"/>
      <c r="G519" s="278"/>
      <c r="H519" s="278"/>
      <c r="I519" s="279"/>
      <c r="J519" s="278"/>
      <c r="K519" s="278"/>
      <c r="L519" s="278"/>
      <c r="M519" s="212"/>
    </row>
    <row r="520" spans="1:13">
      <c r="A520" s="213"/>
      <c r="B520" s="278"/>
      <c r="C520" s="278"/>
      <c r="D520" s="278"/>
      <c r="E520" s="279"/>
      <c r="F520" s="278"/>
      <c r="G520" s="278"/>
      <c r="H520" s="278"/>
      <c r="I520" s="279"/>
      <c r="J520" s="278"/>
      <c r="K520" s="278"/>
      <c r="L520" s="278"/>
      <c r="M520" s="212"/>
    </row>
    <row r="521" spans="1:13">
      <c r="A521" s="213"/>
      <c r="B521" s="278"/>
      <c r="C521" s="278"/>
      <c r="D521" s="278"/>
      <c r="E521" s="279"/>
      <c r="F521" s="278"/>
      <c r="G521" s="278"/>
      <c r="H521" s="278"/>
      <c r="I521" s="279"/>
      <c r="J521" s="278"/>
      <c r="K521" s="278"/>
      <c r="L521" s="278"/>
      <c r="M521" s="212"/>
    </row>
    <row r="522" spans="1:13">
      <c r="A522" s="213"/>
      <c r="B522" s="278"/>
      <c r="C522" s="278"/>
      <c r="D522" s="278"/>
      <c r="E522" s="279"/>
      <c r="F522" s="278"/>
      <c r="G522" s="278"/>
      <c r="H522" s="278"/>
      <c r="I522" s="279"/>
      <c r="J522" s="278"/>
      <c r="K522" s="278"/>
      <c r="L522" s="278"/>
      <c r="M522" s="212"/>
    </row>
    <row r="523" spans="1:13">
      <c r="A523" s="213"/>
      <c r="B523" s="278"/>
      <c r="C523" s="278"/>
      <c r="D523" s="278"/>
      <c r="E523" s="279"/>
      <c r="F523" s="278"/>
      <c r="G523" s="278"/>
      <c r="H523" s="278"/>
      <c r="I523" s="279"/>
      <c r="J523" s="278"/>
      <c r="K523" s="278"/>
      <c r="L523" s="278"/>
      <c r="M523" s="212"/>
    </row>
    <row r="524" spans="1:13">
      <c r="A524" s="213"/>
      <c r="B524" s="278"/>
      <c r="C524" s="278"/>
      <c r="D524" s="278"/>
      <c r="E524" s="279"/>
      <c r="F524" s="278"/>
      <c r="G524" s="278"/>
      <c r="H524" s="278"/>
      <c r="I524" s="279"/>
      <c r="J524" s="278"/>
      <c r="K524" s="278"/>
      <c r="L524" s="278"/>
      <c r="M524" s="212"/>
    </row>
    <row r="525" spans="1:13">
      <c r="A525" s="213"/>
      <c r="B525" s="278"/>
      <c r="C525" s="278"/>
      <c r="D525" s="278"/>
      <c r="E525" s="279"/>
      <c r="F525" s="278"/>
      <c r="G525" s="278"/>
      <c r="H525" s="278"/>
      <c r="I525" s="279"/>
      <c r="J525" s="278"/>
      <c r="K525" s="278"/>
      <c r="L525" s="278"/>
      <c r="M525" s="212"/>
    </row>
    <row r="526" spans="1:13">
      <c r="A526" s="213"/>
      <c r="B526" s="278"/>
      <c r="C526" s="278"/>
      <c r="D526" s="278"/>
      <c r="E526" s="279"/>
      <c r="F526" s="278"/>
      <c r="G526" s="278"/>
      <c r="H526" s="278"/>
      <c r="I526" s="279"/>
      <c r="J526" s="278"/>
      <c r="K526" s="278"/>
      <c r="L526" s="278"/>
      <c r="M526" s="212"/>
    </row>
    <row r="527" spans="1:13">
      <c r="A527" s="213"/>
      <c r="B527" s="278"/>
      <c r="C527" s="278"/>
      <c r="D527" s="278"/>
      <c r="E527" s="279"/>
      <c r="F527" s="278"/>
      <c r="G527" s="278"/>
      <c r="H527" s="278"/>
      <c r="I527" s="279"/>
      <c r="J527" s="278"/>
      <c r="K527" s="278"/>
      <c r="L527" s="278"/>
      <c r="M527" s="212"/>
    </row>
    <row r="528" spans="1:13">
      <c r="A528" s="213"/>
      <c r="B528" s="278"/>
      <c r="C528" s="278"/>
      <c r="D528" s="278"/>
      <c r="E528" s="279"/>
      <c r="F528" s="278"/>
      <c r="G528" s="278"/>
      <c r="H528" s="278"/>
      <c r="I528" s="279"/>
      <c r="J528" s="278"/>
      <c r="K528" s="278"/>
      <c r="L528" s="278"/>
      <c r="M528" s="212"/>
    </row>
    <row r="529" spans="1:13">
      <c r="A529" s="213"/>
      <c r="B529" s="279"/>
      <c r="C529" s="279"/>
      <c r="D529" s="279"/>
      <c r="E529" s="279"/>
      <c r="F529" s="279"/>
      <c r="G529" s="279"/>
      <c r="H529" s="279"/>
      <c r="I529" s="279"/>
      <c r="J529" s="279"/>
      <c r="K529" s="279"/>
      <c r="L529" s="279"/>
      <c r="M529" s="212"/>
    </row>
    <row r="530" spans="1:13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6"/>
      <c r="M530" s="212"/>
    </row>
    <row r="531" spans="1:13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60"/>
      <c r="M531" s="212"/>
    </row>
    <row r="532" spans="1:13" ht="12.95">
      <c r="A532" s="234"/>
      <c r="B532" s="217"/>
      <c r="C532" s="217"/>
      <c r="D532" s="217"/>
      <c r="E532" s="217"/>
      <c r="F532" s="217"/>
      <c r="G532" s="217"/>
      <c r="H532" s="217"/>
      <c r="I532" s="217"/>
      <c r="J532" s="217"/>
      <c r="K532" s="217"/>
      <c r="L532" s="212"/>
      <c r="M532" s="212"/>
    </row>
    <row r="533" spans="1:13" ht="12.95">
      <c r="A533" s="217"/>
      <c r="B533" s="367"/>
      <c r="C533" s="367"/>
      <c r="D533" s="367"/>
      <c r="E533" s="229"/>
      <c r="F533" s="367"/>
      <c r="G533" s="367"/>
      <c r="H533" s="367"/>
      <c r="I533" s="229"/>
      <c r="J533" s="367"/>
      <c r="K533" s="367"/>
      <c r="L533" s="367"/>
      <c r="M533" s="212"/>
    </row>
    <row r="534" spans="1:13" ht="12.95">
      <c r="A534" s="234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12"/>
    </row>
    <row r="535" spans="1:13" ht="12.95">
      <c r="A535" s="234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12"/>
    </row>
    <row r="536" spans="1:13">
      <c r="A536" s="213"/>
      <c r="B536" s="278"/>
      <c r="C536" s="278"/>
      <c r="D536" s="278"/>
      <c r="E536" s="279"/>
      <c r="F536" s="278"/>
      <c r="G536" s="278"/>
      <c r="H536" s="278"/>
      <c r="I536" s="279"/>
      <c r="J536" s="278"/>
      <c r="K536" s="278"/>
      <c r="L536" s="278"/>
      <c r="M536" s="212"/>
    </row>
    <row r="537" spans="1:13">
      <c r="A537" s="213"/>
      <c r="B537" s="278"/>
      <c r="C537" s="278"/>
      <c r="D537" s="278"/>
      <c r="E537" s="279"/>
      <c r="F537" s="278"/>
      <c r="G537" s="278"/>
      <c r="H537" s="278"/>
      <c r="I537" s="279"/>
      <c r="J537" s="278"/>
      <c r="K537" s="278"/>
      <c r="L537" s="278"/>
      <c r="M537" s="212"/>
    </row>
    <row r="538" spans="1:13">
      <c r="A538" s="213"/>
      <c r="B538" s="278"/>
      <c r="C538" s="278"/>
      <c r="D538" s="278"/>
      <c r="E538" s="279"/>
      <c r="F538" s="278"/>
      <c r="G538" s="278"/>
      <c r="H538" s="278"/>
      <c r="I538" s="279"/>
      <c r="J538" s="278"/>
      <c r="K538" s="278"/>
      <c r="L538" s="278"/>
      <c r="M538" s="212"/>
    </row>
    <row r="539" spans="1:13">
      <c r="A539" s="213"/>
      <c r="B539" s="278"/>
      <c r="C539" s="278"/>
      <c r="D539" s="278"/>
      <c r="E539" s="279"/>
      <c r="F539" s="278"/>
      <c r="G539" s="278"/>
      <c r="H539" s="278"/>
      <c r="I539" s="279"/>
      <c r="J539" s="278"/>
      <c r="K539" s="278"/>
      <c r="L539" s="278"/>
      <c r="M539" s="212"/>
    </row>
    <row r="540" spans="1:13">
      <c r="A540" s="213"/>
      <c r="B540" s="278"/>
      <c r="C540" s="278"/>
      <c r="D540" s="278"/>
      <c r="E540" s="279"/>
      <c r="F540" s="278"/>
      <c r="G540" s="278"/>
      <c r="H540" s="278"/>
      <c r="I540" s="279"/>
      <c r="J540" s="278"/>
      <c r="K540" s="278"/>
      <c r="L540" s="278"/>
      <c r="M540" s="212"/>
    </row>
    <row r="541" spans="1:13">
      <c r="A541" s="213"/>
      <c r="B541" s="278"/>
      <c r="C541" s="278"/>
      <c r="D541" s="278"/>
      <c r="E541" s="279"/>
      <c r="F541" s="278"/>
      <c r="G541" s="278"/>
      <c r="H541" s="278"/>
      <c r="I541" s="279"/>
      <c r="J541" s="278"/>
      <c r="K541" s="278"/>
      <c r="L541" s="278"/>
      <c r="M541" s="212"/>
    </row>
    <row r="542" spans="1:13">
      <c r="A542" s="213"/>
      <c r="B542" s="278"/>
      <c r="C542" s="278"/>
      <c r="D542" s="278"/>
      <c r="E542" s="279"/>
      <c r="F542" s="278"/>
      <c r="G542" s="278"/>
      <c r="H542" s="278"/>
      <c r="I542" s="279"/>
      <c r="J542" s="278"/>
      <c r="K542" s="278"/>
      <c r="L542" s="278"/>
      <c r="M542" s="212"/>
    </row>
    <row r="543" spans="1:13">
      <c r="A543" s="213"/>
      <c r="B543" s="278"/>
      <c r="C543" s="278"/>
      <c r="D543" s="278"/>
      <c r="E543" s="279"/>
      <c r="F543" s="278"/>
      <c r="G543" s="278"/>
      <c r="H543" s="278"/>
      <c r="I543" s="279"/>
      <c r="J543" s="278"/>
      <c r="K543" s="278"/>
      <c r="L543" s="278"/>
      <c r="M543" s="212"/>
    </row>
    <row r="544" spans="1:13">
      <c r="A544" s="213"/>
      <c r="B544" s="278"/>
      <c r="C544" s="278"/>
      <c r="D544" s="278"/>
      <c r="E544" s="279"/>
      <c r="F544" s="278"/>
      <c r="G544" s="278"/>
      <c r="H544" s="278"/>
      <c r="I544" s="279"/>
      <c r="J544" s="278"/>
      <c r="K544" s="278"/>
      <c r="L544" s="278"/>
      <c r="M544" s="212"/>
    </row>
    <row r="545" spans="1:13">
      <c r="A545" s="213"/>
      <c r="B545" s="278"/>
      <c r="C545" s="278"/>
      <c r="D545" s="278"/>
      <c r="E545" s="279"/>
      <c r="F545" s="278"/>
      <c r="G545" s="278"/>
      <c r="H545" s="278"/>
      <c r="I545" s="279"/>
      <c r="J545" s="278"/>
      <c r="K545" s="278"/>
      <c r="L545" s="278"/>
      <c r="M545" s="212"/>
    </row>
    <row r="546" spans="1:13">
      <c r="A546" s="213"/>
      <c r="B546" s="279"/>
      <c r="C546" s="279"/>
      <c r="D546" s="279"/>
      <c r="E546" s="279"/>
      <c r="F546" s="279"/>
      <c r="G546" s="279"/>
      <c r="H546" s="279"/>
      <c r="I546" s="279"/>
      <c r="J546" s="279"/>
      <c r="K546" s="279"/>
      <c r="L546" s="279"/>
      <c r="M546" s="212"/>
    </row>
    <row r="547" spans="1:13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6"/>
      <c r="M547" s="212"/>
    </row>
    <row r="548" spans="1:13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60"/>
      <c r="M548" s="212"/>
    </row>
    <row r="549" spans="1:13" ht="12.95">
      <c r="A549" s="234"/>
      <c r="B549" s="217"/>
      <c r="C549" s="217"/>
      <c r="D549" s="217"/>
      <c r="E549" s="217"/>
      <c r="F549" s="217"/>
      <c r="G549" s="217"/>
      <c r="H549" s="217"/>
      <c r="I549" s="217"/>
      <c r="J549" s="217"/>
      <c r="K549" s="217"/>
      <c r="L549" s="212"/>
      <c r="M549" s="212"/>
    </row>
    <row r="550" spans="1:13" ht="12.95">
      <c r="A550" s="217"/>
      <c r="B550" s="367"/>
      <c r="C550" s="367"/>
      <c r="D550" s="367"/>
      <c r="E550" s="229"/>
      <c r="F550" s="367"/>
      <c r="G550" s="367"/>
      <c r="H550" s="367"/>
      <c r="I550" s="229"/>
      <c r="J550" s="367"/>
      <c r="K550" s="367"/>
      <c r="L550" s="367"/>
      <c r="M550" s="212"/>
    </row>
    <row r="551" spans="1:13" ht="12.95">
      <c r="A551" s="234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12"/>
    </row>
    <row r="552" spans="1:13" ht="12.95">
      <c r="A552" s="234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12"/>
    </row>
    <row r="553" spans="1:13">
      <c r="A553" s="213"/>
      <c r="B553" s="278"/>
      <c r="C553" s="278"/>
      <c r="D553" s="278"/>
      <c r="E553" s="279"/>
      <c r="F553" s="278"/>
      <c r="G553" s="278"/>
      <c r="H553" s="278"/>
      <c r="I553" s="279"/>
      <c r="J553" s="278"/>
      <c r="K553" s="278"/>
      <c r="L553" s="278"/>
      <c r="M553" s="212"/>
    </row>
    <row r="554" spans="1:13">
      <c r="A554" s="213"/>
      <c r="B554" s="278"/>
      <c r="C554" s="278"/>
      <c r="D554" s="278"/>
      <c r="E554" s="279"/>
      <c r="F554" s="278"/>
      <c r="G554" s="278"/>
      <c r="H554" s="278"/>
      <c r="I554" s="279"/>
      <c r="J554" s="278"/>
      <c r="K554" s="278"/>
      <c r="L554" s="278"/>
      <c r="M554" s="212"/>
    </row>
    <row r="555" spans="1:13">
      <c r="A555" s="213"/>
      <c r="B555" s="278"/>
      <c r="C555" s="278"/>
      <c r="D555" s="278"/>
      <c r="E555" s="279"/>
      <c r="F555" s="278"/>
      <c r="G555" s="278"/>
      <c r="H555" s="278"/>
      <c r="I555" s="279"/>
      <c r="J555" s="278"/>
      <c r="K555" s="278"/>
      <c r="L555" s="278"/>
      <c r="M555" s="212"/>
    </row>
    <row r="556" spans="1:13">
      <c r="A556" s="213"/>
      <c r="B556" s="278"/>
      <c r="C556" s="278"/>
      <c r="D556" s="278"/>
      <c r="E556" s="279"/>
      <c r="F556" s="278"/>
      <c r="G556" s="278"/>
      <c r="H556" s="278"/>
      <c r="I556" s="279"/>
      <c r="J556" s="278"/>
      <c r="K556" s="278"/>
      <c r="L556" s="278"/>
      <c r="M556" s="212"/>
    </row>
    <row r="557" spans="1:13">
      <c r="A557" s="213"/>
      <c r="B557" s="278"/>
      <c r="C557" s="278"/>
      <c r="D557" s="278"/>
      <c r="E557" s="279"/>
      <c r="F557" s="278"/>
      <c r="G557" s="278"/>
      <c r="H557" s="278"/>
      <c r="I557" s="279"/>
      <c r="J557" s="278"/>
      <c r="K557" s="278"/>
      <c r="L557" s="278"/>
      <c r="M557" s="212"/>
    </row>
    <row r="558" spans="1:13">
      <c r="A558" s="213"/>
      <c r="B558" s="278"/>
      <c r="C558" s="278"/>
      <c r="D558" s="278"/>
      <c r="E558" s="279"/>
      <c r="F558" s="278"/>
      <c r="G558" s="278"/>
      <c r="H558" s="278"/>
      <c r="I558" s="279"/>
      <c r="J558" s="278"/>
      <c r="K558" s="278"/>
      <c r="L558" s="278"/>
      <c r="M558" s="212"/>
    </row>
    <row r="559" spans="1:13">
      <c r="A559" s="213"/>
      <c r="B559" s="278"/>
      <c r="C559" s="278"/>
      <c r="D559" s="278"/>
      <c r="E559" s="279"/>
      <c r="F559" s="278"/>
      <c r="G559" s="278"/>
      <c r="H559" s="278"/>
      <c r="I559" s="279"/>
      <c r="J559" s="278"/>
      <c r="K559" s="278"/>
      <c r="L559" s="278"/>
      <c r="M559" s="212"/>
    </row>
    <row r="560" spans="1:13">
      <c r="A560" s="213"/>
      <c r="B560" s="278"/>
      <c r="C560" s="278"/>
      <c r="D560" s="278"/>
      <c r="E560" s="279"/>
      <c r="F560" s="278"/>
      <c r="G560" s="278"/>
      <c r="H560" s="278"/>
      <c r="I560" s="279"/>
      <c r="J560" s="278"/>
      <c r="K560" s="278"/>
      <c r="L560" s="278"/>
      <c r="M560" s="212"/>
    </row>
    <row r="561" spans="1:13">
      <c r="A561" s="213"/>
      <c r="B561" s="278"/>
      <c r="C561" s="278"/>
      <c r="D561" s="278"/>
      <c r="E561" s="279"/>
      <c r="F561" s="278"/>
      <c r="G561" s="278"/>
      <c r="H561" s="278"/>
      <c r="I561" s="279"/>
      <c r="J561" s="278"/>
      <c r="K561" s="278"/>
      <c r="L561" s="278"/>
      <c r="M561" s="212"/>
    </row>
    <row r="562" spans="1:13">
      <c r="A562" s="213"/>
      <c r="B562" s="278"/>
      <c r="C562" s="278"/>
      <c r="D562" s="278"/>
      <c r="E562" s="279"/>
      <c r="F562" s="278"/>
      <c r="G562" s="278"/>
      <c r="H562" s="278"/>
      <c r="I562" s="279"/>
      <c r="J562" s="278"/>
      <c r="K562" s="278"/>
      <c r="L562" s="278"/>
      <c r="M562" s="212"/>
    </row>
    <row r="563" spans="1:13">
      <c r="A563" s="213"/>
      <c r="B563" s="279"/>
      <c r="C563" s="279"/>
      <c r="D563" s="279"/>
      <c r="E563" s="279"/>
      <c r="F563" s="279"/>
      <c r="G563" s="279"/>
      <c r="H563" s="279"/>
      <c r="I563" s="279"/>
      <c r="J563" s="279"/>
      <c r="K563" s="279"/>
      <c r="L563" s="279"/>
      <c r="M563" s="212"/>
    </row>
    <row r="564" spans="1:13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6"/>
      <c r="M564" s="212"/>
    </row>
    <row r="565" spans="1:13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60"/>
      <c r="M565" s="212"/>
    </row>
    <row r="566" spans="1:13" ht="12.95">
      <c r="A566" s="234"/>
      <c r="B566" s="217"/>
      <c r="C566" s="217"/>
      <c r="D566" s="217"/>
      <c r="E566" s="217"/>
      <c r="F566" s="217"/>
      <c r="G566" s="217"/>
      <c r="H566" s="217"/>
      <c r="I566" s="217"/>
      <c r="J566" s="217"/>
      <c r="K566" s="217"/>
      <c r="L566" s="212"/>
      <c r="M566" s="212"/>
    </row>
    <row r="567" spans="1:13" ht="12.95">
      <c r="A567" s="217"/>
      <c r="B567" s="367"/>
      <c r="C567" s="367"/>
      <c r="D567" s="367"/>
      <c r="E567" s="229"/>
      <c r="F567" s="367"/>
      <c r="G567" s="367"/>
      <c r="H567" s="367"/>
      <c r="I567" s="229"/>
      <c r="J567" s="367"/>
      <c r="K567" s="367"/>
      <c r="L567" s="367"/>
      <c r="M567" s="212"/>
    </row>
    <row r="568" spans="1:13" ht="12.95">
      <c r="A568" s="234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12"/>
    </row>
    <row r="569" spans="1:13" ht="12.95">
      <c r="A569" s="234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12"/>
    </row>
    <row r="570" spans="1:13">
      <c r="A570" s="213"/>
      <c r="B570" s="278"/>
      <c r="C570" s="278"/>
      <c r="D570" s="278"/>
      <c r="E570" s="279"/>
      <c r="F570" s="278"/>
      <c r="G570" s="278"/>
      <c r="H570" s="278"/>
      <c r="I570" s="279"/>
      <c r="J570" s="278"/>
      <c r="K570" s="278"/>
      <c r="L570" s="278"/>
      <c r="M570" s="212"/>
    </row>
    <row r="571" spans="1:13">
      <c r="A571" s="213"/>
      <c r="B571" s="278"/>
      <c r="C571" s="278"/>
      <c r="D571" s="278"/>
      <c r="E571" s="279"/>
      <c r="F571" s="278"/>
      <c r="G571" s="278"/>
      <c r="H571" s="278"/>
      <c r="I571" s="279"/>
      <c r="J571" s="278"/>
      <c r="K571" s="278"/>
      <c r="L571" s="278"/>
      <c r="M571" s="212"/>
    </row>
    <row r="572" spans="1:13">
      <c r="A572" s="213"/>
      <c r="B572" s="278"/>
      <c r="C572" s="278"/>
      <c r="D572" s="278"/>
      <c r="E572" s="279"/>
      <c r="F572" s="278"/>
      <c r="G572" s="278"/>
      <c r="H572" s="278"/>
      <c r="I572" s="279"/>
      <c r="J572" s="278"/>
      <c r="K572" s="278"/>
      <c r="L572" s="278"/>
      <c r="M572" s="212"/>
    </row>
    <row r="573" spans="1:13">
      <c r="A573" s="213"/>
      <c r="B573" s="278"/>
      <c r="C573" s="278"/>
      <c r="D573" s="278"/>
      <c r="E573" s="279"/>
      <c r="F573" s="278"/>
      <c r="G573" s="278"/>
      <c r="H573" s="278"/>
      <c r="I573" s="279"/>
      <c r="J573" s="278"/>
      <c r="K573" s="278"/>
      <c r="L573" s="278"/>
      <c r="M573" s="212"/>
    </row>
    <row r="574" spans="1:13">
      <c r="A574" s="213"/>
      <c r="B574" s="278"/>
      <c r="C574" s="278"/>
      <c r="D574" s="278"/>
      <c r="E574" s="279"/>
      <c r="F574" s="278"/>
      <c r="G574" s="278"/>
      <c r="H574" s="278"/>
      <c r="I574" s="279"/>
      <c r="J574" s="278"/>
      <c r="K574" s="278"/>
      <c r="L574" s="278"/>
      <c r="M574" s="212"/>
    </row>
    <row r="575" spans="1:13">
      <c r="A575" s="213"/>
      <c r="B575" s="278"/>
      <c r="C575" s="278"/>
      <c r="D575" s="278"/>
      <c r="E575" s="279"/>
      <c r="F575" s="278"/>
      <c r="G575" s="278"/>
      <c r="H575" s="278"/>
      <c r="I575" s="279"/>
      <c r="J575" s="278"/>
      <c r="K575" s="278"/>
      <c r="L575" s="278"/>
      <c r="M575" s="212"/>
    </row>
    <row r="576" spans="1:13">
      <c r="A576" s="213"/>
      <c r="B576" s="278"/>
      <c r="C576" s="278"/>
      <c r="D576" s="278"/>
      <c r="E576" s="279"/>
      <c r="F576" s="278"/>
      <c r="G576" s="278"/>
      <c r="H576" s="278"/>
      <c r="I576" s="279"/>
      <c r="J576" s="278"/>
      <c r="K576" s="278"/>
      <c r="L576" s="278"/>
      <c r="M576" s="212"/>
    </row>
    <row r="577" spans="1:13">
      <c r="A577" s="213"/>
      <c r="B577" s="278"/>
      <c r="C577" s="278"/>
      <c r="D577" s="278"/>
      <c r="E577" s="279"/>
      <c r="F577" s="278"/>
      <c r="G577" s="278"/>
      <c r="H577" s="278"/>
      <c r="I577" s="279"/>
      <c r="J577" s="278"/>
      <c r="K577" s="278"/>
      <c r="L577" s="278"/>
      <c r="M577" s="212"/>
    </row>
    <row r="578" spans="1:13">
      <c r="A578" s="213"/>
      <c r="B578" s="278"/>
      <c r="C578" s="278"/>
      <c r="D578" s="278"/>
      <c r="E578" s="279"/>
      <c r="F578" s="278"/>
      <c r="G578" s="278"/>
      <c r="H578" s="278"/>
      <c r="I578" s="279"/>
      <c r="J578" s="278"/>
      <c r="K578" s="278"/>
      <c r="L578" s="278"/>
      <c r="M578" s="212"/>
    </row>
    <row r="579" spans="1:13">
      <c r="A579" s="213"/>
      <c r="B579" s="278"/>
      <c r="C579" s="278"/>
      <c r="D579" s="278"/>
      <c r="E579" s="279"/>
      <c r="F579" s="278"/>
      <c r="G579" s="278"/>
      <c r="H579" s="278"/>
      <c r="I579" s="279"/>
      <c r="J579" s="278"/>
      <c r="K579" s="278"/>
      <c r="L579" s="278"/>
      <c r="M579" s="212"/>
    </row>
    <row r="580" spans="1:13">
      <c r="A580" s="213"/>
      <c r="B580" s="279"/>
      <c r="C580" s="279"/>
      <c r="D580" s="279"/>
      <c r="E580" s="279"/>
      <c r="F580" s="279"/>
      <c r="G580" s="279"/>
      <c r="H580" s="279"/>
      <c r="I580" s="279"/>
      <c r="J580" s="279"/>
      <c r="K580" s="279"/>
      <c r="L580" s="279"/>
      <c r="M580" s="212"/>
    </row>
    <row r="581" spans="1:13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6"/>
      <c r="M581" s="212"/>
    </row>
    <row r="582" spans="1:13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60"/>
      <c r="M582" s="212"/>
    </row>
    <row r="583" spans="1:13" ht="12.95">
      <c r="A583" s="234"/>
      <c r="B583" s="217"/>
      <c r="C583" s="217"/>
      <c r="D583" s="217"/>
      <c r="E583" s="217"/>
      <c r="F583" s="217"/>
      <c r="G583" s="217"/>
      <c r="H583" s="217"/>
      <c r="I583" s="217"/>
      <c r="J583" s="217"/>
      <c r="K583" s="217"/>
      <c r="L583" s="212"/>
      <c r="M583" s="212"/>
    </row>
    <row r="584" spans="1:13" ht="12.95">
      <c r="A584" s="217"/>
      <c r="B584" s="367"/>
      <c r="C584" s="367"/>
      <c r="D584" s="367"/>
      <c r="E584" s="229"/>
      <c r="F584" s="367"/>
      <c r="G584" s="367"/>
      <c r="H584" s="367"/>
      <c r="I584" s="229"/>
      <c r="J584" s="367"/>
      <c r="K584" s="367"/>
      <c r="L584" s="367"/>
      <c r="M584" s="212"/>
    </row>
    <row r="585" spans="1:13" ht="12.95">
      <c r="A585" s="234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12"/>
    </row>
    <row r="586" spans="1:13" ht="12.95">
      <c r="A586" s="234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12"/>
    </row>
    <row r="587" spans="1:13">
      <c r="A587" s="213"/>
      <c r="B587" s="278"/>
      <c r="C587" s="278"/>
      <c r="D587" s="278"/>
      <c r="E587" s="279"/>
      <c r="F587" s="278"/>
      <c r="G587" s="278"/>
      <c r="H587" s="278"/>
      <c r="I587" s="279"/>
      <c r="J587" s="278"/>
      <c r="K587" s="278"/>
      <c r="L587" s="278"/>
      <c r="M587" s="212"/>
    </row>
    <row r="588" spans="1:13">
      <c r="A588" s="213"/>
      <c r="B588" s="278"/>
      <c r="C588" s="278"/>
      <c r="D588" s="278"/>
      <c r="E588" s="279"/>
      <c r="F588" s="278"/>
      <c r="G588" s="278"/>
      <c r="H588" s="278"/>
      <c r="I588" s="279"/>
      <c r="J588" s="278"/>
      <c r="K588" s="278"/>
      <c r="L588" s="278"/>
      <c r="M588" s="212"/>
    </row>
    <row r="589" spans="1:13">
      <c r="A589" s="213"/>
      <c r="B589" s="278"/>
      <c r="C589" s="278"/>
      <c r="D589" s="278"/>
      <c r="E589" s="279"/>
      <c r="F589" s="278"/>
      <c r="G589" s="278"/>
      <c r="H589" s="278"/>
      <c r="I589" s="279"/>
      <c r="J589" s="278"/>
      <c r="K589" s="278"/>
      <c r="L589" s="278"/>
      <c r="M589" s="212"/>
    </row>
    <row r="590" spans="1:13">
      <c r="A590" s="213"/>
      <c r="B590" s="278"/>
      <c r="C590" s="278"/>
      <c r="D590" s="278"/>
      <c r="E590" s="279"/>
      <c r="F590" s="278"/>
      <c r="G590" s="278"/>
      <c r="H590" s="278"/>
      <c r="I590" s="279"/>
      <c r="J590" s="278"/>
      <c r="K590" s="278"/>
      <c r="L590" s="278"/>
      <c r="M590" s="212"/>
    </row>
    <row r="591" spans="1:13">
      <c r="A591" s="213"/>
      <c r="B591" s="278"/>
      <c r="C591" s="278"/>
      <c r="D591" s="278"/>
      <c r="E591" s="279"/>
      <c r="F591" s="278"/>
      <c r="G591" s="278"/>
      <c r="H591" s="278"/>
      <c r="I591" s="279"/>
      <c r="J591" s="278"/>
      <c r="K591" s="278"/>
      <c r="L591" s="278"/>
      <c r="M591" s="212"/>
    </row>
    <row r="592" spans="1:13">
      <c r="A592" s="213"/>
      <c r="B592" s="278"/>
      <c r="C592" s="278"/>
      <c r="D592" s="278"/>
      <c r="E592" s="279"/>
      <c r="F592" s="278"/>
      <c r="G592" s="278"/>
      <c r="H592" s="278"/>
      <c r="I592" s="279"/>
      <c r="J592" s="278"/>
      <c r="K592" s="278"/>
      <c r="L592" s="278"/>
      <c r="M592" s="212"/>
    </row>
    <row r="593" spans="1:13">
      <c r="A593" s="213"/>
      <c r="B593" s="278"/>
      <c r="C593" s="278"/>
      <c r="D593" s="278"/>
      <c r="E593" s="279"/>
      <c r="F593" s="278"/>
      <c r="G593" s="278"/>
      <c r="H593" s="278"/>
      <c r="I593" s="279"/>
      <c r="J593" s="278"/>
      <c r="K593" s="278"/>
      <c r="L593" s="278"/>
      <c r="M593" s="212"/>
    </row>
    <row r="594" spans="1:13">
      <c r="A594" s="213"/>
      <c r="B594" s="278"/>
      <c r="C594" s="278"/>
      <c r="D594" s="278"/>
      <c r="E594" s="279"/>
      <c r="F594" s="278"/>
      <c r="G594" s="278"/>
      <c r="H594" s="278"/>
      <c r="I594" s="279"/>
      <c r="J594" s="278"/>
      <c r="K594" s="278"/>
      <c r="L594" s="278"/>
      <c r="M594" s="212"/>
    </row>
    <row r="595" spans="1:13">
      <c r="A595" s="213"/>
      <c r="B595" s="278"/>
      <c r="C595" s="278"/>
      <c r="D595" s="278"/>
      <c r="E595" s="279"/>
      <c r="F595" s="278"/>
      <c r="G595" s="278"/>
      <c r="H595" s="278"/>
      <c r="I595" s="279"/>
      <c r="J595" s="278"/>
      <c r="K595" s="278"/>
      <c r="L595" s="278"/>
      <c r="M595" s="212"/>
    </row>
    <row r="596" spans="1:13">
      <c r="A596" s="213"/>
      <c r="B596" s="278"/>
      <c r="C596" s="278"/>
      <c r="D596" s="278"/>
      <c r="E596" s="279"/>
      <c r="F596" s="278"/>
      <c r="G596" s="278"/>
      <c r="H596" s="278"/>
      <c r="I596" s="279"/>
      <c r="J596" s="278"/>
      <c r="K596" s="278"/>
      <c r="L596" s="278"/>
      <c r="M596" s="212"/>
    </row>
    <row r="597" spans="1:13">
      <c r="A597" s="213"/>
      <c r="B597" s="279"/>
      <c r="C597" s="279"/>
      <c r="D597" s="279"/>
      <c r="E597" s="279"/>
      <c r="F597" s="279"/>
      <c r="G597" s="279"/>
      <c r="H597" s="279"/>
      <c r="I597" s="279"/>
      <c r="J597" s="279"/>
      <c r="K597" s="279"/>
      <c r="L597" s="279"/>
      <c r="M597" s="212"/>
    </row>
    <row r="598" spans="1:13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6"/>
      <c r="M598" s="212"/>
    </row>
    <row r="599" spans="1:13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60"/>
      <c r="M599" s="212"/>
    </row>
    <row r="600" spans="1:13" ht="12.95">
      <c r="A600" s="234"/>
      <c r="B600" s="217"/>
      <c r="C600" s="217"/>
      <c r="D600" s="217"/>
      <c r="E600" s="217"/>
      <c r="F600" s="217"/>
      <c r="G600" s="217"/>
      <c r="H600" s="217"/>
      <c r="I600" s="217"/>
      <c r="J600" s="217"/>
      <c r="K600" s="217"/>
      <c r="L600" s="212"/>
      <c r="M600" s="212"/>
    </row>
    <row r="601" spans="1:13" ht="12.95">
      <c r="A601" s="217"/>
      <c r="B601" s="367"/>
      <c r="C601" s="367"/>
      <c r="D601" s="367"/>
      <c r="E601" s="229"/>
      <c r="F601" s="367"/>
      <c r="G601" s="367"/>
      <c r="H601" s="367"/>
      <c r="I601" s="229"/>
      <c r="J601" s="367"/>
      <c r="K601" s="367"/>
      <c r="L601" s="367"/>
      <c r="M601" s="212"/>
    </row>
    <row r="602" spans="1:13" ht="12.95">
      <c r="A602" s="234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12"/>
    </row>
    <row r="603" spans="1:13" ht="12.95">
      <c r="A603" s="234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12"/>
    </row>
    <row r="604" spans="1:13">
      <c r="A604" s="213"/>
      <c r="B604" s="278"/>
      <c r="C604" s="278"/>
      <c r="D604" s="278"/>
      <c r="E604" s="279"/>
      <c r="F604" s="278"/>
      <c r="G604" s="278"/>
      <c r="H604" s="278"/>
      <c r="I604" s="279"/>
      <c r="J604" s="278"/>
      <c r="K604" s="278"/>
      <c r="L604" s="278"/>
      <c r="M604" s="212"/>
    </row>
    <row r="605" spans="1:13">
      <c r="A605" s="213"/>
      <c r="B605" s="278"/>
      <c r="C605" s="278"/>
      <c r="D605" s="278"/>
      <c r="E605" s="279"/>
      <c r="F605" s="278"/>
      <c r="G605" s="278"/>
      <c r="H605" s="278"/>
      <c r="I605" s="279"/>
      <c r="J605" s="278"/>
      <c r="K605" s="278"/>
      <c r="L605" s="278"/>
      <c r="M605" s="212"/>
    </row>
    <row r="606" spans="1:13">
      <c r="A606" s="213"/>
      <c r="B606" s="278"/>
      <c r="C606" s="278"/>
      <c r="D606" s="278"/>
      <c r="E606" s="279"/>
      <c r="F606" s="278"/>
      <c r="G606" s="278"/>
      <c r="H606" s="278"/>
      <c r="I606" s="279"/>
      <c r="J606" s="278"/>
      <c r="K606" s="278"/>
      <c r="L606" s="278"/>
      <c r="M606" s="212"/>
    </row>
    <row r="607" spans="1:13">
      <c r="A607" s="213"/>
      <c r="B607" s="278"/>
      <c r="C607" s="278"/>
      <c r="D607" s="278"/>
      <c r="E607" s="279"/>
      <c r="F607" s="278"/>
      <c r="G607" s="278"/>
      <c r="H607" s="278"/>
      <c r="I607" s="279"/>
      <c r="J607" s="278"/>
      <c r="K607" s="278"/>
      <c r="L607" s="278"/>
      <c r="M607" s="212"/>
    </row>
    <row r="608" spans="1:13">
      <c r="A608" s="213"/>
      <c r="B608" s="278"/>
      <c r="C608" s="278"/>
      <c r="D608" s="278"/>
      <c r="E608" s="279"/>
      <c r="F608" s="278"/>
      <c r="G608" s="278"/>
      <c r="H608" s="278"/>
      <c r="I608" s="279"/>
      <c r="J608" s="278"/>
      <c r="K608" s="278"/>
      <c r="L608" s="278"/>
      <c r="M608" s="212"/>
    </row>
    <row r="609" spans="1:13">
      <c r="A609" s="213"/>
      <c r="B609" s="278"/>
      <c r="C609" s="278"/>
      <c r="D609" s="278"/>
      <c r="E609" s="279"/>
      <c r="F609" s="278"/>
      <c r="G609" s="278"/>
      <c r="H609" s="278"/>
      <c r="I609" s="279"/>
      <c r="J609" s="278"/>
      <c r="K609" s="278"/>
      <c r="L609" s="278"/>
      <c r="M609" s="212"/>
    </row>
    <row r="610" spans="1:13">
      <c r="A610" s="213"/>
      <c r="B610" s="278"/>
      <c r="C610" s="278"/>
      <c r="D610" s="278"/>
      <c r="E610" s="279"/>
      <c r="F610" s="278"/>
      <c r="G610" s="278"/>
      <c r="H610" s="278"/>
      <c r="I610" s="279"/>
      <c r="J610" s="278"/>
      <c r="K610" s="278"/>
      <c r="L610" s="278"/>
      <c r="M610" s="212"/>
    </row>
    <row r="611" spans="1:13">
      <c r="A611" s="213"/>
      <c r="B611" s="278"/>
      <c r="C611" s="278"/>
      <c r="D611" s="278"/>
      <c r="E611" s="279"/>
      <c r="F611" s="278"/>
      <c r="G611" s="278"/>
      <c r="H611" s="278"/>
      <c r="I611" s="279"/>
      <c r="J611" s="278"/>
      <c r="K611" s="278"/>
      <c r="L611" s="278"/>
      <c r="M611" s="212"/>
    </row>
    <row r="612" spans="1:13">
      <c r="A612" s="213"/>
      <c r="B612" s="278"/>
      <c r="C612" s="278"/>
      <c r="D612" s="278"/>
      <c r="E612" s="279"/>
      <c r="F612" s="278"/>
      <c r="G612" s="278"/>
      <c r="H612" s="278"/>
      <c r="I612" s="279"/>
      <c r="J612" s="278"/>
      <c r="K612" s="278"/>
      <c r="L612" s="278"/>
      <c r="M612" s="212"/>
    </row>
    <row r="613" spans="1:13">
      <c r="A613" s="213"/>
      <c r="B613" s="278"/>
      <c r="C613" s="278"/>
      <c r="D613" s="278"/>
      <c r="E613" s="279"/>
      <c r="F613" s="278"/>
      <c r="G613" s="278"/>
      <c r="H613" s="278"/>
      <c r="I613" s="279"/>
      <c r="J613" s="278"/>
      <c r="K613" s="278"/>
      <c r="L613" s="278"/>
      <c r="M613" s="212"/>
    </row>
    <row r="614" spans="1:13">
      <c r="A614" s="213"/>
      <c r="B614" s="279"/>
      <c r="C614" s="279"/>
      <c r="D614" s="279"/>
      <c r="E614" s="279"/>
      <c r="F614" s="279"/>
      <c r="G614" s="279"/>
      <c r="H614" s="279"/>
      <c r="I614" s="279"/>
      <c r="J614" s="279"/>
      <c r="K614" s="279"/>
      <c r="L614" s="279"/>
      <c r="M614" s="212"/>
    </row>
    <row r="615" spans="1:13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6"/>
      <c r="M615" s="212"/>
    </row>
    <row r="616" spans="1:13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60"/>
      <c r="M616" s="212"/>
    </row>
    <row r="617" spans="1:13" ht="12.95">
      <c r="A617" s="234"/>
      <c r="B617" s="217"/>
      <c r="C617" s="217"/>
      <c r="D617" s="217"/>
      <c r="E617" s="217"/>
      <c r="F617" s="217"/>
      <c r="G617" s="217"/>
      <c r="H617" s="217"/>
      <c r="I617" s="217"/>
      <c r="J617" s="217"/>
      <c r="K617" s="217"/>
      <c r="L617" s="212"/>
      <c r="M617" s="212"/>
    </row>
    <row r="618" spans="1:13" ht="12.95">
      <c r="A618" s="217"/>
      <c r="B618" s="367"/>
      <c r="C618" s="367"/>
      <c r="D618" s="367"/>
      <c r="E618" s="229"/>
      <c r="F618" s="367"/>
      <c r="G618" s="367"/>
      <c r="H618" s="367"/>
      <c r="I618" s="229"/>
      <c r="J618" s="367"/>
      <c r="K618" s="367"/>
      <c r="L618" s="367"/>
      <c r="M618" s="212"/>
    </row>
    <row r="619" spans="1:13" ht="12.95">
      <c r="A619" s="234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12"/>
    </row>
    <row r="620" spans="1:13" ht="12.95">
      <c r="A620" s="234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12"/>
    </row>
    <row r="621" spans="1:13">
      <c r="A621" s="213"/>
      <c r="B621" s="278"/>
      <c r="C621" s="278"/>
      <c r="D621" s="278"/>
      <c r="E621" s="279"/>
      <c r="F621" s="278"/>
      <c r="G621" s="278"/>
      <c r="H621" s="278"/>
      <c r="I621" s="279"/>
      <c r="J621" s="278"/>
      <c r="K621" s="278"/>
      <c r="L621" s="278"/>
      <c r="M621" s="212"/>
    </row>
    <row r="622" spans="1:13">
      <c r="A622" s="213"/>
      <c r="B622" s="278"/>
      <c r="C622" s="278"/>
      <c r="D622" s="278"/>
      <c r="E622" s="279"/>
      <c r="F622" s="278"/>
      <c r="G622" s="278"/>
      <c r="H622" s="278"/>
      <c r="I622" s="279"/>
      <c r="J622" s="278"/>
      <c r="K622" s="278"/>
      <c r="L622" s="278"/>
      <c r="M622" s="212"/>
    </row>
    <row r="623" spans="1:13">
      <c r="A623" s="213"/>
      <c r="B623" s="278"/>
      <c r="C623" s="278"/>
      <c r="D623" s="278"/>
      <c r="E623" s="279"/>
      <c r="F623" s="278"/>
      <c r="G623" s="278"/>
      <c r="H623" s="278"/>
      <c r="I623" s="279"/>
      <c r="J623" s="278"/>
      <c r="K623" s="278"/>
      <c r="L623" s="278"/>
      <c r="M623" s="212"/>
    </row>
    <row r="624" spans="1:13">
      <c r="A624" s="213"/>
      <c r="B624" s="278"/>
      <c r="C624" s="278"/>
      <c r="D624" s="278"/>
      <c r="E624" s="279"/>
      <c r="F624" s="278"/>
      <c r="G624" s="278"/>
      <c r="H624" s="278"/>
      <c r="I624" s="279"/>
      <c r="J624" s="278"/>
      <c r="K624" s="278"/>
      <c r="L624" s="278"/>
      <c r="M624" s="212"/>
    </row>
    <row r="625" spans="1:13">
      <c r="A625" s="213"/>
      <c r="B625" s="278"/>
      <c r="C625" s="278"/>
      <c r="D625" s="278"/>
      <c r="E625" s="279"/>
      <c r="F625" s="278"/>
      <c r="G625" s="278"/>
      <c r="H625" s="278"/>
      <c r="I625" s="279"/>
      <c r="J625" s="278"/>
      <c r="K625" s="278"/>
      <c r="L625" s="278"/>
      <c r="M625" s="212"/>
    </row>
    <row r="626" spans="1:13">
      <c r="A626" s="213"/>
      <c r="B626" s="278"/>
      <c r="C626" s="278"/>
      <c r="D626" s="278"/>
      <c r="E626" s="279"/>
      <c r="F626" s="278"/>
      <c r="G626" s="278"/>
      <c r="H626" s="278"/>
      <c r="I626" s="279"/>
      <c r="J626" s="278"/>
      <c r="K626" s="278"/>
      <c r="L626" s="278"/>
      <c r="M626" s="212"/>
    </row>
    <row r="627" spans="1:13">
      <c r="A627" s="213"/>
      <c r="B627" s="278"/>
      <c r="C627" s="278"/>
      <c r="D627" s="278"/>
      <c r="E627" s="279"/>
      <c r="F627" s="278"/>
      <c r="G627" s="278"/>
      <c r="H627" s="278"/>
      <c r="I627" s="279"/>
      <c r="J627" s="278"/>
      <c r="K627" s="278"/>
      <c r="L627" s="278"/>
      <c r="M627" s="212"/>
    </row>
    <row r="628" spans="1:13">
      <c r="A628" s="213"/>
      <c r="B628" s="278"/>
      <c r="C628" s="278"/>
      <c r="D628" s="278"/>
      <c r="E628" s="279"/>
      <c r="F628" s="278"/>
      <c r="G628" s="278"/>
      <c r="H628" s="278"/>
      <c r="I628" s="279"/>
      <c r="J628" s="278"/>
      <c r="K628" s="278"/>
      <c r="L628" s="278"/>
      <c r="M628" s="212"/>
    </row>
    <row r="629" spans="1:13">
      <c r="A629" s="213"/>
      <c r="B629" s="278"/>
      <c r="C629" s="278"/>
      <c r="D629" s="278"/>
      <c r="E629" s="279"/>
      <c r="F629" s="278"/>
      <c r="G629" s="278"/>
      <c r="H629" s="278"/>
      <c r="I629" s="279"/>
      <c r="J629" s="278"/>
      <c r="K629" s="278"/>
      <c r="L629" s="278"/>
      <c r="M629" s="212"/>
    </row>
    <row r="630" spans="1:13">
      <c r="A630" s="213"/>
      <c r="B630" s="278"/>
      <c r="C630" s="278"/>
      <c r="D630" s="278"/>
      <c r="E630" s="279"/>
      <c r="F630" s="278"/>
      <c r="G630" s="278"/>
      <c r="H630" s="278"/>
      <c r="I630" s="279"/>
      <c r="J630" s="278"/>
      <c r="K630" s="278"/>
      <c r="L630" s="278"/>
      <c r="M630" s="212"/>
    </row>
    <row r="631" spans="1:13">
      <c r="A631" s="213"/>
      <c r="B631" s="279"/>
      <c r="C631" s="279"/>
      <c r="D631" s="279"/>
      <c r="E631" s="279"/>
      <c r="F631" s="279"/>
      <c r="G631" s="279"/>
      <c r="H631" s="279"/>
      <c r="I631" s="279"/>
      <c r="J631" s="279"/>
      <c r="K631" s="279"/>
      <c r="L631" s="279"/>
      <c r="M631" s="212"/>
    </row>
    <row r="632" spans="1:13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6"/>
      <c r="M632" s="212"/>
    </row>
    <row r="633" spans="1:13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60"/>
      <c r="M633" s="212"/>
    </row>
    <row r="634" spans="1:13" ht="12.95">
      <c r="A634" s="234"/>
      <c r="B634" s="217"/>
      <c r="C634" s="217"/>
      <c r="D634" s="217"/>
      <c r="E634" s="217"/>
      <c r="F634" s="217"/>
      <c r="G634" s="217"/>
      <c r="H634" s="217"/>
      <c r="I634" s="217"/>
      <c r="J634" s="217"/>
      <c r="K634" s="217"/>
      <c r="L634" s="212"/>
      <c r="M634" s="212"/>
    </row>
    <row r="635" spans="1:13" ht="12.95">
      <c r="A635" s="217"/>
      <c r="B635" s="367"/>
      <c r="C635" s="367"/>
      <c r="D635" s="367"/>
      <c r="E635" s="229"/>
      <c r="F635" s="367"/>
      <c r="G635" s="367"/>
      <c r="H635" s="367"/>
      <c r="I635" s="229"/>
      <c r="J635" s="367"/>
      <c r="K635" s="367"/>
      <c r="L635" s="367"/>
      <c r="M635" s="212"/>
    </row>
    <row r="636" spans="1:13" ht="12.95">
      <c r="A636" s="234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12"/>
    </row>
    <row r="637" spans="1:13" ht="12.95">
      <c r="A637" s="234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12"/>
    </row>
    <row r="638" spans="1:13">
      <c r="A638" s="213"/>
      <c r="B638" s="278"/>
      <c r="C638" s="278"/>
      <c r="D638" s="278"/>
      <c r="E638" s="279"/>
      <c r="F638" s="278"/>
      <c r="G638" s="278"/>
      <c r="H638" s="278"/>
      <c r="I638" s="279"/>
      <c r="J638" s="278"/>
      <c r="K638" s="278"/>
      <c r="L638" s="278"/>
      <c r="M638" s="212"/>
    </row>
    <row r="639" spans="1:13">
      <c r="A639" s="213"/>
      <c r="B639" s="278"/>
      <c r="C639" s="278"/>
      <c r="D639" s="278"/>
      <c r="E639" s="279"/>
      <c r="F639" s="278"/>
      <c r="G639" s="278"/>
      <c r="H639" s="278"/>
      <c r="I639" s="279"/>
      <c r="J639" s="278"/>
      <c r="K639" s="278"/>
      <c r="L639" s="278"/>
      <c r="M639" s="212"/>
    </row>
    <row r="640" spans="1:13">
      <c r="A640" s="213"/>
      <c r="B640" s="278"/>
      <c r="C640" s="278"/>
      <c r="D640" s="278"/>
      <c r="E640" s="279"/>
      <c r="F640" s="278"/>
      <c r="G640" s="278"/>
      <c r="H640" s="278"/>
      <c r="I640" s="279"/>
      <c r="J640" s="278"/>
      <c r="K640" s="278"/>
      <c r="L640" s="278"/>
      <c r="M640" s="212"/>
    </row>
    <row r="641" spans="1:13">
      <c r="A641" s="213"/>
      <c r="B641" s="278"/>
      <c r="C641" s="278"/>
      <c r="D641" s="278"/>
      <c r="E641" s="279"/>
      <c r="F641" s="278"/>
      <c r="G641" s="278"/>
      <c r="H641" s="278"/>
      <c r="I641" s="279"/>
      <c r="J641" s="278"/>
      <c r="K641" s="278"/>
      <c r="L641" s="278"/>
      <c r="M641" s="212"/>
    </row>
    <row r="642" spans="1:13">
      <c r="A642" s="213"/>
      <c r="B642" s="278"/>
      <c r="C642" s="278"/>
      <c r="D642" s="278"/>
      <c r="E642" s="279"/>
      <c r="F642" s="278"/>
      <c r="G642" s="278"/>
      <c r="H642" s="278"/>
      <c r="I642" s="279"/>
      <c r="J642" s="278"/>
      <c r="K642" s="278"/>
      <c r="L642" s="278"/>
      <c r="M642" s="212"/>
    </row>
    <row r="643" spans="1:13">
      <c r="A643" s="213"/>
      <c r="B643" s="278"/>
      <c r="C643" s="278"/>
      <c r="D643" s="278"/>
      <c r="E643" s="279"/>
      <c r="F643" s="278"/>
      <c r="G643" s="278"/>
      <c r="H643" s="278"/>
      <c r="I643" s="279"/>
      <c r="J643" s="278"/>
      <c r="K643" s="278"/>
      <c r="L643" s="278"/>
      <c r="M643" s="212"/>
    </row>
    <row r="644" spans="1:13">
      <c r="A644" s="213"/>
      <c r="B644" s="278"/>
      <c r="C644" s="278"/>
      <c r="D644" s="278"/>
      <c r="E644" s="279"/>
      <c r="F644" s="278"/>
      <c r="G644" s="278"/>
      <c r="H644" s="278"/>
      <c r="I644" s="279"/>
      <c r="J644" s="278"/>
      <c r="K644" s="278"/>
      <c r="L644" s="278"/>
      <c r="M644" s="212"/>
    </row>
    <row r="645" spans="1:13">
      <c r="A645" s="213"/>
      <c r="B645" s="278"/>
      <c r="C645" s="278"/>
      <c r="D645" s="278"/>
      <c r="E645" s="279"/>
      <c r="F645" s="278"/>
      <c r="G645" s="278"/>
      <c r="H645" s="278"/>
      <c r="I645" s="279"/>
      <c r="J645" s="278"/>
      <c r="K645" s="278"/>
      <c r="L645" s="278"/>
      <c r="M645" s="212"/>
    </row>
    <row r="646" spans="1:13">
      <c r="A646" s="213"/>
      <c r="B646" s="278"/>
      <c r="C646" s="278"/>
      <c r="D646" s="278"/>
      <c r="E646" s="279"/>
      <c r="F646" s="278"/>
      <c r="G646" s="278"/>
      <c r="H646" s="278"/>
      <c r="I646" s="279"/>
      <c r="J646" s="278"/>
      <c r="K646" s="278"/>
      <c r="L646" s="278"/>
      <c r="M646" s="212"/>
    </row>
    <row r="647" spans="1:13">
      <c r="A647" s="213"/>
      <c r="B647" s="278"/>
      <c r="C647" s="278"/>
      <c r="D647" s="278"/>
      <c r="E647" s="279"/>
      <c r="F647" s="278"/>
      <c r="G647" s="278"/>
      <c r="H647" s="278"/>
      <c r="I647" s="279"/>
      <c r="J647" s="278"/>
      <c r="K647" s="278"/>
      <c r="L647" s="278"/>
      <c r="M647" s="212"/>
    </row>
    <row r="648" spans="1:13">
      <c r="A648" s="213"/>
      <c r="B648" s="279"/>
      <c r="C648" s="279"/>
      <c r="D648" s="279"/>
      <c r="E648" s="279"/>
      <c r="F648" s="279"/>
      <c r="G648" s="279"/>
      <c r="H648" s="279"/>
      <c r="I648" s="279"/>
      <c r="J648" s="279"/>
      <c r="K648" s="279"/>
      <c r="L648" s="279"/>
      <c r="M648" s="212"/>
    </row>
    <row r="649" spans="1:13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6"/>
      <c r="M649" s="212"/>
    </row>
    <row r="650" spans="1:13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60"/>
      <c r="M650" s="212"/>
    </row>
    <row r="651" spans="1:13" ht="12.95">
      <c r="A651" s="234"/>
      <c r="B651" s="217"/>
      <c r="C651" s="217"/>
      <c r="D651" s="217"/>
      <c r="E651" s="217"/>
      <c r="F651" s="217"/>
      <c r="G651" s="217"/>
      <c r="H651" s="217"/>
      <c r="I651" s="217"/>
      <c r="J651" s="217"/>
      <c r="K651" s="217"/>
      <c r="L651" s="212"/>
      <c r="M651" s="212"/>
    </row>
    <row r="652" spans="1:13" ht="12.95">
      <c r="A652" s="217"/>
      <c r="B652" s="367"/>
      <c r="C652" s="367"/>
      <c r="D652" s="367"/>
      <c r="E652" s="229"/>
      <c r="F652" s="367"/>
      <c r="G652" s="367"/>
      <c r="H652" s="367"/>
      <c r="I652" s="229"/>
      <c r="J652" s="367"/>
      <c r="K652" s="367"/>
      <c r="L652" s="367"/>
      <c r="M652" s="212"/>
    </row>
    <row r="653" spans="1:13" ht="12.95">
      <c r="A653" s="234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12"/>
    </row>
    <row r="654" spans="1:13" ht="12.95">
      <c r="A654" s="234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12"/>
    </row>
    <row r="655" spans="1:13">
      <c r="A655" s="213"/>
      <c r="B655" s="278"/>
      <c r="C655" s="278"/>
      <c r="D655" s="278"/>
      <c r="E655" s="279"/>
      <c r="F655" s="278"/>
      <c r="G655" s="278"/>
      <c r="H655" s="278"/>
      <c r="I655" s="279"/>
      <c r="J655" s="278"/>
      <c r="K655" s="278"/>
      <c r="L655" s="278"/>
      <c r="M655" s="212"/>
    </row>
    <row r="656" spans="1:13">
      <c r="A656" s="213"/>
      <c r="B656" s="278"/>
      <c r="C656" s="278"/>
      <c r="D656" s="278"/>
      <c r="E656" s="279"/>
      <c r="F656" s="278"/>
      <c r="G656" s="278"/>
      <c r="H656" s="278"/>
      <c r="I656" s="279"/>
      <c r="J656" s="278"/>
      <c r="K656" s="278"/>
      <c r="L656" s="278"/>
      <c r="M656" s="212"/>
    </row>
    <row r="657" spans="1:13">
      <c r="A657" s="213"/>
      <c r="B657" s="278"/>
      <c r="C657" s="278"/>
      <c r="D657" s="278"/>
      <c r="E657" s="279"/>
      <c r="F657" s="278"/>
      <c r="G657" s="278"/>
      <c r="H657" s="278"/>
      <c r="I657" s="279"/>
      <c r="J657" s="278"/>
      <c r="K657" s="278"/>
      <c r="L657" s="278"/>
      <c r="M657" s="212"/>
    </row>
    <row r="658" spans="1:13">
      <c r="A658" s="213"/>
      <c r="B658" s="278"/>
      <c r="C658" s="278"/>
      <c r="D658" s="278"/>
      <c r="E658" s="279"/>
      <c r="F658" s="278"/>
      <c r="G658" s="278"/>
      <c r="H658" s="278"/>
      <c r="I658" s="279"/>
      <c r="J658" s="278"/>
      <c r="K658" s="278"/>
      <c r="L658" s="278"/>
      <c r="M658" s="212"/>
    </row>
    <row r="659" spans="1:13">
      <c r="A659" s="213"/>
      <c r="B659" s="278"/>
      <c r="C659" s="278"/>
      <c r="D659" s="278"/>
      <c r="E659" s="279"/>
      <c r="F659" s="278"/>
      <c r="G659" s="278"/>
      <c r="H659" s="278"/>
      <c r="I659" s="279"/>
      <c r="J659" s="278"/>
      <c r="K659" s="278"/>
      <c r="L659" s="278"/>
      <c r="M659" s="212"/>
    </row>
    <row r="660" spans="1:13">
      <c r="A660" s="213"/>
      <c r="B660" s="278"/>
      <c r="C660" s="278"/>
      <c r="D660" s="278"/>
      <c r="E660" s="279"/>
      <c r="F660" s="278"/>
      <c r="G660" s="278"/>
      <c r="H660" s="278"/>
      <c r="I660" s="279"/>
      <c r="J660" s="278"/>
      <c r="K660" s="278"/>
      <c r="L660" s="278"/>
      <c r="M660" s="212"/>
    </row>
    <row r="661" spans="1:13">
      <c r="A661" s="213"/>
      <c r="B661" s="278"/>
      <c r="C661" s="278"/>
      <c r="D661" s="278"/>
      <c r="E661" s="279"/>
      <c r="F661" s="278"/>
      <c r="G661" s="278"/>
      <c r="H661" s="278"/>
      <c r="I661" s="279"/>
      <c r="J661" s="278"/>
      <c r="K661" s="278"/>
      <c r="L661" s="278"/>
      <c r="M661" s="212"/>
    </row>
    <row r="662" spans="1:13">
      <c r="A662" s="213"/>
      <c r="B662" s="278"/>
      <c r="C662" s="278"/>
      <c r="D662" s="278"/>
      <c r="E662" s="279"/>
      <c r="F662" s="278"/>
      <c r="G662" s="278"/>
      <c r="H662" s="278"/>
      <c r="I662" s="279"/>
      <c r="J662" s="278"/>
      <c r="K662" s="278"/>
      <c r="L662" s="278"/>
      <c r="M662" s="212"/>
    </row>
    <row r="663" spans="1:13">
      <c r="A663" s="213"/>
      <c r="B663" s="278"/>
      <c r="C663" s="278"/>
      <c r="D663" s="278"/>
      <c r="E663" s="279"/>
      <c r="F663" s="278"/>
      <c r="G663" s="278"/>
      <c r="H663" s="278"/>
      <c r="I663" s="279"/>
      <c r="J663" s="278"/>
      <c r="K663" s="278"/>
      <c r="L663" s="278"/>
      <c r="M663" s="212"/>
    </row>
    <row r="664" spans="1:13">
      <c r="A664" s="213"/>
      <c r="B664" s="278"/>
      <c r="C664" s="278"/>
      <c r="D664" s="278"/>
      <c r="E664" s="279"/>
      <c r="F664" s="278"/>
      <c r="G664" s="278"/>
      <c r="H664" s="278"/>
      <c r="I664" s="279"/>
      <c r="J664" s="278"/>
      <c r="K664" s="278"/>
      <c r="L664" s="278"/>
      <c r="M664" s="212"/>
    </row>
    <row r="665" spans="1:13">
      <c r="A665" s="213"/>
      <c r="B665" s="279"/>
      <c r="C665" s="279"/>
      <c r="D665" s="279"/>
      <c r="E665" s="279"/>
      <c r="F665" s="279"/>
      <c r="G665" s="279"/>
      <c r="H665" s="279"/>
      <c r="I665" s="279"/>
      <c r="J665" s="279"/>
      <c r="K665" s="279"/>
      <c r="L665" s="279"/>
      <c r="M665" s="212"/>
    </row>
    <row r="666" spans="1:13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6"/>
      <c r="M666" s="212"/>
    </row>
    <row r="667" spans="1:13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60"/>
      <c r="M667" s="212"/>
    </row>
    <row r="668" spans="1:13" ht="12.95">
      <c r="A668" s="234"/>
      <c r="B668" s="217"/>
      <c r="C668" s="217"/>
      <c r="D668" s="217"/>
      <c r="E668" s="217"/>
      <c r="F668" s="217"/>
      <c r="G668" s="217"/>
      <c r="H668" s="217"/>
      <c r="I668" s="217"/>
      <c r="J668" s="217"/>
      <c r="K668" s="217"/>
      <c r="L668" s="212"/>
      <c r="M668" s="212"/>
    </row>
    <row r="669" spans="1:13" ht="12.95">
      <c r="A669" s="217"/>
      <c r="B669" s="367"/>
      <c r="C669" s="367"/>
      <c r="D669" s="367"/>
      <c r="E669" s="229"/>
      <c r="F669" s="367"/>
      <c r="G669" s="367"/>
      <c r="H669" s="367"/>
      <c r="I669" s="229"/>
      <c r="J669" s="367"/>
      <c r="K669" s="367"/>
      <c r="L669" s="367"/>
      <c r="M669" s="212"/>
    </row>
    <row r="670" spans="1:13" ht="12.95">
      <c r="A670" s="234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12"/>
    </row>
    <row r="671" spans="1:13" ht="12.95">
      <c r="A671" s="234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12"/>
    </row>
    <row r="672" spans="1:13">
      <c r="A672" s="213"/>
      <c r="B672" s="278"/>
      <c r="C672" s="278"/>
      <c r="D672" s="278"/>
      <c r="E672" s="279"/>
      <c r="F672" s="278"/>
      <c r="G672" s="278"/>
      <c r="H672" s="278"/>
      <c r="I672" s="279"/>
      <c r="J672" s="278"/>
      <c r="K672" s="278"/>
      <c r="L672" s="278"/>
      <c r="M672" s="212"/>
    </row>
    <row r="673" spans="1:13">
      <c r="A673" s="213"/>
      <c r="B673" s="278"/>
      <c r="C673" s="278"/>
      <c r="D673" s="278"/>
      <c r="E673" s="279"/>
      <c r="F673" s="278"/>
      <c r="G673" s="278"/>
      <c r="H673" s="278"/>
      <c r="I673" s="279"/>
      <c r="J673" s="278"/>
      <c r="K673" s="278"/>
      <c r="L673" s="278"/>
      <c r="M673" s="212"/>
    </row>
    <row r="674" spans="1:13">
      <c r="A674" s="213"/>
      <c r="B674" s="278"/>
      <c r="C674" s="278"/>
      <c r="D674" s="278"/>
      <c r="E674" s="279"/>
      <c r="F674" s="278"/>
      <c r="G674" s="278"/>
      <c r="H674" s="278"/>
      <c r="I674" s="279"/>
      <c r="J674" s="278"/>
      <c r="K674" s="278"/>
      <c r="L674" s="278"/>
      <c r="M674" s="212"/>
    </row>
    <row r="675" spans="1:13">
      <c r="A675" s="213"/>
      <c r="B675" s="278"/>
      <c r="C675" s="278"/>
      <c r="D675" s="278"/>
      <c r="E675" s="279"/>
      <c r="F675" s="278"/>
      <c r="G675" s="278"/>
      <c r="H675" s="278"/>
      <c r="I675" s="279"/>
      <c r="J675" s="278"/>
      <c r="K675" s="278"/>
      <c r="L675" s="278"/>
      <c r="M675" s="212"/>
    </row>
    <row r="676" spans="1:13">
      <c r="A676" s="213"/>
      <c r="B676" s="278"/>
      <c r="C676" s="278"/>
      <c r="D676" s="278"/>
      <c r="E676" s="279"/>
      <c r="F676" s="278"/>
      <c r="G676" s="278"/>
      <c r="H676" s="278"/>
      <c r="I676" s="279"/>
      <c r="J676" s="278"/>
      <c r="K676" s="278"/>
      <c r="L676" s="278"/>
      <c r="M676" s="212"/>
    </row>
    <row r="677" spans="1:13">
      <c r="A677" s="213"/>
      <c r="B677" s="278"/>
      <c r="C677" s="278"/>
      <c r="D677" s="278"/>
      <c r="E677" s="279"/>
      <c r="F677" s="278"/>
      <c r="G677" s="278"/>
      <c r="H677" s="278"/>
      <c r="I677" s="279"/>
      <c r="J677" s="278"/>
      <c r="K677" s="278"/>
      <c r="L677" s="278"/>
      <c r="M677" s="212"/>
    </row>
    <row r="678" spans="1:13">
      <c r="A678" s="213"/>
      <c r="B678" s="278"/>
      <c r="C678" s="278"/>
      <c r="D678" s="278"/>
      <c r="E678" s="279"/>
      <c r="F678" s="278"/>
      <c r="G678" s="278"/>
      <c r="H678" s="278"/>
      <c r="I678" s="279"/>
      <c r="J678" s="278"/>
      <c r="K678" s="278"/>
      <c r="L678" s="278"/>
      <c r="M678" s="212"/>
    </row>
    <row r="679" spans="1:13">
      <c r="A679" s="213"/>
      <c r="B679" s="278"/>
      <c r="C679" s="278"/>
      <c r="D679" s="278"/>
      <c r="E679" s="279"/>
      <c r="F679" s="278"/>
      <c r="G679" s="278"/>
      <c r="H679" s="278"/>
      <c r="I679" s="279"/>
      <c r="J679" s="278"/>
      <c r="K679" s="278"/>
      <c r="L679" s="278"/>
      <c r="M679" s="212"/>
    </row>
    <row r="680" spans="1:13">
      <c r="A680" s="213"/>
      <c r="B680" s="278"/>
      <c r="C680" s="278"/>
      <c r="D680" s="278"/>
      <c r="E680" s="279"/>
      <c r="F680" s="278"/>
      <c r="G680" s="278"/>
      <c r="H680" s="278"/>
      <c r="I680" s="279"/>
      <c r="J680" s="278"/>
      <c r="K680" s="278"/>
      <c r="L680" s="278"/>
      <c r="M680" s="212"/>
    </row>
    <row r="681" spans="1:13">
      <c r="A681" s="213"/>
      <c r="B681" s="278"/>
      <c r="C681" s="278"/>
      <c r="D681" s="278"/>
      <c r="E681" s="279"/>
      <c r="F681" s="278"/>
      <c r="G681" s="278"/>
      <c r="H681" s="278"/>
      <c r="I681" s="279"/>
      <c r="J681" s="278"/>
      <c r="K681" s="278"/>
      <c r="L681" s="278"/>
      <c r="M681" s="212"/>
    </row>
    <row r="682" spans="1:13">
      <c r="A682" s="213"/>
      <c r="B682" s="279"/>
      <c r="C682" s="279"/>
      <c r="D682" s="279"/>
      <c r="E682" s="279"/>
      <c r="F682" s="279"/>
      <c r="G682" s="279"/>
      <c r="H682" s="279"/>
      <c r="I682" s="279"/>
      <c r="J682" s="279"/>
      <c r="K682" s="279"/>
      <c r="L682" s="279"/>
      <c r="M682" s="212"/>
    </row>
    <row r="683" spans="1:13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6"/>
      <c r="M683" s="212"/>
    </row>
    <row r="684" spans="1:13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60"/>
      <c r="M684" s="212"/>
    </row>
    <row r="685" spans="1:13" ht="12.95">
      <c r="A685" s="234"/>
      <c r="B685" s="217"/>
      <c r="C685" s="217"/>
      <c r="D685" s="217"/>
      <c r="E685" s="217"/>
      <c r="F685" s="217"/>
      <c r="G685" s="217"/>
      <c r="H685" s="217"/>
      <c r="I685" s="217"/>
      <c r="J685" s="217"/>
      <c r="K685" s="217"/>
      <c r="L685" s="212"/>
      <c r="M685" s="212"/>
    </row>
    <row r="686" spans="1:13" ht="12.95">
      <c r="A686" s="217"/>
      <c r="B686" s="367"/>
      <c r="C686" s="367"/>
      <c r="D686" s="367"/>
      <c r="E686" s="229"/>
      <c r="F686" s="367"/>
      <c r="G686" s="367"/>
      <c r="H686" s="367"/>
      <c r="I686" s="229"/>
      <c r="J686" s="367"/>
      <c r="K686" s="367"/>
      <c r="L686" s="367"/>
      <c r="M686" s="212"/>
    </row>
    <row r="687" spans="1:13" ht="12.95">
      <c r="A687" s="234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12"/>
    </row>
    <row r="688" spans="1:13" ht="12.95">
      <c r="A688" s="234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12"/>
    </row>
    <row r="689" spans="1:13">
      <c r="A689" s="213"/>
      <c r="B689" s="278"/>
      <c r="C689" s="278"/>
      <c r="D689" s="278"/>
      <c r="E689" s="279"/>
      <c r="F689" s="278"/>
      <c r="G689" s="278"/>
      <c r="H689" s="278"/>
      <c r="I689" s="279"/>
      <c r="J689" s="278"/>
      <c r="K689" s="278"/>
      <c r="L689" s="278"/>
      <c r="M689" s="212"/>
    </row>
    <row r="690" spans="1:13">
      <c r="A690" s="213"/>
      <c r="B690" s="278"/>
      <c r="C690" s="278"/>
      <c r="D690" s="278"/>
      <c r="E690" s="279"/>
      <c r="F690" s="278"/>
      <c r="G690" s="278"/>
      <c r="H690" s="278"/>
      <c r="I690" s="279"/>
      <c r="J690" s="278"/>
      <c r="K690" s="278"/>
      <c r="L690" s="278"/>
      <c r="M690" s="212"/>
    </row>
    <row r="691" spans="1:13">
      <c r="A691" s="213"/>
      <c r="B691" s="278"/>
      <c r="C691" s="278"/>
      <c r="D691" s="278"/>
      <c r="E691" s="279"/>
      <c r="F691" s="278"/>
      <c r="G691" s="278"/>
      <c r="H691" s="278"/>
      <c r="I691" s="279"/>
      <c r="J691" s="278"/>
      <c r="K691" s="278"/>
      <c r="L691" s="278"/>
      <c r="M691" s="212"/>
    </row>
    <row r="692" spans="1:13">
      <c r="A692" s="213"/>
      <c r="B692" s="278"/>
      <c r="C692" s="278"/>
      <c r="D692" s="278"/>
      <c r="E692" s="279"/>
      <c r="F692" s="278"/>
      <c r="G692" s="278"/>
      <c r="H692" s="278"/>
      <c r="I692" s="279"/>
      <c r="J692" s="278"/>
      <c r="K692" s="278"/>
      <c r="L692" s="278"/>
      <c r="M692" s="212"/>
    </row>
    <row r="693" spans="1:13">
      <c r="A693" s="213"/>
      <c r="B693" s="278"/>
      <c r="C693" s="278"/>
      <c r="D693" s="278"/>
      <c r="E693" s="279"/>
      <c r="F693" s="278"/>
      <c r="G693" s="278"/>
      <c r="H693" s="278"/>
      <c r="I693" s="279"/>
      <c r="J693" s="278"/>
      <c r="K693" s="278"/>
      <c r="L693" s="278"/>
      <c r="M693" s="212"/>
    </row>
    <row r="694" spans="1:13">
      <c r="A694" s="213"/>
      <c r="B694" s="278"/>
      <c r="C694" s="278"/>
      <c r="D694" s="278"/>
      <c r="E694" s="279"/>
      <c r="F694" s="278"/>
      <c r="G694" s="278"/>
      <c r="H694" s="278"/>
      <c r="I694" s="279"/>
      <c r="J694" s="278"/>
      <c r="K694" s="278"/>
      <c r="L694" s="278"/>
      <c r="M694" s="212"/>
    </row>
    <row r="695" spans="1:13">
      <c r="A695" s="213"/>
      <c r="B695" s="278"/>
      <c r="C695" s="278"/>
      <c r="D695" s="278"/>
      <c r="E695" s="279"/>
      <c r="F695" s="278"/>
      <c r="G695" s="278"/>
      <c r="H695" s="278"/>
      <c r="I695" s="279"/>
      <c r="J695" s="278"/>
      <c r="K695" s="278"/>
      <c r="L695" s="278"/>
      <c r="M695" s="212"/>
    </row>
    <row r="696" spans="1:13">
      <c r="A696" s="213"/>
      <c r="B696" s="278"/>
      <c r="C696" s="278"/>
      <c r="D696" s="278"/>
      <c r="E696" s="279"/>
      <c r="F696" s="278"/>
      <c r="G696" s="278"/>
      <c r="H696" s="278"/>
      <c r="I696" s="279"/>
      <c r="J696" s="278"/>
      <c r="K696" s="278"/>
      <c r="L696" s="278"/>
      <c r="M696" s="212"/>
    </row>
    <row r="697" spans="1:13">
      <c r="A697" s="213"/>
      <c r="B697" s="278"/>
      <c r="C697" s="278"/>
      <c r="D697" s="278"/>
      <c r="E697" s="279"/>
      <c r="F697" s="278"/>
      <c r="G697" s="278"/>
      <c r="H697" s="278"/>
      <c r="I697" s="279"/>
      <c r="J697" s="278"/>
      <c r="K697" s="278"/>
      <c r="L697" s="278"/>
      <c r="M697" s="212"/>
    </row>
    <row r="698" spans="1:13">
      <c r="A698" s="213"/>
      <c r="B698" s="278"/>
      <c r="C698" s="278"/>
      <c r="D698" s="278"/>
      <c r="E698" s="279"/>
      <c r="F698" s="278"/>
      <c r="G698" s="278"/>
      <c r="H698" s="278"/>
      <c r="I698" s="279"/>
      <c r="J698" s="278"/>
      <c r="K698" s="278"/>
      <c r="L698" s="278"/>
      <c r="M698" s="212"/>
    </row>
    <row r="699" spans="1:13">
      <c r="A699" s="213"/>
      <c r="B699" s="279"/>
      <c r="C699" s="279"/>
      <c r="D699" s="279"/>
      <c r="E699" s="279"/>
      <c r="F699" s="279"/>
      <c r="G699" s="279"/>
      <c r="H699" s="279"/>
      <c r="I699" s="279"/>
      <c r="J699" s="279"/>
      <c r="K699" s="279"/>
      <c r="L699" s="279"/>
      <c r="M699" s="212"/>
    </row>
    <row r="700" spans="1:13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6"/>
      <c r="M700" s="212"/>
    </row>
    <row r="701" spans="1:13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60"/>
      <c r="M701" s="212"/>
    </row>
    <row r="702" spans="1:13" ht="12.95">
      <c r="A702" s="234"/>
      <c r="B702" s="217"/>
      <c r="C702" s="217"/>
      <c r="D702" s="217"/>
      <c r="E702" s="217"/>
      <c r="F702" s="217"/>
      <c r="G702" s="217"/>
      <c r="H702" s="217"/>
      <c r="I702" s="217"/>
      <c r="J702" s="217"/>
      <c r="K702" s="217"/>
      <c r="L702" s="212"/>
      <c r="M702" s="212"/>
    </row>
    <row r="703" spans="1:13" ht="12.95">
      <c r="A703" s="217"/>
      <c r="B703" s="367"/>
      <c r="C703" s="367"/>
      <c r="D703" s="367"/>
      <c r="E703" s="229"/>
      <c r="F703" s="367"/>
      <c r="G703" s="367"/>
      <c r="H703" s="367"/>
      <c r="I703" s="229"/>
      <c r="J703" s="367"/>
      <c r="K703" s="367"/>
      <c r="L703" s="367"/>
      <c r="M703" s="212"/>
    </row>
    <row r="704" spans="1:13" ht="12.95">
      <c r="A704" s="234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12"/>
    </row>
    <row r="705" spans="1:13" ht="12.95">
      <c r="A705" s="234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12"/>
    </row>
    <row r="706" spans="1:13">
      <c r="A706" s="213"/>
      <c r="B706" s="278"/>
      <c r="C706" s="278"/>
      <c r="D706" s="278"/>
      <c r="E706" s="279"/>
      <c r="F706" s="278"/>
      <c r="G706" s="278"/>
      <c r="H706" s="278"/>
      <c r="I706" s="279"/>
      <c r="J706" s="278"/>
      <c r="K706" s="278"/>
      <c r="L706" s="278"/>
      <c r="M706" s="212"/>
    </row>
    <row r="707" spans="1:13">
      <c r="A707" s="213"/>
      <c r="B707" s="278"/>
      <c r="C707" s="278"/>
      <c r="D707" s="278"/>
      <c r="E707" s="279"/>
      <c r="F707" s="278"/>
      <c r="G707" s="278"/>
      <c r="H707" s="278"/>
      <c r="I707" s="279"/>
      <c r="J707" s="278"/>
      <c r="K707" s="278"/>
      <c r="L707" s="278"/>
      <c r="M707" s="212"/>
    </row>
    <row r="708" spans="1:13">
      <c r="A708" s="213"/>
      <c r="B708" s="278"/>
      <c r="C708" s="278"/>
      <c r="D708" s="278"/>
      <c r="E708" s="279"/>
      <c r="F708" s="278"/>
      <c r="G708" s="278"/>
      <c r="H708" s="278"/>
      <c r="I708" s="279"/>
      <c r="J708" s="278"/>
      <c r="K708" s="278"/>
      <c r="L708" s="278"/>
      <c r="M708" s="212"/>
    </row>
    <row r="709" spans="1:13">
      <c r="A709" s="213"/>
      <c r="B709" s="278"/>
      <c r="C709" s="278"/>
      <c r="D709" s="278"/>
      <c r="E709" s="279"/>
      <c r="F709" s="278"/>
      <c r="G709" s="278"/>
      <c r="H709" s="278"/>
      <c r="I709" s="279"/>
      <c r="J709" s="278"/>
      <c r="K709" s="278"/>
      <c r="L709" s="278"/>
      <c r="M709" s="212"/>
    </row>
    <row r="710" spans="1:13">
      <c r="A710" s="213"/>
      <c r="B710" s="278"/>
      <c r="C710" s="278"/>
      <c r="D710" s="278"/>
      <c r="E710" s="279"/>
      <c r="F710" s="278"/>
      <c r="G710" s="278"/>
      <c r="H710" s="278"/>
      <c r="I710" s="279"/>
      <c r="J710" s="278"/>
      <c r="K710" s="278"/>
      <c r="L710" s="278"/>
      <c r="M710" s="212"/>
    </row>
    <row r="711" spans="1:13">
      <c r="A711" s="213"/>
      <c r="B711" s="278"/>
      <c r="C711" s="278"/>
      <c r="D711" s="278"/>
      <c r="E711" s="279"/>
      <c r="F711" s="278"/>
      <c r="G711" s="278"/>
      <c r="H711" s="278"/>
      <c r="I711" s="279"/>
      <c r="J711" s="278"/>
      <c r="K711" s="278"/>
      <c r="L711" s="278"/>
      <c r="M711" s="212"/>
    </row>
    <row r="712" spans="1:13">
      <c r="A712" s="213"/>
      <c r="B712" s="278"/>
      <c r="C712" s="278"/>
      <c r="D712" s="278"/>
      <c r="E712" s="279"/>
      <c r="F712" s="278"/>
      <c r="G712" s="278"/>
      <c r="H712" s="278"/>
      <c r="I712" s="279"/>
      <c r="J712" s="278"/>
      <c r="K712" s="278"/>
      <c r="L712" s="278"/>
      <c r="M712" s="212"/>
    </row>
    <row r="713" spans="1:13">
      <c r="A713" s="213"/>
      <c r="B713" s="278"/>
      <c r="C713" s="278"/>
      <c r="D713" s="278"/>
      <c r="E713" s="279"/>
      <c r="F713" s="278"/>
      <c r="G713" s="278"/>
      <c r="H713" s="278"/>
      <c r="I713" s="279"/>
      <c r="J713" s="278"/>
      <c r="K713" s="278"/>
      <c r="L713" s="278"/>
      <c r="M713" s="212"/>
    </row>
    <row r="714" spans="1:13">
      <c r="A714" s="213"/>
      <c r="B714" s="278"/>
      <c r="C714" s="278"/>
      <c r="D714" s="278"/>
      <c r="E714" s="279"/>
      <c r="F714" s="278"/>
      <c r="G714" s="278"/>
      <c r="H714" s="278"/>
      <c r="I714" s="279"/>
      <c r="J714" s="278"/>
      <c r="K714" s="278"/>
      <c r="L714" s="278"/>
      <c r="M714" s="212"/>
    </row>
    <row r="715" spans="1:13">
      <c r="A715" s="213"/>
      <c r="B715" s="278"/>
      <c r="C715" s="278"/>
      <c r="D715" s="278"/>
      <c r="E715" s="279"/>
      <c r="F715" s="278"/>
      <c r="G715" s="278"/>
      <c r="H715" s="278"/>
      <c r="I715" s="279"/>
      <c r="J715" s="278"/>
      <c r="K715" s="278"/>
      <c r="L715" s="278"/>
      <c r="M715" s="212"/>
    </row>
    <row r="716" spans="1:13">
      <c r="A716" s="213"/>
      <c r="B716" s="279"/>
      <c r="C716" s="279"/>
      <c r="D716" s="279"/>
      <c r="E716" s="279"/>
      <c r="F716" s="279"/>
      <c r="G716" s="279"/>
      <c r="H716" s="279"/>
      <c r="I716" s="279"/>
      <c r="J716" s="279"/>
      <c r="K716" s="279"/>
      <c r="L716" s="279"/>
      <c r="M716" s="212"/>
    </row>
    <row r="717" spans="1:13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6"/>
      <c r="M717" s="212"/>
    </row>
    <row r="718" spans="1:13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60"/>
      <c r="M718" s="212"/>
    </row>
    <row r="719" spans="1:13" ht="12.95">
      <c r="A719" s="234"/>
      <c r="B719" s="217"/>
      <c r="C719" s="217"/>
      <c r="D719" s="217"/>
      <c r="E719" s="217"/>
      <c r="F719" s="217"/>
      <c r="G719" s="217"/>
      <c r="H719" s="217"/>
      <c r="I719" s="217"/>
      <c r="J719" s="217"/>
      <c r="K719" s="217"/>
      <c r="L719" s="212"/>
      <c r="M719" s="212"/>
    </row>
    <row r="720" spans="1:13" ht="12.95">
      <c r="A720" s="217"/>
      <c r="B720" s="367"/>
      <c r="C720" s="367"/>
      <c r="D720" s="367"/>
      <c r="E720" s="229"/>
      <c r="F720" s="367"/>
      <c r="G720" s="367"/>
      <c r="H720" s="367"/>
      <c r="I720" s="229"/>
      <c r="J720" s="367"/>
      <c r="K720" s="367"/>
      <c r="L720" s="367"/>
      <c r="M720" s="212"/>
    </row>
    <row r="721" spans="1:13" ht="12.95">
      <c r="A721" s="234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12"/>
    </row>
    <row r="722" spans="1:13" ht="12.95">
      <c r="A722" s="234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12"/>
    </row>
    <row r="723" spans="1:13">
      <c r="A723" s="213"/>
      <c r="B723" s="278"/>
      <c r="C723" s="278"/>
      <c r="D723" s="278"/>
      <c r="E723" s="279"/>
      <c r="F723" s="278"/>
      <c r="G723" s="278"/>
      <c r="H723" s="278"/>
      <c r="I723" s="279"/>
      <c r="J723" s="278"/>
      <c r="K723" s="278"/>
      <c r="L723" s="278"/>
      <c r="M723" s="212"/>
    </row>
    <row r="724" spans="1:13">
      <c r="A724" s="213"/>
      <c r="B724" s="278"/>
      <c r="C724" s="278"/>
      <c r="D724" s="278"/>
      <c r="E724" s="279"/>
      <c r="F724" s="278"/>
      <c r="G724" s="278"/>
      <c r="H724" s="278"/>
      <c r="I724" s="279"/>
      <c r="J724" s="278"/>
      <c r="K724" s="278"/>
      <c r="L724" s="278"/>
      <c r="M724" s="212"/>
    </row>
    <row r="725" spans="1:13">
      <c r="A725" s="213"/>
      <c r="B725" s="278"/>
      <c r="C725" s="278"/>
      <c r="D725" s="278"/>
      <c r="E725" s="279"/>
      <c r="F725" s="278"/>
      <c r="G725" s="278"/>
      <c r="H725" s="278"/>
      <c r="I725" s="279"/>
      <c r="J725" s="278"/>
      <c r="K725" s="278"/>
      <c r="L725" s="278"/>
      <c r="M725" s="212"/>
    </row>
    <row r="726" spans="1:13">
      <c r="A726" s="213"/>
      <c r="B726" s="278"/>
      <c r="C726" s="278"/>
      <c r="D726" s="278"/>
      <c r="E726" s="279"/>
      <c r="F726" s="278"/>
      <c r="G726" s="278"/>
      <c r="H726" s="278"/>
      <c r="I726" s="279"/>
      <c r="J726" s="278"/>
      <c r="K726" s="278"/>
      <c r="L726" s="278"/>
      <c r="M726" s="212"/>
    </row>
    <row r="727" spans="1:13">
      <c r="A727" s="213"/>
      <c r="B727" s="278"/>
      <c r="C727" s="278"/>
      <c r="D727" s="278"/>
      <c r="E727" s="279"/>
      <c r="F727" s="278"/>
      <c r="G727" s="278"/>
      <c r="H727" s="278"/>
      <c r="I727" s="279"/>
      <c r="J727" s="278"/>
      <c r="K727" s="278"/>
      <c r="L727" s="278"/>
      <c r="M727" s="212"/>
    </row>
    <row r="728" spans="1:13">
      <c r="A728" s="213"/>
      <c r="B728" s="278"/>
      <c r="C728" s="278"/>
      <c r="D728" s="278"/>
      <c r="E728" s="279"/>
      <c r="F728" s="278"/>
      <c r="G728" s="278"/>
      <c r="H728" s="278"/>
      <c r="I728" s="279"/>
      <c r="J728" s="278"/>
      <c r="K728" s="278"/>
      <c r="L728" s="278"/>
      <c r="M728" s="212"/>
    </row>
    <row r="729" spans="1:13">
      <c r="A729" s="213"/>
      <c r="B729" s="278"/>
      <c r="C729" s="278"/>
      <c r="D729" s="278"/>
      <c r="E729" s="279"/>
      <c r="F729" s="278"/>
      <c r="G729" s="278"/>
      <c r="H729" s="278"/>
      <c r="I729" s="279"/>
      <c r="J729" s="278"/>
      <c r="K729" s="278"/>
      <c r="L729" s="278"/>
      <c r="M729" s="212"/>
    </row>
    <row r="730" spans="1:13">
      <c r="A730" s="213"/>
      <c r="B730" s="278"/>
      <c r="C730" s="278"/>
      <c r="D730" s="278"/>
      <c r="E730" s="279"/>
      <c r="F730" s="278"/>
      <c r="G730" s="278"/>
      <c r="H730" s="278"/>
      <c r="I730" s="279"/>
      <c r="J730" s="278"/>
      <c r="K730" s="278"/>
      <c r="L730" s="278"/>
      <c r="M730" s="212"/>
    </row>
    <row r="731" spans="1:13">
      <c r="A731" s="213"/>
      <c r="B731" s="278"/>
      <c r="C731" s="278"/>
      <c r="D731" s="278"/>
      <c r="E731" s="279"/>
      <c r="F731" s="278"/>
      <c r="G731" s="278"/>
      <c r="H731" s="278"/>
      <c r="I731" s="279"/>
      <c r="J731" s="278"/>
      <c r="K731" s="278"/>
      <c r="L731" s="278"/>
      <c r="M731" s="212"/>
    </row>
    <row r="732" spans="1:13">
      <c r="A732" s="213"/>
      <c r="B732" s="278"/>
      <c r="C732" s="278"/>
      <c r="D732" s="278"/>
      <c r="E732" s="279"/>
      <c r="F732" s="278"/>
      <c r="G732" s="278"/>
      <c r="H732" s="278"/>
      <c r="I732" s="279"/>
      <c r="J732" s="278"/>
      <c r="K732" s="278"/>
      <c r="L732" s="278"/>
      <c r="M732" s="212"/>
    </row>
    <row r="733" spans="1:13">
      <c r="A733" s="213"/>
      <c r="B733" s="279"/>
      <c r="C733" s="279"/>
      <c r="D733" s="279"/>
      <c r="E733" s="279"/>
      <c r="F733" s="279"/>
      <c r="G733" s="279"/>
      <c r="H733" s="279"/>
      <c r="I733" s="279"/>
      <c r="J733" s="279"/>
      <c r="K733" s="279"/>
      <c r="L733" s="279"/>
      <c r="M733" s="212"/>
    </row>
    <row r="734" spans="1:13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6"/>
      <c r="M734" s="212"/>
    </row>
    <row r="735" spans="1:13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60"/>
      <c r="M735" s="212"/>
    </row>
    <row r="736" spans="1:13" ht="12.95">
      <c r="A736" s="234"/>
      <c r="B736" s="217"/>
      <c r="C736" s="217"/>
      <c r="D736" s="217"/>
      <c r="E736" s="217"/>
      <c r="F736" s="217"/>
      <c r="G736" s="217"/>
      <c r="H736" s="217"/>
      <c r="I736" s="217"/>
      <c r="J736" s="217"/>
      <c r="K736" s="217"/>
      <c r="L736" s="212"/>
      <c r="M736" s="212"/>
    </row>
    <row r="737" spans="1:13" ht="12.95">
      <c r="A737" s="217"/>
      <c r="B737" s="367"/>
      <c r="C737" s="367"/>
      <c r="D737" s="367"/>
      <c r="E737" s="229"/>
      <c r="F737" s="367"/>
      <c r="G737" s="367"/>
      <c r="H737" s="367"/>
      <c r="I737" s="229"/>
      <c r="J737" s="367"/>
      <c r="K737" s="367"/>
      <c r="L737" s="367"/>
      <c r="M737" s="212"/>
    </row>
    <row r="738" spans="1:13" ht="12.95">
      <c r="A738" s="234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12"/>
    </row>
    <row r="739" spans="1:13" ht="12.95">
      <c r="A739" s="234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12"/>
    </row>
    <row r="740" spans="1:13">
      <c r="A740" s="213"/>
      <c r="B740" s="278"/>
      <c r="C740" s="278"/>
      <c r="D740" s="278"/>
      <c r="E740" s="279"/>
      <c r="F740" s="278"/>
      <c r="G740" s="278"/>
      <c r="H740" s="278"/>
      <c r="I740" s="279"/>
      <c r="J740" s="278"/>
      <c r="K740" s="278"/>
      <c r="L740" s="278"/>
      <c r="M740" s="212"/>
    </row>
    <row r="741" spans="1:13">
      <c r="A741" s="213"/>
      <c r="B741" s="278"/>
      <c r="C741" s="278"/>
      <c r="D741" s="278"/>
      <c r="E741" s="279"/>
      <c r="F741" s="278"/>
      <c r="G741" s="278"/>
      <c r="H741" s="278"/>
      <c r="I741" s="279"/>
      <c r="J741" s="278"/>
      <c r="K741" s="278"/>
      <c r="L741" s="278"/>
      <c r="M741" s="212"/>
    </row>
    <row r="742" spans="1:13">
      <c r="A742" s="213"/>
      <c r="B742" s="278"/>
      <c r="C742" s="278"/>
      <c r="D742" s="278"/>
      <c r="E742" s="279"/>
      <c r="F742" s="278"/>
      <c r="G742" s="278"/>
      <c r="H742" s="278"/>
      <c r="I742" s="279"/>
      <c r="J742" s="278"/>
      <c r="K742" s="278"/>
      <c r="L742" s="278"/>
      <c r="M742" s="212"/>
    </row>
    <row r="743" spans="1:13">
      <c r="A743" s="213"/>
      <c r="B743" s="278"/>
      <c r="C743" s="278"/>
      <c r="D743" s="278"/>
      <c r="E743" s="279"/>
      <c r="F743" s="278"/>
      <c r="G743" s="278"/>
      <c r="H743" s="278"/>
      <c r="I743" s="279"/>
      <c r="J743" s="278"/>
      <c r="K743" s="278"/>
      <c r="L743" s="278"/>
      <c r="M743" s="212"/>
    </row>
    <row r="744" spans="1:13">
      <c r="A744" s="213"/>
      <c r="B744" s="278"/>
      <c r="C744" s="278"/>
      <c r="D744" s="278"/>
      <c r="E744" s="279"/>
      <c r="F744" s="278"/>
      <c r="G744" s="278"/>
      <c r="H744" s="278"/>
      <c r="I744" s="279"/>
      <c r="J744" s="278"/>
      <c r="K744" s="278"/>
      <c r="L744" s="278"/>
      <c r="M744" s="212"/>
    </row>
    <row r="745" spans="1:13">
      <c r="A745" s="213"/>
      <c r="B745" s="278"/>
      <c r="C745" s="278"/>
      <c r="D745" s="278"/>
      <c r="E745" s="279"/>
      <c r="F745" s="278"/>
      <c r="G745" s="278"/>
      <c r="H745" s="278"/>
      <c r="I745" s="279"/>
      <c r="J745" s="278"/>
      <c r="K745" s="278"/>
      <c r="L745" s="278"/>
      <c r="M745" s="212"/>
    </row>
    <row r="746" spans="1:13">
      <c r="A746" s="213"/>
      <c r="B746" s="278"/>
      <c r="C746" s="278"/>
      <c r="D746" s="278"/>
      <c r="E746" s="279"/>
      <c r="F746" s="278"/>
      <c r="G746" s="278"/>
      <c r="H746" s="278"/>
      <c r="I746" s="279"/>
      <c r="J746" s="278"/>
      <c r="K746" s="278"/>
      <c r="L746" s="278"/>
      <c r="M746" s="212"/>
    </row>
    <row r="747" spans="1:13">
      <c r="A747" s="213"/>
      <c r="B747" s="278"/>
      <c r="C747" s="278"/>
      <c r="D747" s="278"/>
      <c r="E747" s="279"/>
      <c r="F747" s="278"/>
      <c r="G747" s="278"/>
      <c r="H747" s="278"/>
      <c r="I747" s="279"/>
      <c r="J747" s="278"/>
      <c r="K747" s="278"/>
      <c r="L747" s="278"/>
      <c r="M747" s="212"/>
    </row>
    <row r="748" spans="1:13">
      <c r="A748" s="213"/>
      <c r="B748" s="278"/>
      <c r="C748" s="278"/>
      <c r="D748" s="278"/>
      <c r="E748" s="279"/>
      <c r="F748" s="278"/>
      <c r="G748" s="278"/>
      <c r="H748" s="278"/>
      <c r="I748" s="279"/>
      <c r="J748" s="278"/>
      <c r="K748" s="278"/>
      <c r="L748" s="278"/>
      <c r="M748" s="212"/>
    </row>
    <row r="749" spans="1:13">
      <c r="A749" s="213"/>
      <c r="B749" s="278"/>
      <c r="C749" s="278"/>
      <c r="D749" s="278"/>
      <c r="E749" s="279"/>
      <c r="F749" s="278"/>
      <c r="G749" s="278"/>
      <c r="H749" s="278"/>
      <c r="I749" s="279"/>
      <c r="J749" s="278"/>
      <c r="K749" s="278"/>
      <c r="L749" s="278"/>
      <c r="M749" s="212"/>
    </row>
    <row r="750" spans="1:13">
      <c r="A750" s="213"/>
      <c r="B750" s="279"/>
      <c r="C750" s="279"/>
      <c r="D750" s="279"/>
      <c r="E750" s="279"/>
      <c r="F750" s="279"/>
      <c r="G750" s="279"/>
      <c r="H750" s="279"/>
      <c r="I750" s="279"/>
      <c r="J750" s="279"/>
      <c r="K750" s="279"/>
      <c r="L750" s="279"/>
      <c r="M750" s="212"/>
    </row>
    <row r="751" spans="1:13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6"/>
      <c r="M751" s="212"/>
    </row>
    <row r="752" spans="1:13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60"/>
      <c r="M752" s="212"/>
    </row>
    <row r="753" spans="1:13" ht="12.95">
      <c r="A753" s="234"/>
      <c r="B753" s="217"/>
      <c r="C753" s="217"/>
      <c r="D753" s="217"/>
      <c r="E753" s="217"/>
      <c r="F753" s="217"/>
      <c r="G753" s="217"/>
      <c r="H753" s="217"/>
      <c r="I753" s="217"/>
      <c r="J753" s="217"/>
      <c r="K753" s="217"/>
      <c r="L753" s="212"/>
      <c r="M753" s="212"/>
    </row>
    <row r="754" spans="1:13" ht="12.95">
      <c r="A754" s="217"/>
      <c r="B754" s="367"/>
      <c r="C754" s="367"/>
      <c r="D754" s="367"/>
      <c r="E754" s="229"/>
      <c r="F754" s="367"/>
      <c r="G754" s="367"/>
      <c r="H754" s="367"/>
      <c r="I754" s="229"/>
      <c r="J754" s="367"/>
      <c r="K754" s="367"/>
      <c r="L754" s="367"/>
      <c r="M754" s="212"/>
    </row>
    <row r="755" spans="1:13" ht="12.95">
      <c r="A755" s="234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12"/>
    </row>
    <row r="756" spans="1:13" ht="12.95">
      <c r="A756" s="234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12"/>
    </row>
    <row r="757" spans="1:13">
      <c r="A757" s="213"/>
      <c r="B757" s="278"/>
      <c r="C757" s="278"/>
      <c r="D757" s="278"/>
      <c r="E757" s="279"/>
      <c r="F757" s="278"/>
      <c r="G757" s="278"/>
      <c r="H757" s="278"/>
      <c r="I757" s="279"/>
      <c r="J757" s="278"/>
      <c r="K757" s="278"/>
      <c r="L757" s="278"/>
      <c r="M757" s="212"/>
    </row>
    <row r="758" spans="1:13">
      <c r="A758" s="213"/>
      <c r="B758" s="278"/>
      <c r="C758" s="278"/>
      <c r="D758" s="278"/>
      <c r="E758" s="279"/>
      <c r="F758" s="278"/>
      <c r="G758" s="278"/>
      <c r="H758" s="278"/>
      <c r="I758" s="279"/>
      <c r="J758" s="278"/>
      <c r="K758" s="278"/>
      <c r="L758" s="278"/>
      <c r="M758" s="212"/>
    </row>
    <row r="759" spans="1:13">
      <c r="A759" s="213"/>
      <c r="B759" s="278"/>
      <c r="C759" s="278"/>
      <c r="D759" s="278"/>
      <c r="E759" s="279"/>
      <c r="F759" s="278"/>
      <c r="G759" s="278"/>
      <c r="H759" s="278"/>
      <c r="I759" s="279"/>
      <c r="J759" s="278"/>
      <c r="K759" s="278"/>
      <c r="L759" s="278"/>
      <c r="M759" s="212"/>
    </row>
    <row r="760" spans="1:13">
      <c r="A760" s="213"/>
      <c r="B760" s="278"/>
      <c r="C760" s="278"/>
      <c r="D760" s="278"/>
      <c r="E760" s="279"/>
      <c r="F760" s="278"/>
      <c r="G760" s="278"/>
      <c r="H760" s="278"/>
      <c r="I760" s="279"/>
      <c r="J760" s="278"/>
      <c r="K760" s="278"/>
      <c r="L760" s="278"/>
      <c r="M760" s="212"/>
    </row>
    <row r="761" spans="1:13">
      <c r="A761" s="213"/>
      <c r="B761" s="278"/>
      <c r="C761" s="278"/>
      <c r="D761" s="278"/>
      <c r="E761" s="279"/>
      <c r="F761" s="278"/>
      <c r="G761" s="278"/>
      <c r="H761" s="278"/>
      <c r="I761" s="279"/>
      <c r="J761" s="278"/>
      <c r="K761" s="278"/>
      <c r="L761" s="278"/>
      <c r="M761" s="212"/>
    </row>
    <row r="762" spans="1:13">
      <c r="A762" s="213"/>
      <c r="B762" s="278"/>
      <c r="C762" s="278"/>
      <c r="D762" s="278"/>
      <c r="E762" s="279"/>
      <c r="F762" s="278"/>
      <c r="G762" s="278"/>
      <c r="H762" s="278"/>
      <c r="I762" s="279"/>
      <c r="J762" s="278"/>
      <c r="K762" s="278"/>
      <c r="L762" s="278"/>
      <c r="M762" s="212"/>
    </row>
    <row r="763" spans="1:13">
      <c r="A763" s="213"/>
      <c r="B763" s="278"/>
      <c r="C763" s="278"/>
      <c r="D763" s="278"/>
      <c r="E763" s="279"/>
      <c r="F763" s="278"/>
      <c r="G763" s="278"/>
      <c r="H763" s="278"/>
      <c r="I763" s="279"/>
      <c r="J763" s="278"/>
      <c r="K763" s="278"/>
      <c r="L763" s="278"/>
      <c r="M763" s="212"/>
    </row>
    <row r="764" spans="1:13">
      <c r="A764" s="213"/>
      <c r="B764" s="278"/>
      <c r="C764" s="278"/>
      <c r="D764" s="278"/>
      <c r="E764" s="279"/>
      <c r="F764" s="278"/>
      <c r="G764" s="278"/>
      <c r="H764" s="278"/>
      <c r="I764" s="279"/>
      <c r="J764" s="278"/>
      <c r="K764" s="278"/>
      <c r="L764" s="278"/>
      <c r="M764" s="212"/>
    </row>
    <row r="765" spans="1:13">
      <c r="A765" s="213"/>
      <c r="B765" s="278"/>
      <c r="C765" s="278"/>
      <c r="D765" s="278"/>
      <c r="E765" s="279"/>
      <c r="F765" s="278"/>
      <c r="G765" s="278"/>
      <c r="H765" s="278"/>
      <c r="I765" s="279"/>
      <c r="J765" s="278"/>
      <c r="K765" s="278"/>
      <c r="L765" s="278"/>
      <c r="M765" s="212"/>
    </row>
    <row r="766" spans="1:13">
      <c r="A766" s="213"/>
      <c r="B766" s="278"/>
      <c r="C766" s="278"/>
      <c r="D766" s="278"/>
      <c r="E766" s="279"/>
      <c r="F766" s="278"/>
      <c r="G766" s="278"/>
      <c r="H766" s="278"/>
      <c r="I766" s="279"/>
      <c r="J766" s="278"/>
      <c r="K766" s="278"/>
      <c r="L766" s="278"/>
      <c r="M766" s="212"/>
    </row>
    <row r="767" spans="1:13">
      <c r="A767" s="213"/>
      <c r="B767" s="279"/>
      <c r="C767" s="279"/>
      <c r="D767" s="279"/>
      <c r="E767" s="279"/>
      <c r="F767" s="279"/>
      <c r="G767" s="279"/>
      <c r="H767" s="279"/>
      <c r="I767" s="279"/>
      <c r="J767" s="279"/>
      <c r="K767" s="279"/>
      <c r="L767" s="279"/>
      <c r="M767" s="212"/>
    </row>
    <row r="768" spans="1:13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6"/>
      <c r="M768" s="212"/>
    </row>
    <row r="769" spans="1:13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60"/>
      <c r="M769" s="212"/>
    </row>
    <row r="770" spans="1:13" ht="12.95">
      <c r="A770" s="234"/>
      <c r="B770" s="217"/>
      <c r="C770" s="217"/>
      <c r="D770" s="217"/>
      <c r="E770" s="217"/>
      <c r="F770" s="217"/>
      <c r="G770" s="217"/>
      <c r="H770" s="217"/>
      <c r="I770" s="217"/>
      <c r="J770" s="217"/>
      <c r="K770" s="217"/>
      <c r="L770" s="212"/>
      <c r="M770" s="212"/>
    </row>
    <row r="771" spans="1:13" ht="12.95">
      <c r="A771" s="217"/>
      <c r="B771" s="367"/>
      <c r="C771" s="367"/>
      <c r="D771" s="367"/>
      <c r="E771" s="229"/>
      <c r="F771" s="367"/>
      <c r="G771" s="367"/>
      <c r="H771" s="367"/>
      <c r="I771" s="229"/>
      <c r="J771" s="367"/>
      <c r="K771" s="367"/>
      <c r="L771" s="367"/>
      <c r="M771" s="212"/>
    </row>
    <row r="772" spans="1:13" ht="12.95">
      <c r="A772" s="234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12"/>
    </row>
    <row r="773" spans="1:13" ht="12.95">
      <c r="A773" s="234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12"/>
    </row>
    <row r="774" spans="1:13">
      <c r="A774" s="213"/>
      <c r="B774" s="278"/>
      <c r="C774" s="278"/>
      <c r="D774" s="278"/>
      <c r="E774" s="279"/>
      <c r="F774" s="278"/>
      <c r="G774" s="278"/>
      <c r="H774" s="278"/>
      <c r="I774" s="279"/>
      <c r="J774" s="278"/>
      <c r="K774" s="278"/>
      <c r="L774" s="278"/>
      <c r="M774" s="212"/>
    </row>
    <row r="775" spans="1:13">
      <c r="A775" s="213"/>
      <c r="B775" s="278"/>
      <c r="C775" s="278"/>
      <c r="D775" s="278"/>
      <c r="E775" s="279"/>
      <c r="F775" s="278"/>
      <c r="G775" s="278"/>
      <c r="H775" s="278"/>
      <c r="I775" s="279"/>
      <c r="J775" s="278"/>
      <c r="K775" s="278"/>
      <c r="L775" s="278"/>
      <c r="M775" s="212"/>
    </row>
    <row r="776" spans="1:13">
      <c r="A776" s="213"/>
      <c r="B776" s="278"/>
      <c r="C776" s="278"/>
      <c r="D776" s="278"/>
      <c r="E776" s="279"/>
      <c r="F776" s="278"/>
      <c r="G776" s="278"/>
      <c r="H776" s="278"/>
      <c r="I776" s="279"/>
      <c r="J776" s="278"/>
      <c r="K776" s="278"/>
      <c r="L776" s="278"/>
      <c r="M776" s="212"/>
    </row>
    <row r="777" spans="1:13">
      <c r="A777" s="213"/>
      <c r="B777" s="278"/>
      <c r="C777" s="278"/>
      <c r="D777" s="278"/>
      <c r="E777" s="279"/>
      <c r="F777" s="278"/>
      <c r="G777" s="278"/>
      <c r="H777" s="278"/>
      <c r="I777" s="279"/>
      <c r="J777" s="278"/>
      <c r="K777" s="278"/>
      <c r="L777" s="278"/>
      <c r="M777" s="212"/>
    </row>
    <row r="778" spans="1:13">
      <c r="A778" s="213"/>
      <c r="B778" s="278"/>
      <c r="C778" s="278"/>
      <c r="D778" s="278"/>
      <c r="E778" s="279"/>
      <c r="F778" s="278"/>
      <c r="G778" s="278"/>
      <c r="H778" s="278"/>
      <c r="I778" s="279"/>
      <c r="J778" s="278"/>
      <c r="K778" s="278"/>
      <c r="L778" s="278"/>
      <c r="M778" s="212"/>
    </row>
    <row r="779" spans="1:13">
      <c r="A779" s="213"/>
      <c r="B779" s="278"/>
      <c r="C779" s="278"/>
      <c r="D779" s="278"/>
      <c r="E779" s="279"/>
      <c r="F779" s="278"/>
      <c r="G779" s="278"/>
      <c r="H779" s="278"/>
      <c r="I779" s="279"/>
      <c r="J779" s="278"/>
      <c r="K779" s="278"/>
      <c r="L779" s="278"/>
      <c r="M779" s="212"/>
    </row>
    <row r="780" spans="1:13">
      <c r="A780" s="213"/>
      <c r="B780" s="278"/>
      <c r="C780" s="278"/>
      <c r="D780" s="278"/>
      <c r="E780" s="279"/>
      <c r="F780" s="278"/>
      <c r="G780" s="278"/>
      <c r="H780" s="278"/>
      <c r="I780" s="279"/>
      <c r="J780" s="278"/>
      <c r="K780" s="278"/>
      <c r="L780" s="278"/>
      <c r="M780" s="212"/>
    </row>
    <row r="781" spans="1:13">
      <c r="A781" s="213"/>
      <c r="B781" s="278"/>
      <c r="C781" s="278"/>
      <c r="D781" s="278"/>
      <c r="E781" s="279"/>
      <c r="F781" s="278"/>
      <c r="G781" s="278"/>
      <c r="H781" s="278"/>
      <c r="I781" s="279"/>
      <c r="J781" s="278"/>
      <c r="K781" s="278"/>
      <c r="L781" s="278"/>
      <c r="M781" s="212"/>
    </row>
    <row r="782" spans="1:13">
      <c r="A782" s="213"/>
      <c r="B782" s="278"/>
      <c r="C782" s="278"/>
      <c r="D782" s="278"/>
      <c r="E782" s="279"/>
      <c r="F782" s="278"/>
      <c r="G782" s="278"/>
      <c r="H782" s="278"/>
      <c r="I782" s="279"/>
      <c r="J782" s="278"/>
      <c r="K782" s="278"/>
      <c r="L782" s="278"/>
      <c r="M782" s="212"/>
    </row>
    <row r="783" spans="1:13">
      <c r="A783" s="213"/>
      <c r="B783" s="278"/>
      <c r="C783" s="278"/>
      <c r="D783" s="278"/>
      <c r="E783" s="279"/>
      <c r="F783" s="278"/>
      <c r="G783" s="278"/>
      <c r="H783" s="278"/>
      <c r="I783" s="279"/>
      <c r="J783" s="278"/>
      <c r="K783" s="278"/>
      <c r="L783" s="278"/>
      <c r="M783" s="212"/>
    </row>
    <row r="784" spans="1:13">
      <c r="A784" s="213"/>
      <c r="B784" s="279"/>
      <c r="C784" s="279"/>
      <c r="D784" s="279"/>
      <c r="E784" s="279"/>
      <c r="F784" s="279"/>
      <c r="G784" s="279"/>
      <c r="H784" s="279"/>
      <c r="I784" s="279"/>
      <c r="J784" s="279"/>
      <c r="K784" s="279"/>
      <c r="L784" s="279"/>
      <c r="M784" s="212"/>
    </row>
    <row r="785" spans="1:13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6"/>
      <c r="M785" s="212"/>
    </row>
    <row r="786" spans="1:13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60"/>
      <c r="M786" s="212"/>
    </row>
    <row r="787" spans="1:13" ht="12.95">
      <c r="A787" s="234"/>
      <c r="B787" s="217"/>
      <c r="C787" s="217"/>
      <c r="D787" s="217"/>
      <c r="E787" s="217"/>
      <c r="F787" s="217"/>
      <c r="G787" s="217"/>
      <c r="H787" s="217"/>
      <c r="I787" s="217"/>
      <c r="J787" s="217"/>
      <c r="K787" s="217"/>
      <c r="L787" s="212"/>
      <c r="M787" s="212"/>
    </row>
    <row r="788" spans="1:13" ht="12.95">
      <c r="A788" s="217"/>
      <c r="B788" s="367"/>
      <c r="C788" s="367"/>
      <c r="D788" s="367"/>
      <c r="E788" s="229"/>
      <c r="F788" s="367"/>
      <c r="G788" s="367"/>
      <c r="H788" s="367"/>
      <c r="I788" s="229"/>
      <c r="J788" s="367"/>
      <c r="K788" s="367"/>
      <c r="L788" s="367"/>
      <c r="M788" s="212"/>
    </row>
    <row r="789" spans="1:13" ht="12.95">
      <c r="A789" s="234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12"/>
    </row>
    <row r="790" spans="1:13" ht="12.95">
      <c r="A790" s="234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12"/>
    </row>
    <row r="791" spans="1:13">
      <c r="A791" s="213"/>
      <c r="B791" s="278"/>
      <c r="C791" s="278"/>
      <c r="D791" s="278"/>
      <c r="E791" s="279"/>
      <c r="F791" s="278"/>
      <c r="G791" s="278"/>
      <c r="H791" s="278"/>
      <c r="I791" s="279"/>
      <c r="J791" s="278"/>
      <c r="K791" s="278"/>
      <c r="L791" s="278"/>
      <c r="M791" s="212"/>
    </row>
    <row r="792" spans="1:13">
      <c r="A792" s="213"/>
      <c r="B792" s="278"/>
      <c r="C792" s="278"/>
      <c r="D792" s="278"/>
      <c r="E792" s="279"/>
      <c r="F792" s="278"/>
      <c r="G792" s="278"/>
      <c r="H792" s="278"/>
      <c r="I792" s="279"/>
      <c r="J792" s="278"/>
      <c r="K792" s="278"/>
      <c r="L792" s="278"/>
      <c r="M792" s="212"/>
    </row>
    <row r="793" spans="1:13">
      <c r="A793" s="213"/>
      <c r="B793" s="278"/>
      <c r="C793" s="278"/>
      <c r="D793" s="278"/>
      <c r="E793" s="279"/>
      <c r="F793" s="278"/>
      <c r="G793" s="278"/>
      <c r="H793" s="278"/>
      <c r="I793" s="279"/>
      <c r="J793" s="278"/>
      <c r="K793" s="278"/>
      <c r="L793" s="278"/>
      <c r="M793" s="212"/>
    </row>
    <row r="794" spans="1:13">
      <c r="A794" s="213"/>
      <c r="B794" s="278"/>
      <c r="C794" s="278"/>
      <c r="D794" s="278"/>
      <c r="E794" s="279"/>
      <c r="F794" s="278"/>
      <c r="G794" s="278"/>
      <c r="H794" s="278"/>
      <c r="I794" s="279"/>
      <c r="J794" s="278"/>
      <c r="K794" s="278"/>
      <c r="L794" s="278"/>
      <c r="M794" s="212"/>
    </row>
    <row r="795" spans="1:13">
      <c r="A795" s="213"/>
      <c r="B795" s="278"/>
      <c r="C795" s="278"/>
      <c r="D795" s="278"/>
      <c r="E795" s="279"/>
      <c r="F795" s="278"/>
      <c r="G795" s="278"/>
      <c r="H795" s="278"/>
      <c r="I795" s="279"/>
      <c r="J795" s="278"/>
      <c r="K795" s="278"/>
      <c r="L795" s="278"/>
      <c r="M795" s="212"/>
    </row>
    <row r="796" spans="1:13">
      <c r="A796" s="213"/>
      <c r="B796" s="278"/>
      <c r="C796" s="278"/>
      <c r="D796" s="278"/>
      <c r="E796" s="279"/>
      <c r="F796" s="278"/>
      <c r="G796" s="278"/>
      <c r="H796" s="278"/>
      <c r="I796" s="279"/>
      <c r="J796" s="278"/>
      <c r="K796" s="278"/>
      <c r="L796" s="278"/>
      <c r="M796" s="212"/>
    </row>
    <row r="797" spans="1:13">
      <c r="A797" s="213"/>
      <c r="B797" s="278"/>
      <c r="C797" s="278"/>
      <c r="D797" s="278"/>
      <c r="E797" s="279"/>
      <c r="F797" s="278"/>
      <c r="G797" s="278"/>
      <c r="H797" s="278"/>
      <c r="I797" s="279"/>
      <c r="J797" s="278"/>
      <c r="K797" s="278"/>
      <c r="L797" s="278"/>
      <c r="M797" s="212"/>
    </row>
    <row r="798" spans="1:13">
      <c r="A798" s="213"/>
      <c r="B798" s="278"/>
      <c r="C798" s="278"/>
      <c r="D798" s="278"/>
      <c r="E798" s="279"/>
      <c r="F798" s="278"/>
      <c r="G798" s="278"/>
      <c r="H798" s="278"/>
      <c r="I798" s="279"/>
      <c r="J798" s="278"/>
      <c r="K798" s="278"/>
      <c r="L798" s="278"/>
      <c r="M798" s="212"/>
    </row>
    <row r="799" spans="1:13">
      <c r="A799" s="213"/>
      <c r="B799" s="278"/>
      <c r="C799" s="278"/>
      <c r="D799" s="278"/>
      <c r="E799" s="279"/>
      <c r="F799" s="278"/>
      <c r="G799" s="278"/>
      <c r="H799" s="278"/>
      <c r="I799" s="279"/>
      <c r="J799" s="278"/>
      <c r="K799" s="278"/>
      <c r="L799" s="278"/>
      <c r="M799" s="212"/>
    </row>
    <row r="800" spans="1:13">
      <c r="A800" s="213"/>
      <c r="B800" s="278"/>
      <c r="C800" s="278"/>
      <c r="D800" s="278"/>
      <c r="E800" s="279"/>
      <c r="F800" s="278"/>
      <c r="G800" s="278"/>
      <c r="H800" s="278"/>
      <c r="I800" s="279"/>
      <c r="J800" s="278"/>
      <c r="K800" s="278"/>
      <c r="L800" s="278"/>
      <c r="M800" s="212"/>
    </row>
    <row r="801" spans="1:13">
      <c r="A801" s="213"/>
      <c r="B801" s="279"/>
      <c r="C801" s="279"/>
      <c r="D801" s="279"/>
      <c r="E801" s="279"/>
      <c r="F801" s="279"/>
      <c r="G801" s="279"/>
      <c r="H801" s="279"/>
      <c r="I801" s="279"/>
      <c r="J801" s="279"/>
      <c r="K801" s="279"/>
      <c r="L801" s="279"/>
      <c r="M801" s="212"/>
    </row>
    <row r="802" spans="1:13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6"/>
      <c r="M802" s="212"/>
    </row>
    <row r="803" spans="1:13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60"/>
      <c r="M803" s="212"/>
    </row>
    <row r="804" spans="1:13" ht="12.95">
      <c r="A804" s="234"/>
      <c r="B804" s="217"/>
      <c r="C804" s="217"/>
      <c r="D804" s="217"/>
      <c r="E804" s="217"/>
      <c r="F804" s="217"/>
      <c r="G804" s="217"/>
      <c r="H804" s="217"/>
      <c r="I804" s="217"/>
      <c r="J804" s="217"/>
      <c r="K804" s="217"/>
      <c r="L804" s="212"/>
      <c r="M804" s="212"/>
    </row>
    <row r="805" spans="1:13" ht="12.95">
      <c r="A805" s="217"/>
      <c r="B805" s="367"/>
      <c r="C805" s="367"/>
      <c r="D805" s="367"/>
      <c r="E805" s="229"/>
      <c r="F805" s="367"/>
      <c r="G805" s="367"/>
      <c r="H805" s="367"/>
      <c r="I805" s="229"/>
      <c r="J805" s="367"/>
      <c r="K805" s="367"/>
      <c r="L805" s="367"/>
      <c r="M805" s="212"/>
    </row>
    <row r="806" spans="1:13" ht="12.95">
      <c r="A806" s="234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12"/>
    </row>
    <row r="807" spans="1:13" ht="12.95">
      <c r="A807" s="234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12"/>
    </row>
    <row r="808" spans="1:13">
      <c r="A808" s="213"/>
      <c r="B808" s="278"/>
      <c r="C808" s="278"/>
      <c r="D808" s="278"/>
      <c r="E808" s="279"/>
      <c r="F808" s="278"/>
      <c r="G808" s="278"/>
      <c r="H808" s="278"/>
      <c r="I808" s="279"/>
      <c r="J808" s="278"/>
      <c r="K808" s="278"/>
      <c r="L808" s="278"/>
      <c r="M808" s="212"/>
    </row>
    <row r="809" spans="1:13">
      <c r="A809" s="213"/>
      <c r="B809" s="278"/>
      <c r="C809" s="278"/>
      <c r="D809" s="278"/>
      <c r="E809" s="279"/>
      <c r="F809" s="278"/>
      <c r="G809" s="278"/>
      <c r="H809" s="278"/>
      <c r="I809" s="279"/>
      <c r="J809" s="278"/>
      <c r="K809" s="278"/>
      <c r="L809" s="278"/>
      <c r="M809" s="212"/>
    </row>
    <row r="810" spans="1:13">
      <c r="A810" s="213"/>
      <c r="B810" s="278"/>
      <c r="C810" s="278"/>
      <c r="D810" s="278"/>
      <c r="E810" s="279"/>
      <c r="F810" s="278"/>
      <c r="G810" s="278"/>
      <c r="H810" s="278"/>
      <c r="I810" s="279"/>
      <c r="J810" s="278"/>
      <c r="K810" s="278"/>
      <c r="L810" s="278"/>
      <c r="M810" s="212"/>
    </row>
    <row r="811" spans="1:13">
      <c r="A811" s="213"/>
      <c r="B811" s="278"/>
      <c r="C811" s="278"/>
      <c r="D811" s="278"/>
      <c r="E811" s="279"/>
      <c r="F811" s="278"/>
      <c r="G811" s="278"/>
      <c r="H811" s="278"/>
      <c r="I811" s="279"/>
      <c r="J811" s="278"/>
      <c r="K811" s="278"/>
      <c r="L811" s="278"/>
      <c r="M811" s="212"/>
    </row>
    <row r="812" spans="1:13">
      <c r="A812" s="213"/>
      <c r="B812" s="278"/>
      <c r="C812" s="278"/>
      <c r="D812" s="278"/>
      <c r="E812" s="279"/>
      <c r="F812" s="278"/>
      <c r="G812" s="278"/>
      <c r="H812" s="278"/>
      <c r="I812" s="279"/>
      <c r="J812" s="278"/>
      <c r="K812" s="278"/>
      <c r="L812" s="278"/>
      <c r="M812" s="212"/>
    </row>
    <row r="813" spans="1:13">
      <c r="A813" s="213"/>
      <c r="B813" s="278"/>
      <c r="C813" s="278"/>
      <c r="D813" s="278"/>
      <c r="E813" s="279"/>
      <c r="F813" s="278"/>
      <c r="G813" s="278"/>
      <c r="H813" s="278"/>
      <c r="I813" s="279"/>
      <c r="J813" s="278"/>
      <c r="K813" s="278"/>
      <c r="L813" s="278"/>
      <c r="M813" s="212"/>
    </row>
    <row r="814" spans="1:13">
      <c r="A814" s="213"/>
      <c r="B814" s="278"/>
      <c r="C814" s="278"/>
      <c r="D814" s="278"/>
      <c r="E814" s="279"/>
      <c r="F814" s="278"/>
      <c r="G814" s="278"/>
      <c r="H814" s="278"/>
      <c r="I814" s="279"/>
      <c r="J814" s="278"/>
      <c r="K814" s="278"/>
      <c r="L814" s="278"/>
      <c r="M814" s="212"/>
    </row>
    <row r="815" spans="1:13">
      <c r="A815" s="213"/>
      <c r="B815" s="278"/>
      <c r="C815" s="278"/>
      <c r="D815" s="278"/>
      <c r="E815" s="279"/>
      <c r="F815" s="278"/>
      <c r="G815" s="278"/>
      <c r="H815" s="278"/>
      <c r="I815" s="279"/>
      <c r="J815" s="278"/>
      <c r="K815" s="278"/>
      <c r="L815" s="278"/>
      <c r="M815" s="212"/>
    </row>
    <row r="816" spans="1:13">
      <c r="A816" s="213"/>
      <c r="B816" s="278"/>
      <c r="C816" s="278"/>
      <c r="D816" s="278"/>
      <c r="E816" s="279"/>
      <c r="F816" s="278"/>
      <c r="G816" s="278"/>
      <c r="H816" s="278"/>
      <c r="I816" s="279"/>
      <c r="J816" s="278"/>
      <c r="K816" s="278"/>
      <c r="L816" s="278"/>
      <c r="M816" s="212"/>
    </row>
    <row r="817" spans="1:13">
      <c r="A817" s="213"/>
      <c r="B817" s="278"/>
      <c r="C817" s="278"/>
      <c r="D817" s="278"/>
      <c r="E817" s="279"/>
      <c r="F817" s="278"/>
      <c r="G817" s="278"/>
      <c r="H817" s="278"/>
      <c r="I817" s="279"/>
      <c r="J817" s="278"/>
      <c r="K817" s="278"/>
      <c r="L817" s="278"/>
      <c r="M817" s="212"/>
    </row>
    <row r="818" spans="1:13">
      <c r="A818" s="213"/>
      <c r="B818" s="279"/>
      <c r="C818" s="279"/>
      <c r="D818" s="279"/>
      <c r="E818" s="279"/>
      <c r="F818" s="279"/>
      <c r="G818" s="279"/>
      <c r="H818" s="279"/>
      <c r="I818" s="279"/>
      <c r="J818" s="279"/>
      <c r="K818" s="279"/>
      <c r="L818" s="279"/>
      <c r="M818" s="212"/>
    </row>
    <row r="819" spans="1:13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6"/>
      <c r="M819" s="212"/>
    </row>
    <row r="820" spans="1:13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60"/>
      <c r="M820" s="212"/>
    </row>
    <row r="821" spans="1:13" ht="12.95">
      <c r="A821" s="234"/>
      <c r="B821" s="217"/>
      <c r="C821" s="217"/>
      <c r="D821" s="217"/>
      <c r="E821" s="217"/>
      <c r="F821" s="217"/>
      <c r="G821" s="217"/>
      <c r="H821" s="217"/>
      <c r="I821" s="217"/>
      <c r="J821" s="217"/>
      <c r="K821" s="217"/>
      <c r="L821" s="212"/>
      <c r="M821" s="212"/>
    </row>
    <row r="822" spans="1:13" ht="12.95">
      <c r="A822" s="217"/>
      <c r="B822" s="367"/>
      <c r="C822" s="367"/>
      <c r="D822" s="367"/>
      <c r="E822" s="229"/>
      <c r="F822" s="367"/>
      <c r="G822" s="367"/>
      <c r="H822" s="367"/>
      <c r="I822" s="229"/>
      <c r="J822" s="367"/>
      <c r="K822" s="367"/>
      <c r="L822" s="367"/>
      <c r="M822" s="212"/>
    </row>
    <row r="823" spans="1:13" ht="12.95">
      <c r="A823" s="234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12"/>
    </row>
    <row r="824" spans="1:13" ht="12.95">
      <c r="A824" s="234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12"/>
    </row>
    <row r="825" spans="1:13">
      <c r="A825" s="213"/>
      <c r="B825" s="278"/>
      <c r="C825" s="278"/>
      <c r="D825" s="278"/>
      <c r="E825" s="279"/>
      <c r="F825" s="278"/>
      <c r="G825" s="278"/>
      <c r="H825" s="278"/>
      <c r="I825" s="279"/>
      <c r="J825" s="278"/>
      <c r="K825" s="278"/>
      <c r="L825" s="278"/>
      <c r="M825" s="212"/>
    </row>
    <row r="826" spans="1:13">
      <c r="A826" s="213"/>
      <c r="B826" s="278"/>
      <c r="C826" s="278"/>
      <c r="D826" s="278"/>
      <c r="E826" s="279"/>
      <c r="F826" s="278"/>
      <c r="G826" s="278"/>
      <c r="H826" s="278"/>
      <c r="I826" s="279"/>
      <c r="J826" s="278"/>
      <c r="K826" s="278"/>
      <c r="L826" s="278"/>
      <c r="M826" s="212"/>
    </row>
    <row r="827" spans="1:13">
      <c r="A827" s="213"/>
      <c r="B827" s="278"/>
      <c r="C827" s="278"/>
      <c r="D827" s="278"/>
      <c r="E827" s="279"/>
      <c r="F827" s="278"/>
      <c r="G827" s="278"/>
      <c r="H827" s="278"/>
      <c r="I827" s="279"/>
      <c r="J827" s="278"/>
      <c r="K827" s="278"/>
      <c r="L827" s="278"/>
      <c r="M827" s="212"/>
    </row>
    <row r="828" spans="1:13">
      <c r="A828" s="213"/>
      <c r="B828" s="278"/>
      <c r="C828" s="278"/>
      <c r="D828" s="278"/>
      <c r="E828" s="279"/>
      <c r="F828" s="278"/>
      <c r="G828" s="278"/>
      <c r="H828" s="278"/>
      <c r="I828" s="279"/>
      <c r="J828" s="278"/>
      <c r="K828" s="278"/>
      <c r="L828" s="278"/>
      <c r="M828" s="212"/>
    </row>
    <row r="829" spans="1:13">
      <c r="A829" s="213"/>
      <c r="B829" s="278"/>
      <c r="C829" s="278"/>
      <c r="D829" s="278"/>
      <c r="E829" s="279"/>
      <c r="F829" s="278"/>
      <c r="G829" s="278"/>
      <c r="H829" s="278"/>
      <c r="I829" s="279"/>
      <c r="J829" s="278"/>
      <c r="K829" s="278"/>
      <c r="L829" s="278"/>
      <c r="M829" s="212"/>
    </row>
    <row r="830" spans="1:13">
      <c r="A830" s="213"/>
      <c r="B830" s="278"/>
      <c r="C830" s="278"/>
      <c r="D830" s="278"/>
      <c r="E830" s="279"/>
      <c r="F830" s="278"/>
      <c r="G830" s="278"/>
      <c r="H830" s="278"/>
      <c r="I830" s="279"/>
      <c r="J830" s="278"/>
      <c r="K830" s="278"/>
      <c r="L830" s="278"/>
      <c r="M830" s="212"/>
    </row>
    <row r="831" spans="1:13">
      <c r="A831" s="213"/>
      <c r="B831" s="278"/>
      <c r="C831" s="278"/>
      <c r="D831" s="278"/>
      <c r="E831" s="279"/>
      <c r="F831" s="278"/>
      <c r="G831" s="278"/>
      <c r="H831" s="278"/>
      <c r="I831" s="279"/>
      <c r="J831" s="278"/>
      <c r="K831" s="278"/>
      <c r="L831" s="278"/>
      <c r="M831" s="212"/>
    </row>
    <row r="832" spans="1:13">
      <c r="A832" s="213"/>
      <c r="B832" s="278"/>
      <c r="C832" s="278"/>
      <c r="D832" s="278"/>
      <c r="E832" s="279"/>
      <c r="F832" s="278"/>
      <c r="G832" s="278"/>
      <c r="H832" s="278"/>
      <c r="I832" s="279"/>
      <c r="J832" s="278"/>
      <c r="K832" s="278"/>
      <c r="L832" s="278"/>
      <c r="M832" s="212"/>
    </row>
    <row r="833" spans="1:13">
      <c r="A833" s="213"/>
      <c r="B833" s="278"/>
      <c r="C833" s="278"/>
      <c r="D833" s="278"/>
      <c r="E833" s="279"/>
      <c r="F833" s="278"/>
      <c r="G833" s="278"/>
      <c r="H833" s="278"/>
      <c r="I833" s="279"/>
      <c r="J833" s="278"/>
      <c r="K833" s="278"/>
      <c r="L833" s="278"/>
      <c r="M833" s="212"/>
    </row>
    <row r="834" spans="1:13">
      <c r="A834" s="213"/>
      <c r="B834" s="278"/>
      <c r="C834" s="278"/>
      <c r="D834" s="278"/>
      <c r="E834" s="279"/>
      <c r="F834" s="278"/>
      <c r="G834" s="278"/>
      <c r="H834" s="278"/>
      <c r="I834" s="279"/>
      <c r="J834" s="278"/>
      <c r="K834" s="278"/>
      <c r="L834" s="278"/>
      <c r="M834" s="212"/>
    </row>
    <row r="835" spans="1:13">
      <c r="A835" s="213"/>
      <c r="B835" s="279"/>
      <c r="C835" s="279"/>
      <c r="D835" s="279"/>
      <c r="E835" s="279"/>
      <c r="F835" s="279"/>
      <c r="G835" s="279"/>
      <c r="H835" s="279"/>
      <c r="I835" s="279"/>
      <c r="J835" s="279"/>
      <c r="K835" s="279"/>
      <c r="L835" s="279"/>
      <c r="M835" s="212"/>
    </row>
    <row r="836" spans="1:13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6"/>
      <c r="M836" s="212"/>
    </row>
    <row r="837" spans="1:13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60"/>
      <c r="M837" s="212"/>
    </row>
    <row r="838" spans="1:13" ht="12.95">
      <c r="A838" s="234"/>
      <c r="B838" s="217"/>
      <c r="C838" s="217"/>
      <c r="D838" s="217"/>
      <c r="E838" s="217"/>
      <c r="F838" s="217"/>
      <c r="G838" s="217"/>
      <c r="H838" s="217"/>
      <c r="I838" s="217"/>
      <c r="J838" s="217"/>
      <c r="K838" s="217"/>
      <c r="L838" s="212"/>
      <c r="M838" s="212"/>
    </row>
    <row r="839" spans="1:13" ht="12.95">
      <c r="A839" s="217"/>
      <c r="B839" s="367"/>
      <c r="C839" s="367"/>
      <c r="D839" s="367"/>
      <c r="E839" s="229"/>
      <c r="F839" s="367"/>
      <c r="G839" s="367"/>
      <c r="H839" s="367"/>
      <c r="I839" s="229"/>
      <c r="J839" s="367"/>
      <c r="K839" s="367"/>
      <c r="L839" s="367"/>
      <c r="M839" s="212"/>
    </row>
    <row r="840" spans="1:13" ht="12.95">
      <c r="A840" s="234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12"/>
    </row>
    <row r="841" spans="1:13" ht="12.95">
      <c r="A841" s="234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12"/>
    </row>
    <row r="842" spans="1:13">
      <c r="A842" s="213"/>
      <c r="B842" s="278"/>
      <c r="C842" s="278"/>
      <c r="D842" s="278"/>
      <c r="E842" s="279"/>
      <c r="F842" s="278"/>
      <c r="G842" s="278"/>
      <c r="H842" s="278"/>
      <c r="I842" s="279"/>
      <c r="J842" s="278"/>
      <c r="K842" s="278"/>
      <c r="L842" s="278"/>
      <c r="M842" s="212"/>
    </row>
    <row r="843" spans="1:13">
      <c r="A843" s="213"/>
      <c r="B843" s="278"/>
      <c r="C843" s="278"/>
      <c r="D843" s="278"/>
      <c r="E843" s="279"/>
      <c r="F843" s="278"/>
      <c r="G843" s="278"/>
      <c r="H843" s="278"/>
      <c r="I843" s="279"/>
      <c r="J843" s="278"/>
      <c r="K843" s="278"/>
      <c r="L843" s="278"/>
      <c r="M843" s="212"/>
    </row>
    <row r="844" spans="1:13">
      <c r="A844" s="213"/>
      <c r="B844" s="278"/>
      <c r="C844" s="278"/>
      <c r="D844" s="278"/>
      <c r="E844" s="279"/>
      <c r="F844" s="278"/>
      <c r="G844" s="278"/>
      <c r="H844" s="278"/>
      <c r="I844" s="279"/>
      <c r="J844" s="278"/>
      <c r="K844" s="278"/>
      <c r="L844" s="278"/>
      <c r="M844" s="212"/>
    </row>
    <row r="845" spans="1:13">
      <c r="A845" s="213"/>
      <c r="B845" s="278"/>
      <c r="C845" s="278"/>
      <c r="D845" s="278"/>
      <c r="E845" s="279"/>
      <c r="F845" s="278"/>
      <c r="G845" s="278"/>
      <c r="H845" s="278"/>
      <c r="I845" s="279"/>
      <c r="J845" s="278"/>
      <c r="K845" s="278"/>
      <c r="L845" s="278"/>
      <c r="M845" s="212"/>
    </row>
    <row r="846" spans="1:13">
      <c r="A846" s="213"/>
      <c r="B846" s="278"/>
      <c r="C846" s="278"/>
      <c r="D846" s="278"/>
      <c r="E846" s="279"/>
      <c r="F846" s="278"/>
      <c r="G846" s="278"/>
      <c r="H846" s="278"/>
      <c r="I846" s="279"/>
      <c r="J846" s="278"/>
      <c r="K846" s="278"/>
      <c r="L846" s="278"/>
      <c r="M846" s="212"/>
    </row>
    <row r="847" spans="1:13">
      <c r="A847" s="213"/>
      <c r="B847" s="278"/>
      <c r="C847" s="278"/>
      <c r="D847" s="278"/>
      <c r="E847" s="279"/>
      <c r="F847" s="278"/>
      <c r="G847" s="278"/>
      <c r="H847" s="278"/>
      <c r="I847" s="279"/>
      <c r="J847" s="278"/>
      <c r="K847" s="278"/>
      <c r="L847" s="278"/>
      <c r="M847" s="212"/>
    </row>
    <row r="848" spans="1:13">
      <c r="A848" s="213"/>
      <c r="B848" s="278"/>
      <c r="C848" s="278"/>
      <c r="D848" s="278"/>
      <c r="E848" s="279"/>
      <c r="F848" s="278"/>
      <c r="G848" s="278"/>
      <c r="H848" s="278"/>
      <c r="I848" s="279"/>
      <c r="J848" s="278"/>
      <c r="K848" s="278"/>
      <c r="L848" s="278"/>
      <c r="M848" s="212"/>
    </row>
    <row r="849" spans="1:13">
      <c r="A849" s="213"/>
      <c r="B849" s="278"/>
      <c r="C849" s="278"/>
      <c r="D849" s="278"/>
      <c r="E849" s="279"/>
      <c r="F849" s="278"/>
      <c r="G849" s="278"/>
      <c r="H849" s="278"/>
      <c r="I849" s="279"/>
      <c r="J849" s="278"/>
      <c r="K849" s="278"/>
      <c r="L849" s="278"/>
      <c r="M849" s="212"/>
    </row>
    <row r="850" spans="1:13">
      <c r="A850" s="213"/>
      <c r="B850" s="278"/>
      <c r="C850" s="278"/>
      <c r="D850" s="278"/>
      <c r="E850" s="279"/>
      <c r="F850" s="278"/>
      <c r="G850" s="278"/>
      <c r="H850" s="278"/>
      <c r="I850" s="279"/>
      <c r="J850" s="278"/>
      <c r="K850" s="278"/>
      <c r="L850" s="278"/>
      <c r="M850" s="212"/>
    </row>
    <row r="851" spans="1:13">
      <c r="A851" s="213"/>
      <c r="B851" s="278"/>
      <c r="C851" s="278"/>
      <c r="D851" s="278"/>
      <c r="E851" s="279"/>
      <c r="F851" s="278"/>
      <c r="G851" s="278"/>
      <c r="H851" s="278"/>
      <c r="I851" s="279"/>
      <c r="J851" s="278"/>
      <c r="K851" s="278"/>
      <c r="L851" s="278"/>
      <c r="M851" s="212"/>
    </row>
    <row r="852" spans="1:13">
      <c r="A852" s="213"/>
      <c r="B852" s="279"/>
      <c r="C852" s="279"/>
      <c r="D852" s="279"/>
      <c r="E852" s="279"/>
      <c r="F852" s="279"/>
      <c r="G852" s="279"/>
      <c r="H852" s="279"/>
      <c r="I852" s="279"/>
      <c r="J852" s="279"/>
      <c r="K852" s="279"/>
      <c r="L852" s="279"/>
      <c r="M852" s="212"/>
    </row>
    <row r="853" spans="1:13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6"/>
      <c r="M853" s="212"/>
    </row>
    <row r="854" spans="1:13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60"/>
      <c r="M854" s="212"/>
    </row>
    <row r="855" spans="1:13" ht="12.95">
      <c r="A855" s="234"/>
      <c r="B855" s="217"/>
      <c r="C855" s="217"/>
      <c r="D855" s="217"/>
      <c r="E855" s="217"/>
      <c r="F855" s="217"/>
      <c r="G855" s="217"/>
      <c r="H855" s="217"/>
      <c r="I855" s="217"/>
      <c r="J855" s="217"/>
      <c r="K855" s="217"/>
      <c r="L855" s="212"/>
      <c r="M855" s="212"/>
    </row>
    <row r="856" spans="1:13" ht="12.95">
      <c r="A856" s="217"/>
      <c r="B856" s="367"/>
      <c r="C856" s="367"/>
      <c r="D856" s="367"/>
      <c r="E856" s="229"/>
      <c r="F856" s="367"/>
      <c r="G856" s="367"/>
      <c r="H856" s="367"/>
      <c r="I856" s="229"/>
      <c r="J856" s="367"/>
      <c r="K856" s="367"/>
      <c r="L856" s="367"/>
      <c r="M856" s="212"/>
    </row>
    <row r="857" spans="1:13" ht="12.95">
      <c r="A857" s="234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12"/>
    </row>
    <row r="858" spans="1:13" ht="12.95">
      <c r="A858" s="234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12"/>
    </row>
    <row r="859" spans="1:13">
      <c r="A859" s="213"/>
      <c r="B859" s="278"/>
      <c r="C859" s="278"/>
      <c r="D859" s="278"/>
      <c r="E859" s="279"/>
      <c r="F859" s="278"/>
      <c r="G859" s="278"/>
      <c r="H859" s="278"/>
      <c r="I859" s="279"/>
      <c r="J859" s="278"/>
      <c r="K859" s="278"/>
      <c r="L859" s="278"/>
      <c r="M859" s="212"/>
    </row>
    <row r="860" spans="1:13">
      <c r="A860" s="213"/>
      <c r="B860" s="278"/>
      <c r="C860" s="278"/>
      <c r="D860" s="278"/>
      <c r="E860" s="279"/>
      <c r="F860" s="278"/>
      <c r="G860" s="278"/>
      <c r="H860" s="278"/>
      <c r="I860" s="279"/>
      <c r="J860" s="278"/>
      <c r="K860" s="278"/>
      <c r="L860" s="278"/>
      <c r="M860" s="212"/>
    </row>
    <row r="861" spans="1:13">
      <c r="A861" s="213"/>
      <c r="B861" s="278"/>
      <c r="C861" s="278"/>
      <c r="D861" s="278"/>
      <c r="E861" s="279"/>
      <c r="F861" s="278"/>
      <c r="G861" s="278"/>
      <c r="H861" s="278"/>
      <c r="I861" s="279"/>
      <c r="J861" s="278"/>
      <c r="K861" s="278"/>
      <c r="L861" s="278"/>
      <c r="M861" s="212"/>
    </row>
    <row r="862" spans="1:13">
      <c r="A862" s="213"/>
      <c r="B862" s="278"/>
      <c r="C862" s="278"/>
      <c r="D862" s="278"/>
      <c r="E862" s="279"/>
      <c r="F862" s="278"/>
      <c r="G862" s="278"/>
      <c r="H862" s="278"/>
      <c r="I862" s="279"/>
      <c r="J862" s="278"/>
      <c r="K862" s="278"/>
      <c r="L862" s="278"/>
      <c r="M862" s="212"/>
    </row>
    <row r="863" spans="1:13">
      <c r="A863" s="213"/>
      <c r="B863" s="278"/>
      <c r="C863" s="278"/>
      <c r="D863" s="278"/>
      <c r="E863" s="279"/>
      <c r="F863" s="278"/>
      <c r="G863" s="278"/>
      <c r="H863" s="278"/>
      <c r="I863" s="279"/>
      <c r="J863" s="278"/>
      <c r="K863" s="278"/>
      <c r="L863" s="278"/>
      <c r="M863" s="212"/>
    </row>
    <row r="864" spans="1:13">
      <c r="A864" s="213"/>
      <c r="B864" s="278"/>
      <c r="C864" s="278"/>
      <c r="D864" s="278"/>
      <c r="E864" s="279"/>
      <c r="F864" s="278"/>
      <c r="G864" s="278"/>
      <c r="H864" s="278"/>
      <c r="I864" s="279"/>
      <c r="J864" s="278"/>
      <c r="K864" s="278"/>
      <c r="L864" s="278"/>
      <c r="M864" s="212"/>
    </row>
    <row r="865" spans="1:13">
      <c r="A865" s="213"/>
      <c r="B865" s="278"/>
      <c r="C865" s="278"/>
      <c r="D865" s="278"/>
      <c r="E865" s="279"/>
      <c r="F865" s="278"/>
      <c r="G865" s="278"/>
      <c r="H865" s="278"/>
      <c r="I865" s="279"/>
      <c r="J865" s="278"/>
      <c r="K865" s="278"/>
      <c r="L865" s="278"/>
      <c r="M865" s="212"/>
    </row>
    <row r="866" spans="1:13">
      <c r="A866" s="213"/>
      <c r="B866" s="278"/>
      <c r="C866" s="278"/>
      <c r="D866" s="278"/>
      <c r="E866" s="279"/>
      <c r="F866" s="278"/>
      <c r="G866" s="278"/>
      <c r="H866" s="278"/>
      <c r="I866" s="279"/>
      <c r="J866" s="278"/>
      <c r="K866" s="278"/>
      <c r="L866" s="278"/>
      <c r="M866" s="212"/>
    </row>
    <row r="867" spans="1:13">
      <c r="A867" s="213"/>
      <c r="B867" s="278"/>
      <c r="C867" s="278"/>
      <c r="D867" s="278"/>
      <c r="E867" s="279"/>
      <c r="F867" s="278"/>
      <c r="G867" s="278"/>
      <c r="H867" s="278"/>
      <c r="I867" s="279"/>
      <c r="J867" s="278"/>
      <c r="K867" s="278"/>
      <c r="L867" s="278"/>
      <c r="M867" s="212"/>
    </row>
    <row r="868" spans="1:13">
      <c r="A868" s="213"/>
      <c r="B868" s="278"/>
      <c r="C868" s="278"/>
      <c r="D868" s="278"/>
      <c r="E868" s="279"/>
      <c r="F868" s="278"/>
      <c r="G868" s="278"/>
      <c r="H868" s="278"/>
      <c r="I868" s="279"/>
      <c r="J868" s="278"/>
      <c r="K868" s="278"/>
      <c r="L868" s="278"/>
      <c r="M868" s="212"/>
    </row>
    <row r="869" spans="1:13">
      <c r="A869" s="213"/>
      <c r="B869" s="279"/>
      <c r="C869" s="279"/>
      <c r="D869" s="279"/>
      <c r="E869" s="279"/>
      <c r="F869" s="279"/>
      <c r="G869" s="279"/>
      <c r="H869" s="279"/>
      <c r="I869" s="279"/>
      <c r="J869" s="279"/>
      <c r="K869" s="279"/>
      <c r="L869" s="279"/>
      <c r="M869" s="212"/>
    </row>
    <row r="870" spans="1:13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6"/>
      <c r="M870" s="212"/>
    </row>
    <row r="871" spans="1:13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60"/>
      <c r="M871" s="212"/>
    </row>
    <row r="872" spans="1:13" ht="12.95">
      <c r="A872" s="234"/>
      <c r="B872" s="217"/>
      <c r="C872" s="217"/>
      <c r="D872" s="217"/>
      <c r="E872" s="217"/>
      <c r="F872" s="217"/>
      <c r="G872" s="217"/>
      <c r="H872" s="217"/>
      <c r="I872" s="217"/>
      <c r="J872" s="217"/>
      <c r="K872" s="217"/>
      <c r="L872" s="212"/>
      <c r="M872" s="212"/>
    </row>
    <row r="873" spans="1:13" ht="12.95">
      <c r="A873" s="217"/>
      <c r="B873" s="367"/>
      <c r="C873" s="367"/>
      <c r="D873" s="367"/>
      <c r="E873" s="229"/>
      <c r="F873" s="367"/>
      <c r="G873" s="367"/>
      <c r="H873" s="367"/>
      <c r="I873" s="229"/>
      <c r="J873" s="367"/>
      <c r="K873" s="367"/>
      <c r="L873" s="367"/>
      <c r="M873" s="212"/>
    </row>
    <row r="874" spans="1:13" ht="12.95">
      <c r="A874" s="234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12"/>
    </row>
    <row r="875" spans="1:13" ht="12.95">
      <c r="A875" s="234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12"/>
    </row>
    <row r="876" spans="1:13">
      <c r="A876" s="213"/>
      <c r="B876" s="278"/>
      <c r="C876" s="278"/>
      <c r="D876" s="278"/>
      <c r="E876" s="279"/>
      <c r="F876" s="278"/>
      <c r="G876" s="278"/>
      <c r="H876" s="278"/>
      <c r="I876" s="279"/>
      <c r="J876" s="278"/>
      <c r="K876" s="278"/>
      <c r="L876" s="278"/>
      <c r="M876" s="212"/>
    </row>
    <row r="877" spans="1:13">
      <c r="A877" s="213"/>
      <c r="B877" s="278"/>
      <c r="C877" s="278"/>
      <c r="D877" s="278"/>
      <c r="E877" s="279"/>
      <c r="F877" s="278"/>
      <c r="G877" s="278"/>
      <c r="H877" s="278"/>
      <c r="I877" s="279"/>
      <c r="J877" s="278"/>
      <c r="K877" s="278"/>
      <c r="L877" s="278"/>
      <c r="M877" s="212"/>
    </row>
    <row r="878" spans="1:13">
      <c r="A878" s="213"/>
      <c r="B878" s="278"/>
      <c r="C878" s="278"/>
      <c r="D878" s="278"/>
      <c r="E878" s="279"/>
      <c r="F878" s="278"/>
      <c r="G878" s="278"/>
      <c r="H878" s="278"/>
      <c r="I878" s="279"/>
      <c r="J878" s="278"/>
      <c r="K878" s="278"/>
      <c r="L878" s="278"/>
      <c r="M878" s="212"/>
    </row>
    <row r="879" spans="1:13">
      <c r="A879" s="213"/>
      <c r="B879" s="278"/>
      <c r="C879" s="278"/>
      <c r="D879" s="278"/>
      <c r="E879" s="279"/>
      <c r="F879" s="278"/>
      <c r="G879" s="278"/>
      <c r="H879" s="278"/>
      <c r="I879" s="279"/>
      <c r="J879" s="278"/>
      <c r="K879" s="278"/>
      <c r="L879" s="278"/>
      <c r="M879" s="212"/>
    </row>
    <row r="880" spans="1:13">
      <c r="A880" s="213"/>
      <c r="B880" s="278"/>
      <c r="C880" s="278"/>
      <c r="D880" s="278"/>
      <c r="E880" s="279"/>
      <c r="F880" s="278"/>
      <c r="G880" s="278"/>
      <c r="H880" s="278"/>
      <c r="I880" s="279"/>
      <c r="J880" s="278"/>
      <c r="K880" s="278"/>
      <c r="L880" s="278"/>
      <c r="M880" s="212"/>
    </row>
    <row r="881" spans="1:13">
      <c r="A881" s="213"/>
      <c r="B881" s="278"/>
      <c r="C881" s="278"/>
      <c r="D881" s="278"/>
      <c r="E881" s="279"/>
      <c r="F881" s="278"/>
      <c r="G881" s="278"/>
      <c r="H881" s="278"/>
      <c r="I881" s="279"/>
      <c r="J881" s="278"/>
      <c r="K881" s="278"/>
      <c r="L881" s="278"/>
      <c r="M881" s="212"/>
    </row>
    <row r="882" spans="1:13">
      <c r="A882" s="213"/>
      <c r="B882" s="278"/>
      <c r="C882" s="278"/>
      <c r="D882" s="278"/>
      <c r="E882" s="279"/>
      <c r="F882" s="278"/>
      <c r="G882" s="278"/>
      <c r="H882" s="278"/>
      <c r="I882" s="279"/>
      <c r="J882" s="278"/>
      <c r="K882" s="278"/>
      <c r="L882" s="278"/>
      <c r="M882" s="212"/>
    </row>
    <row r="883" spans="1:13">
      <c r="A883" s="213"/>
      <c r="B883" s="278"/>
      <c r="C883" s="278"/>
      <c r="D883" s="278"/>
      <c r="E883" s="279"/>
      <c r="F883" s="278"/>
      <c r="G883" s="278"/>
      <c r="H883" s="278"/>
      <c r="I883" s="279"/>
      <c r="J883" s="278"/>
      <c r="K883" s="278"/>
      <c r="L883" s="278"/>
      <c r="M883" s="212"/>
    </row>
    <row r="884" spans="1:13">
      <c r="A884" s="213"/>
      <c r="B884" s="278"/>
      <c r="C884" s="278"/>
      <c r="D884" s="278"/>
      <c r="E884" s="279"/>
      <c r="F884" s="278"/>
      <c r="G884" s="278"/>
      <c r="H884" s="278"/>
      <c r="I884" s="279"/>
      <c r="J884" s="278"/>
      <c r="K884" s="278"/>
      <c r="L884" s="278"/>
      <c r="M884" s="212"/>
    </row>
    <row r="885" spans="1:13">
      <c r="A885" s="213"/>
      <c r="B885" s="278"/>
      <c r="C885" s="278"/>
      <c r="D885" s="278"/>
      <c r="E885" s="279"/>
      <c r="F885" s="278"/>
      <c r="G885" s="278"/>
      <c r="H885" s="278"/>
      <c r="I885" s="279"/>
      <c r="J885" s="278"/>
      <c r="K885" s="278"/>
      <c r="L885" s="278"/>
      <c r="M885" s="212"/>
    </row>
    <row r="886" spans="1:13">
      <c r="A886" s="213"/>
      <c r="B886" s="279"/>
      <c r="C886" s="279"/>
      <c r="D886" s="279"/>
      <c r="E886" s="279"/>
      <c r="F886" s="279"/>
      <c r="G886" s="279"/>
      <c r="H886" s="279"/>
      <c r="I886" s="279"/>
      <c r="J886" s="279"/>
      <c r="K886" s="279"/>
      <c r="L886" s="279"/>
      <c r="M886" s="212"/>
    </row>
    <row r="887" spans="1:13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6"/>
      <c r="M887" s="212"/>
    </row>
    <row r="888" spans="1:13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60"/>
      <c r="M888" s="212"/>
    </row>
    <row r="889" spans="1:13" ht="12.95">
      <c r="A889" s="234"/>
      <c r="B889" s="217"/>
      <c r="C889" s="217"/>
      <c r="D889" s="217"/>
      <c r="E889" s="217"/>
      <c r="F889" s="217"/>
      <c r="G889" s="217"/>
      <c r="H889" s="217"/>
      <c r="I889" s="217"/>
      <c r="J889" s="217"/>
      <c r="K889" s="217"/>
      <c r="L889" s="212"/>
      <c r="M889" s="212"/>
    </row>
    <row r="890" spans="1:13" ht="12.95">
      <c r="A890" s="217"/>
      <c r="B890" s="367"/>
      <c r="C890" s="367"/>
      <c r="D890" s="367"/>
      <c r="E890" s="229"/>
      <c r="F890" s="367"/>
      <c r="G890" s="367"/>
      <c r="H890" s="367"/>
      <c r="I890" s="229"/>
      <c r="J890" s="367"/>
      <c r="K890" s="367"/>
      <c r="L890" s="367"/>
      <c r="M890" s="212"/>
    </row>
    <row r="891" spans="1:13" ht="12.95">
      <c r="A891" s="234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12"/>
    </row>
    <row r="892" spans="1:13" ht="12.95">
      <c r="A892" s="234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12"/>
    </row>
    <row r="893" spans="1:13">
      <c r="A893" s="213"/>
      <c r="B893" s="278"/>
      <c r="C893" s="278"/>
      <c r="D893" s="278"/>
      <c r="E893" s="279"/>
      <c r="F893" s="278"/>
      <c r="G893" s="278"/>
      <c r="H893" s="278"/>
      <c r="I893" s="279"/>
      <c r="J893" s="278"/>
      <c r="K893" s="278"/>
      <c r="L893" s="278"/>
      <c r="M893" s="212"/>
    </row>
    <row r="894" spans="1:13">
      <c r="A894" s="213"/>
      <c r="B894" s="278"/>
      <c r="C894" s="278"/>
      <c r="D894" s="278"/>
      <c r="E894" s="279"/>
      <c r="F894" s="278"/>
      <c r="G894" s="278"/>
      <c r="H894" s="278"/>
      <c r="I894" s="279"/>
      <c r="J894" s="278"/>
      <c r="K894" s="278"/>
      <c r="L894" s="278"/>
      <c r="M894" s="212"/>
    </row>
    <row r="895" spans="1:13">
      <c r="A895" s="213"/>
      <c r="B895" s="278"/>
      <c r="C895" s="278"/>
      <c r="D895" s="278"/>
      <c r="E895" s="279"/>
      <c r="F895" s="278"/>
      <c r="G895" s="278"/>
      <c r="H895" s="278"/>
      <c r="I895" s="279"/>
      <c r="J895" s="278"/>
      <c r="K895" s="278"/>
      <c r="L895" s="278"/>
      <c r="M895" s="212"/>
    </row>
    <row r="896" spans="1:13">
      <c r="A896" s="213"/>
      <c r="B896" s="278"/>
      <c r="C896" s="278"/>
      <c r="D896" s="278"/>
      <c r="E896" s="279"/>
      <c r="F896" s="278"/>
      <c r="G896" s="278"/>
      <c r="H896" s="278"/>
      <c r="I896" s="279"/>
      <c r="J896" s="278"/>
      <c r="K896" s="278"/>
      <c r="L896" s="278"/>
      <c r="M896" s="212"/>
    </row>
    <row r="897" spans="1:13">
      <c r="A897" s="213"/>
      <c r="B897" s="278"/>
      <c r="C897" s="278"/>
      <c r="D897" s="278"/>
      <c r="E897" s="279"/>
      <c r="F897" s="278"/>
      <c r="G897" s="278"/>
      <c r="H897" s="278"/>
      <c r="I897" s="279"/>
      <c r="J897" s="278"/>
      <c r="K897" s="278"/>
      <c r="L897" s="278"/>
      <c r="M897" s="212"/>
    </row>
    <row r="898" spans="1:13">
      <c r="A898" s="213"/>
      <c r="B898" s="278"/>
      <c r="C898" s="278"/>
      <c r="D898" s="278"/>
      <c r="E898" s="279"/>
      <c r="F898" s="278"/>
      <c r="G898" s="278"/>
      <c r="H898" s="278"/>
      <c r="I898" s="279"/>
      <c r="J898" s="278"/>
      <c r="K898" s="278"/>
      <c r="L898" s="278"/>
      <c r="M898" s="212"/>
    </row>
    <row r="899" spans="1:13">
      <c r="A899" s="213"/>
      <c r="B899" s="278"/>
      <c r="C899" s="278"/>
      <c r="D899" s="278"/>
      <c r="E899" s="279"/>
      <c r="F899" s="278"/>
      <c r="G899" s="278"/>
      <c r="H899" s="278"/>
      <c r="I899" s="279"/>
      <c r="J899" s="278"/>
      <c r="K899" s="278"/>
      <c r="L899" s="278"/>
      <c r="M899" s="212"/>
    </row>
    <row r="900" spans="1:13">
      <c r="A900" s="213"/>
      <c r="B900" s="278"/>
      <c r="C900" s="278"/>
      <c r="D900" s="278"/>
      <c r="E900" s="279"/>
      <c r="F900" s="278"/>
      <c r="G900" s="278"/>
      <c r="H900" s="278"/>
      <c r="I900" s="279"/>
      <c r="J900" s="278"/>
      <c r="K900" s="278"/>
      <c r="L900" s="278"/>
      <c r="M900" s="212"/>
    </row>
    <row r="901" spans="1:13">
      <c r="A901" s="213"/>
      <c r="B901" s="278"/>
      <c r="C901" s="278"/>
      <c r="D901" s="278"/>
      <c r="E901" s="279"/>
      <c r="F901" s="278"/>
      <c r="G901" s="278"/>
      <c r="H901" s="278"/>
      <c r="I901" s="279"/>
      <c r="J901" s="278"/>
      <c r="K901" s="278"/>
      <c r="L901" s="278"/>
      <c r="M901" s="212"/>
    </row>
    <row r="902" spans="1:13">
      <c r="A902" s="213"/>
      <c r="B902" s="278"/>
      <c r="C902" s="278"/>
      <c r="D902" s="278"/>
      <c r="E902" s="279"/>
      <c r="F902" s="278"/>
      <c r="G902" s="278"/>
      <c r="H902" s="278"/>
      <c r="I902" s="279"/>
      <c r="J902" s="278"/>
      <c r="K902" s="278"/>
      <c r="L902" s="278"/>
      <c r="M902" s="212"/>
    </row>
    <row r="903" spans="1:13">
      <c r="A903" s="213"/>
      <c r="B903" s="279"/>
      <c r="C903" s="279"/>
      <c r="D903" s="279"/>
      <c r="E903" s="279"/>
      <c r="F903" s="279"/>
      <c r="G903" s="279"/>
      <c r="H903" s="279"/>
      <c r="I903" s="279"/>
      <c r="J903" s="279"/>
      <c r="K903" s="279"/>
      <c r="L903" s="279"/>
      <c r="M903" s="212"/>
    </row>
    <row r="904" spans="1:13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6"/>
      <c r="M904" s="212"/>
    </row>
    <row r="905" spans="1:13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60"/>
      <c r="M905" s="212"/>
    </row>
    <row r="906" spans="1:13" ht="12.95">
      <c r="A906" s="234"/>
      <c r="B906" s="217"/>
      <c r="C906" s="217"/>
      <c r="D906" s="217"/>
      <c r="E906" s="217"/>
      <c r="F906" s="217"/>
      <c r="G906" s="217"/>
      <c r="H906" s="217"/>
      <c r="I906" s="217"/>
      <c r="J906" s="217"/>
      <c r="K906" s="217"/>
      <c r="L906" s="212"/>
      <c r="M906" s="212"/>
    </row>
    <row r="907" spans="1:13" ht="12.95">
      <c r="A907" s="217"/>
      <c r="B907" s="367"/>
      <c r="C907" s="367"/>
      <c r="D907" s="367"/>
      <c r="E907" s="229"/>
      <c r="F907" s="367"/>
      <c r="G907" s="367"/>
      <c r="H907" s="367"/>
      <c r="I907" s="229"/>
      <c r="J907" s="367"/>
      <c r="K907" s="367"/>
      <c r="L907" s="367"/>
      <c r="M907" s="212"/>
    </row>
    <row r="908" spans="1:13" ht="12.95">
      <c r="A908" s="234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12"/>
    </row>
    <row r="909" spans="1:13" ht="12.95">
      <c r="A909" s="234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12"/>
    </row>
    <row r="910" spans="1:13">
      <c r="A910" s="213"/>
      <c r="B910" s="278"/>
      <c r="C910" s="278"/>
      <c r="D910" s="278"/>
      <c r="E910" s="279"/>
      <c r="F910" s="278"/>
      <c r="G910" s="278"/>
      <c r="H910" s="278"/>
      <c r="I910" s="279"/>
      <c r="J910" s="278"/>
      <c r="K910" s="278"/>
      <c r="L910" s="278"/>
      <c r="M910" s="212"/>
    </row>
    <row r="911" spans="1:13">
      <c r="A911" s="213"/>
      <c r="B911" s="278"/>
      <c r="C911" s="278"/>
      <c r="D911" s="278"/>
      <c r="E911" s="279"/>
      <c r="F911" s="278"/>
      <c r="G911" s="278"/>
      <c r="H911" s="278"/>
      <c r="I911" s="279"/>
      <c r="J911" s="278"/>
      <c r="K911" s="278"/>
      <c r="L911" s="278"/>
      <c r="M911" s="212"/>
    </row>
    <row r="912" spans="1:13">
      <c r="A912" s="213"/>
      <c r="B912" s="278"/>
      <c r="C912" s="278"/>
      <c r="D912" s="278"/>
      <c r="E912" s="279"/>
      <c r="F912" s="278"/>
      <c r="G912" s="278"/>
      <c r="H912" s="278"/>
      <c r="I912" s="279"/>
      <c r="J912" s="278"/>
      <c r="K912" s="278"/>
      <c r="L912" s="278"/>
      <c r="M912" s="212"/>
    </row>
    <row r="913" spans="1:13">
      <c r="A913" s="213"/>
      <c r="B913" s="278"/>
      <c r="C913" s="278"/>
      <c r="D913" s="278"/>
      <c r="E913" s="279"/>
      <c r="F913" s="278"/>
      <c r="G913" s="278"/>
      <c r="H913" s="278"/>
      <c r="I913" s="279"/>
      <c r="J913" s="278"/>
      <c r="K913" s="278"/>
      <c r="L913" s="278"/>
      <c r="M913" s="212"/>
    </row>
    <row r="914" spans="1:13">
      <c r="A914" s="213"/>
      <c r="B914" s="278"/>
      <c r="C914" s="278"/>
      <c r="D914" s="278"/>
      <c r="E914" s="279"/>
      <c r="F914" s="278"/>
      <c r="G914" s="278"/>
      <c r="H914" s="278"/>
      <c r="I914" s="279"/>
      <c r="J914" s="278"/>
      <c r="K914" s="278"/>
      <c r="L914" s="278"/>
      <c r="M914" s="212"/>
    </row>
    <row r="915" spans="1:13">
      <c r="A915" s="213"/>
      <c r="B915" s="278"/>
      <c r="C915" s="278"/>
      <c r="D915" s="278"/>
      <c r="E915" s="279"/>
      <c r="F915" s="278"/>
      <c r="G915" s="278"/>
      <c r="H915" s="278"/>
      <c r="I915" s="279"/>
      <c r="J915" s="278"/>
      <c r="K915" s="278"/>
      <c r="L915" s="278"/>
      <c r="M915" s="212"/>
    </row>
    <row r="916" spans="1:13">
      <c r="A916" s="213"/>
      <c r="B916" s="278"/>
      <c r="C916" s="278"/>
      <c r="D916" s="278"/>
      <c r="E916" s="279"/>
      <c r="F916" s="278"/>
      <c r="G916" s="278"/>
      <c r="H916" s="278"/>
      <c r="I916" s="279"/>
      <c r="J916" s="278"/>
      <c r="K916" s="278"/>
      <c r="L916" s="278"/>
      <c r="M916" s="212"/>
    </row>
    <row r="917" spans="1:13">
      <c r="A917" s="213"/>
      <c r="B917" s="278"/>
      <c r="C917" s="278"/>
      <c r="D917" s="278"/>
      <c r="E917" s="279"/>
      <c r="F917" s="278"/>
      <c r="G917" s="278"/>
      <c r="H917" s="278"/>
      <c r="I917" s="279"/>
      <c r="J917" s="278"/>
      <c r="K917" s="278"/>
      <c r="L917" s="278"/>
      <c r="M917" s="212"/>
    </row>
    <row r="918" spans="1:13">
      <c r="A918" s="213"/>
      <c r="B918" s="278"/>
      <c r="C918" s="278"/>
      <c r="D918" s="278"/>
      <c r="E918" s="279"/>
      <c r="F918" s="278"/>
      <c r="G918" s="278"/>
      <c r="H918" s="278"/>
      <c r="I918" s="279"/>
      <c r="J918" s="278"/>
      <c r="K918" s="278"/>
      <c r="L918" s="278"/>
      <c r="M918" s="212"/>
    </row>
    <row r="919" spans="1:13">
      <c r="A919" s="213"/>
      <c r="B919" s="278"/>
      <c r="C919" s="278"/>
      <c r="D919" s="278"/>
      <c r="E919" s="279"/>
      <c r="F919" s="278"/>
      <c r="G919" s="278"/>
      <c r="H919" s="278"/>
      <c r="I919" s="279"/>
      <c r="J919" s="278"/>
      <c r="K919" s="278"/>
      <c r="L919" s="278"/>
      <c r="M919" s="212"/>
    </row>
    <row r="920" spans="1:13">
      <c r="A920" s="213"/>
      <c r="B920" s="279"/>
      <c r="C920" s="279"/>
      <c r="D920" s="279"/>
      <c r="E920" s="279"/>
      <c r="F920" s="279"/>
      <c r="G920" s="279"/>
      <c r="H920" s="279"/>
      <c r="I920" s="279"/>
      <c r="J920" s="279"/>
      <c r="K920" s="279"/>
      <c r="L920" s="279"/>
      <c r="M920" s="212"/>
    </row>
    <row r="921" spans="1:13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6"/>
      <c r="M921" s="212"/>
    </row>
    <row r="922" spans="1:13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60"/>
      <c r="M922" s="212"/>
    </row>
    <row r="923" spans="1:13" ht="12.95">
      <c r="A923" s="234"/>
      <c r="B923" s="217"/>
      <c r="C923" s="217"/>
      <c r="D923" s="217"/>
      <c r="E923" s="217"/>
      <c r="F923" s="217"/>
      <c r="G923" s="217"/>
      <c r="H923" s="217"/>
      <c r="I923" s="217"/>
      <c r="J923" s="217"/>
      <c r="K923" s="217"/>
      <c r="L923" s="212"/>
      <c r="M923" s="212"/>
    </row>
    <row r="924" spans="1:13" ht="12.95">
      <c r="A924" s="217"/>
      <c r="B924" s="367"/>
      <c r="C924" s="367"/>
      <c r="D924" s="367"/>
      <c r="E924" s="229"/>
      <c r="F924" s="367"/>
      <c r="G924" s="367"/>
      <c r="H924" s="367"/>
      <c r="I924" s="229"/>
      <c r="J924" s="367"/>
      <c r="K924" s="367"/>
      <c r="L924" s="367"/>
      <c r="M924" s="212"/>
    </row>
    <row r="925" spans="1:13" ht="12.95">
      <c r="A925" s="234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12"/>
    </row>
    <row r="926" spans="1:13" ht="12.95">
      <c r="A926" s="234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12"/>
    </row>
    <row r="927" spans="1:13">
      <c r="A927" s="213"/>
      <c r="B927" s="278"/>
      <c r="C927" s="278"/>
      <c r="D927" s="278"/>
      <c r="E927" s="279"/>
      <c r="F927" s="278"/>
      <c r="G927" s="278"/>
      <c r="H927" s="278"/>
      <c r="I927" s="279"/>
      <c r="J927" s="278"/>
      <c r="K927" s="278"/>
      <c r="L927" s="278"/>
      <c r="M927" s="212"/>
    </row>
    <row r="928" spans="1:13">
      <c r="A928" s="213"/>
      <c r="B928" s="278"/>
      <c r="C928" s="278"/>
      <c r="D928" s="278"/>
      <c r="E928" s="279"/>
      <c r="F928" s="278"/>
      <c r="G928" s="278"/>
      <c r="H928" s="278"/>
      <c r="I928" s="279"/>
      <c r="J928" s="278"/>
      <c r="K928" s="278"/>
      <c r="L928" s="278"/>
      <c r="M928" s="212"/>
    </row>
    <row r="929" spans="1:13">
      <c r="A929" s="213"/>
      <c r="B929" s="278"/>
      <c r="C929" s="278"/>
      <c r="D929" s="278"/>
      <c r="E929" s="279"/>
      <c r="F929" s="278"/>
      <c r="G929" s="278"/>
      <c r="H929" s="278"/>
      <c r="I929" s="279"/>
      <c r="J929" s="278"/>
      <c r="K929" s="278"/>
      <c r="L929" s="278"/>
      <c r="M929" s="212"/>
    </row>
    <row r="930" spans="1:13">
      <c r="A930" s="213"/>
      <c r="B930" s="278"/>
      <c r="C930" s="278"/>
      <c r="D930" s="278"/>
      <c r="E930" s="279"/>
      <c r="F930" s="278"/>
      <c r="G930" s="278"/>
      <c r="H930" s="278"/>
      <c r="I930" s="279"/>
      <c r="J930" s="278"/>
      <c r="K930" s="278"/>
      <c r="L930" s="278"/>
      <c r="M930" s="212"/>
    </row>
    <row r="931" spans="1:13">
      <c r="A931" s="213"/>
      <c r="B931" s="278"/>
      <c r="C931" s="278"/>
      <c r="D931" s="278"/>
      <c r="E931" s="279"/>
      <c r="F931" s="278"/>
      <c r="G931" s="278"/>
      <c r="H931" s="278"/>
      <c r="I931" s="279"/>
      <c r="J931" s="278"/>
      <c r="K931" s="278"/>
      <c r="L931" s="278"/>
      <c r="M931" s="212"/>
    </row>
    <row r="932" spans="1:13">
      <c r="A932" s="213"/>
      <c r="B932" s="278"/>
      <c r="C932" s="278"/>
      <c r="D932" s="278"/>
      <c r="E932" s="279"/>
      <c r="F932" s="278"/>
      <c r="G932" s="278"/>
      <c r="H932" s="278"/>
      <c r="I932" s="279"/>
      <c r="J932" s="278"/>
      <c r="K932" s="278"/>
      <c r="L932" s="278"/>
      <c r="M932" s="212"/>
    </row>
    <row r="933" spans="1:13">
      <c r="A933" s="213"/>
      <c r="B933" s="278"/>
      <c r="C933" s="278"/>
      <c r="D933" s="278"/>
      <c r="E933" s="279"/>
      <c r="F933" s="278"/>
      <c r="G933" s="278"/>
      <c r="H933" s="278"/>
      <c r="I933" s="279"/>
      <c r="J933" s="278"/>
      <c r="K933" s="278"/>
      <c r="L933" s="278"/>
      <c r="M933" s="212"/>
    </row>
    <row r="934" spans="1:13">
      <c r="A934" s="213"/>
      <c r="B934" s="278"/>
      <c r="C934" s="278"/>
      <c r="D934" s="278"/>
      <c r="E934" s="279"/>
      <c r="F934" s="278"/>
      <c r="G934" s="278"/>
      <c r="H934" s="278"/>
      <c r="I934" s="279"/>
      <c r="J934" s="278"/>
      <c r="K934" s="278"/>
      <c r="L934" s="278"/>
      <c r="M934" s="212"/>
    </row>
    <row r="935" spans="1:13">
      <c r="A935" s="213"/>
      <c r="B935" s="278"/>
      <c r="C935" s="278"/>
      <c r="D935" s="278"/>
      <c r="E935" s="279"/>
      <c r="F935" s="278"/>
      <c r="G935" s="278"/>
      <c r="H935" s="278"/>
      <c r="I935" s="279"/>
      <c r="J935" s="278"/>
      <c r="K935" s="278"/>
      <c r="L935" s="278"/>
      <c r="M935" s="212"/>
    </row>
    <row r="936" spans="1:13">
      <c r="A936" s="213"/>
      <c r="B936" s="278"/>
      <c r="C936" s="278"/>
      <c r="D936" s="278"/>
      <c r="E936" s="279"/>
      <c r="F936" s="278"/>
      <c r="G936" s="278"/>
      <c r="H936" s="278"/>
      <c r="I936" s="279"/>
      <c r="J936" s="278"/>
      <c r="K936" s="278"/>
      <c r="L936" s="278"/>
      <c r="M936" s="212"/>
    </row>
    <row r="937" spans="1:13">
      <c r="A937" s="213"/>
      <c r="B937" s="279"/>
      <c r="C937" s="279"/>
      <c r="D937" s="279"/>
      <c r="E937" s="279"/>
      <c r="F937" s="279"/>
      <c r="G937" s="279"/>
      <c r="H937" s="279"/>
      <c r="I937" s="279"/>
      <c r="J937" s="279"/>
      <c r="K937" s="279"/>
      <c r="L937" s="279"/>
      <c r="M937" s="212"/>
    </row>
    <row r="938" spans="1:13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6"/>
      <c r="M938" s="212"/>
    </row>
    <row r="939" spans="1:13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60"/>
      <c r="M939" s="212"/>
    </row>
    <row r="940" spans="1:13" ht="12.95">
      <c r="A940" s="234"/>
      <c r="B940" s="217"/>
      <c r="C940" s="217"/>
      <c r="D940" s="217"/>
      <c r="E940" s="217"/>
      <c r="F940" s="217"/>
      <c r="G940" s="217"/>
      <c r="H940" s="217"/>
      <c r="I940" s="217"/>
      <c r="J940" s="217"/>
      <c r="K940" s="217"/>
      <c r="L940" s="212"/>
      <c r="M940" s="212"/>
    </row>
    <row r="941" spans="1:13" ht="12.95">
      <c r="A941" s="217"/>
      <c r="B941" s="367"/>
      <c r="C941" s="367"/>
      <c r="D941" s="367"/>
      <c r="E941" s="229"/>
      <c r="F941" s="367"/>
      <c r="G941" s="367"/>
      <c r="H941" s="367"/>
      <c r="I941" s="229"/>
      <c r="J941" s="367"/>
      <c r="K941" s="367"/>
      <c r="L941" s="367"/>
      <c r="M941" s="212"/>
    </row>
    <row r="942" spans="1:13" ht="12.95">
      <c r="A942" s="234"/>
      <c r="B942" s="235"/>
      <c r="C942" s="235"/>
      <c r="D942" s="235"/>
      <c r="E942" s="235"/>
      <c r="F942" s="235"/>
      <c r="G942" s="235"/>
      <c r="H942" s="235"/>
      <c r="I942" s="235"/>
      <c r="J942" s="235"/>
      <c r="K942" s="235"/>
      <c r="L942" s="235"/>
      <c r="M942" s="212"/>
    </row>
    <row r="943" spans="1:13" ht="12.95">
      <c r="A943" s="234"/>
      <c r="B943" s="235"/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12"/>
    </row>
    <row r="944" spans="1:13">
      <c r="A944" s="213"/>
      <c r="B944" s="278"/>
      <c r="C944" s="278"/>
      <c r="D944" s="278"/>
      <c r="E944" s="279"/>
      <c r="F944" s="278"/>
      <c r="G944" s="278"/>
      <c r="H944" s="278"/>
      <c r="I944" s="279"/>
      <c r="J944" s="278"/>
      <c r="K944" s="278"/>
      <c r="L944" s="278"/>
      <c r="M944" s="212"/>
    </row>
    <row r="945" spans="1:13">
      <c r="A945" s="213"/>
      <c r="B945" s="278"/>
      <c r="C945" s="278"/>
      <c r="D945" s="278"/>
      <c r="E945" s="279"/>
      <c r="F945" s="278"/>
      <c r="G945" s="278"/>
      <c r="H945" s="278"/>
      <c r="I945" s="279"/>
      <c r="J945" s="278"/>
      <c r="K945" s="278"/>
      <c r="L945" s="278"/>
      <c r="M945" s="212"/>
    </row>
    <row r="946" spans="1:13">
      <c r="A946" s="213"/>
      <c r="B946" s="278"/>
      <c r="C946" s="278"/>
      <c r="D946" s="278"/>
      <c r="E946" s="279"/>
      <c r="F946" s="278"/>
      <c r="G946" s="278"/>
      <c r="H946" s="278"/>
      <c r="I946" s="279"/>
      <c r="J946" s="278"/>
      <c r="K946" s="278"/>
      <c r="L946" s="278"/>
      <c r="M946" s="212"/>
    </row>
    <row r="947" spans="1:13">
      <c r="A947" s="213"/>
      <c r="B947" s="278"/>
      <c r="C947" s="278"/>
      <c r="D947" s="278"/>
      <c r="E947" s="279"/>
      <c r="F947" s="278"/>
      <c r="G947" s="278"/>
      <c r="H947" s="278"/>
      <c r="I947" s="279"/>
      <c r="J947" s="278"/>
      <c r="K947" s="278"/>
      <c r="L947" s="278"/>
      <c r="M947" s="212"/>
    </row>
    <row r="948" spans="1:13">
      <c r="A948" s="213"/>
      <c r="B948" s="278"/>
      <c r="C948" s="278"/>
      <c r="D948" s="278"/>
      <c r="E948" s="279"/>
      <c r="F948" s="278"/>
      <c r="G948" s="278"/>
      <c r="H948" s="278"/>
      <c r="I948" s="279"/>
      <c r="J948" s="278"/>
      <c r="K948" s="278"/>
      <c r="L948" s="278"/>
      <c r="M948" s="212"/>
    </row>
    <row r="949" spans="1:13">
      <c r="A949" s="213"/>
      <c r="B949" s="278"/>
      <c r="C949" s="278"/>
      <c r="D949" s="278"/>
      <c r="E949" s="279"/>
      <c r="F949" s="278"/>
      <c r="G949" s="278"/>
      <c r="H949" s="278"/>
      <c r="I949" s="279"/>
      <c r="J949" s="278"/>
      <c r="K949" s="278"/>
      <c r="L949" s="278"/>
      <c r="M949" s="212"/>
    </row>
    <row r="950" spans="1:13">
      <c r="A950" s="213"/>
      <c r="B950" s="278"/>
      <c r="C950" s="278"/>
      <c r="D950" s="278"/>
      <c r="E950" s="279"/>
      <c r="F950" s="278"/>
      <c r="G950" s="278"/>
      <c r="H950" s="278"/>
      <c r="I950" s="279"/>
      <c r="J950" s="278"/>
      <c r="K950" s="278"/>
      <c r="L950" s="278"/>
      <c r="M950" s="212"/>
    </row>
    <row r="951" spans="1:13">
      <c r="A951" s="213"/>
      <c r="B951" s="278"/>
      <c r="C951" s="278"/>
      <c r="D951" s="278"/>
      <c r="E951" s="279"/>
      <c r="F951" s="278"/>
      <c r="G951" s="278"/>
      <c r="H951" s="278"/>
      <c r="I951" s="279"/>
      <c r="J951" s="278"/>
      <c r="K951" s="278"/>
      <c r="L951" s="278"/>
      <c r="M951" s="212"/>
    </row>
    <row r="952" spans="1:13">
      <c r="A952" s="213"/>
      <c r="B952" s="278"/>
      <c r="C952" s="278"/>
      <c r="D952" s="278"/>
      <c r="E952" s="279"/>
      <c r="F952" s="278"/>
      <c r="G952" s="278"/>
      <c r="H952" s="278"/>
      <c r="I952" s="279"/>
      <c r="J952" s="278"/>
      <c r="K952" s="278"/>
      <c r="L952" s="278"/>
      <c r="M952" s="212"/>
    </row>
    <row r="953" spans="1:13">
      <c r="A953" s="213"/>
      <c r="B953" s="278"/>
      <c r="C953" s="278"/>
      <c r="D953" s="278"/>
      <c r="E953" s="279"/>
      <c r="F953" s="278"/>
      <c r="G953" s="278"/>
      <c r="H953" s="278"/>
      <c r="I953" s="279"/>
      <c r="J953" s="278"/>
      <c r="K953" s="278"/>
      <c r="L953" s="278"/>
      <c r="M953" s="212"/>
    </row>
    <row r="954" spans="1:13">
      <c r="A954" s="213"/>
      <c r="B954" s="279"/>
      <c r="C954" s="279"/>
      <c r="D954" s="279"/>
      <c r="E954" s="279"/>
      <c r="F954" s="279"/>
      <c r="G954" s="279"/>
      <c r="H954" s="279"/>
      <c r="I954" s="279"/>
      <c r="J954" s="279"/>
      <c r="K954" s="279"/>
      <c r="L954" s="279"/>
      <c r="M954" s="212"/>
    </row>
    <row r="955" spans="1:13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6"/>
      <c r="M955" s="212"/>
    </row>
    <row r="956" spans="1:13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60"/>
      <c r="M956" s="212"/>
    </row>
    <row r="957" spans="1:13" ht="12.95">
      <c r="A957" s="234"/>
      <c r="B957" s="217"/>
      <c r="C957" s="217"/>
      <c r="D957" s="217"/>
      <c r="E957" s="217"/>
      <c r="F957" s="217"/>
      <c r="G957" s="217"/>
      <c r="H957" s="217"/>
      <c r="I957" s="217"/>
      <c r="J957" s="217"/>
      <c r="K957" s="217"/>
      <c r="L957" s="212"/>
      <c r="M957" s="212"/>
    </row>
    <row r="958" spans="1:13" ht="12.95">
      <c r="A958" s="217"/>
      <c r="B958" s="367"/>
      <c r="C958" s="367"/>
      <c r="D958" s="367"/>
      <c r="E958" s="229"/>
      <c r="F958" s="367"/>
      <c r="G958" s="367"/>
      <c r="H958" s="367"/>
      <c r="I958" s="229"/>
      <c r="J958" s="367"/>
      <c r="K958" s="367"/>
      <c r="L958" s="367"/>
      <c r="M958" s="212"/>
    </row>
    <row r="959" spans="1:13" ht="12.95">
      <c r="A959" s="234"/>
      <c r="B959" s="235"/>
      <c r="C959" s="235"/>
      <c r="D959" s="235"/>
      <c r="E959" s="235"/>
      <c r="F959" s="235"/>
      <c r="G959" s="235"/>
      <c r="H959" s="235"/>
      <c r="I959" s="235"/>
      <c r="J959" s="235"/>
      <c r="K959" s="235"/>
      <c r="L959" s="235"/>
      <c r="M959" s="212"/>
    </row>
    <row r="960" spans="1:13" ht="12.95">
      <c r="A960" s="234"/>
      <c r="B960" s="235"/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12"/>
    </row>
    <row r="961" spans="1:13">
      <c r="A961" s="213"/>
      <c r="B961" s="278"/>
      <c r="C961" s="278"/>
      <c r="D961" s="278"/>
      <c r="E961" s="279"/>
      <c r="F961" s="278"/>
      <c r="G961" s="278"/>
      <c r="H961" s="278"/>
      <c r="I961" s="279"/>
      <c r="J961" s="278"/>
      <c r="K961" s="278"/>
      <c r="L961" s="278"/>
      <c r="M961" s="212"/>
    </row>
    <row r="962" spans="1:13">
      <c r="A962" s="213"/>
      <c r="B962" s="278"/>
      <c r="C962" s="278"/>
      <c r="D962" s="278"/>
      <c r="E962" s="279"/>
      <c r="F962" s="278"/>
      <c r="G962" s="278"/>
      <c r="H962" s="278"/>
      <c r="I962" s="279"/>
      <c r="J962" s="278"/>
      <c r="K962" s="278"/>
      <c r="L962" s="278"/>
      <c r="M962" s="212"/>
    </row>
    <row r="963" spans="1:13">
      <c r="A963" s="213"/>
      <c r="B963" s="278"/>
      <c r="C963" s="278"/>
      <c r="D963" s="278"/>
      <c r="E963" s="279"/>
      <c r="F963" s="278"/>
      <c r="G963" s="278"/>
      <c r="H963" s="278"/>
      <c r="I963" s="279"/>
      <c r="J963" s="278"/>
      <c r="K963" s="278"/>
      <c r="L963" s="278"/>
      <c r="M963" s="212"/>
    </row>
    <row r="964" spans="1:13">
      <c r="A964" s="213"/>
      <c r="B964" s="278"/>
      <c r="C964" s="278"/>
      <c r="D964" s="278"/>
      <c r="E964" s="279"/>
      <c r="F964" s="278"/>
      <c r="G964" s="278"/>
      <c r="H964" s="278"/>
      <c r="I964" s="279"/>
      <c r="J964" s="278"/>
      <c r="K964" s="278"/>
      <c r="L964" s="278"/>
      <c r="M964" s="212"/>
    </row>
    <row r="965" spans="1:13">
      <c r="A965" s="213"/>
      <c r="B965" s="278"/>
      <c r="C965" s="278"/>
      <c r="D965" s="278"/>
      <c r="E965" s="279"/>
      <c r="F965" s="278"/>
      <c r="G965" s="278"/>
      <c r="H965" s="278"/>
      <c r="I965" s="279"/>
      <c r="J965" s="278"/>
      <c r="K965" s="278"/>
      <c r="L965" s="278"/>
      <c r="M965" s="212"/>
    </row>
    <row r="966" spans="1:13">
      <c r="A966" s="213"/>
      <c r="B966" s="278"/>
      <c r="C966" s="278"/>
      <c r="D966" s="278"/>
      <c r="E966" s="279"/>
      <c r="F966" s="278"/>
      <c r="G966" s="278"/>
      <c r="H966" s="278"/>
      <c r="I966" s="279"/>
      <c r="J966" s="278"/>
      <c r="K966" s="278"/>
      <c r="L966" s="278"/>
      <c r="M966" s="212"/>
    </row>
    <row r="967" spans="1:13">
      <c r="A967" s="213"/>
      <c r="B967" s="278"/>
      <c r="C967" s="278"/>
      <c r="D967" s="278"/>
      <c r="E967" s="279"/>
      <c r="F967" s="278"/>
      <c r="G967" s="278"/>
      <c r="H967" s="278"/>
      <c r="I967" s="279"/>
      <c r="J967" s="278"/>
      <c r="K967" s="278"/>
      <c r="L967" s="278"/>
      <c r="M967" s="212"/>
    </row>
    <row r="968" spans="1:13">
      <c r="A968" s="213"/>
      <c r="B968" s="278"/>
      <c r="C968" s="278"/>
      <c r="D968" s="278"/>
      <c r="E968" s="279"/>
      <c r="F968" s="278"/>
      <c r="G968" s="278"/>
      <c r="H968" s="278"/>
      <c r="I968" s="279"/>
      <c r="J968" s="278"/>
      <c r="K968" s="278"/>
      <c r="L968" s="278"/>
      <c r="M968" s="212"/>
    </row>
    <row r="969" spans="1:13">
      <c r="A969" s="213"/>
      <c r="B969" s="278"/>
      <c r="C969" s="278"/>
      <c r="D969" s="278"/>
      <c r="E969" s="279"/>
      <c r="F969" s="278"/>
      <c r="G969" s="278"/>
      <c r="H969" s="278"/>
      <c r="I969" s="279"/>
      <c r="J969" s="278"/>
      <c r="K969" s="278"/>
      <c r="L969" s="278"/>
      <c r="M969" s="212"/>
    </row>
    <row r="970" spans="1:13">
      <c r="A970" s="213"/>
      <c r="B970" s="278"/>
      <c r="C970" s="278"/>
      <c r="D970" s="278"/>
      <c r="E970" s="279"/>
      <c r="F970" s="278"/>
      <c r="G970" s="278"/>
      <c r="H970" s="278"/>
      <c r="I970" s="279"/>
      <c r="J970" s="278"/>
      <c r="K970" s="278"/>
      <c r="L970" s="278"/>
      <c r="M970" s="212"/>
    </row>
    <row r="971" spans="1:13">
      <c r="A971" s="213"/>
      <c r="B971" s="279"/>
      <c r="C971" s="279"/>
      <c r="D971" s="279"/>
      <c r="E971" s="279"/>
      <c r="F971" s="279"/>
      <c r="G971" s="279"/>
      <c r="H971" s="279"/>
      <c r="I971" s="279"/>
      <c r="J971" s="279"/>
      <c r="K971" s="279"/>
      <c r="L971" s="279"/>
      <c r="M971" s="212"/>
    </row>
    <row r="972" spans="1:13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6"/>
      <c r="M972" s="212"/>
    </row>
    <row r="973" spans="1:13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60"/>
      <c r="M973" s="212"/>
    </row>
    <row r="974" spans="1:13" ht="12.95">
      <c r="A974" s="234"/>
      <c r="B974" s="217"/>
      <c r="C974" s="217"/>
      <c r="D974" s="217"/>
      <c r="E974" s="217"/>
      <c r="F974" s="217"/>
      <c r="G974" s="217"/>
      <c r="H974" s="217"/>
      <c r="I974" s="217"/>
      <c r="J974" s="217"/>
      <c r="K974" s="217"/>
      <c r="L974" s="212"/>
      <c r="M974" s="212"/>
    </row>
    <row r="975" spans="1:13" ht="12.95">
      <c r="A975" s="217"/>
      <c r="B975" s="367"/>
      <c r="C975" s="367"/>
      <c r="D975" s="367"/>
      <c r="E975" s="229"/>
      <c r="F975" s="367"/>
      <c r="G975" s="367"/>
      <c r="H975" s="367"/>
      <c r="I975" s="229"/>
      <c r="J975" s="367"/>
      <c r="K975" s="367"/>
      <c r="L975" s="367"/>
      <c r="M975" s="212"/>
    </row>
    <row r="976" spans="1:13" ht="12.95">
      <c r="A976" s="234"/>
      <c r="B976" s="235"/>
      <c r="C976" s="235"/>
      <c r="D976" s="235"/>
      <c r="E976" s="235"/>
      <c r="F976" s="235"/>
      <c r="G976" s="235"/>
      <c r="H976" s="235"/>
      <c r="I976" s="235"/>
      <c r="J976" s="235"/>
      <c r="K976" s="235"/>
      <c r="L976" s="235"/>
      <c r="M976" s="212"/>
    </row>
    <row r="977" spans="1:13" ht="12.95">
      <c r="A977" s="234"/>
      <c r="B977" s="235"/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12"/>
    </row>
    <row r="978" spans="1:13">
      <c r="A978" s="213"/>
      <c r="B978" s="278"/>
      <c r="C978" s="278"/>
      <c r="D978" s="278"/>
      <c r="E978" s="279"/>
      <c r="F978" s="278"/>
      <c r="G978" s="278"/>
      <c r="H978" s="278"/>
      <c r="I978" s="279"/>
      <c r="J978" s="278"/>
      <c r="K978" s="278"/>
      <c r="L978" s="278"/>
      <c r="M978" s="212"/>
    </row>
    <row r="979" spans="1:13">
      <c r="A979" s="213"/>
      <c r="B979" s="278"/>
      <c r="C979" s="278"/>
      <c r="D979" s="278"/>
      <c r="E979" s="279"/>
      <c r="F979" s="278"/>
      <c r="G979" s="278"/>
      <c r="H979" s="278"/>
      <c r="I979" s="279"/>
      <c r="J979" s="278"/>
      <c r="K979" s="278"/>
      <c r="L979" s="278"/>
      <c r="M979" s="212"/>
    </row>
    <row r="980" spans="1:13">
      <c r="A980" s="213"/>
      <c r="B980" s="278"/>
      <c r="C980" s="278"/>
      <c r="D980" s="278"/>
      <c r="E980" s="279"/>
      <c r="F980" s="278"/>
      <c r="G980" s="278"/>
      <c r="H980" s="278"/>
      <c r="I980" s="279"/>
      <c r="J980" s="278"/>
      <c r="K980" s="278"/>
      <c r="L980" s="278"/>
      <c r="M980" s="212"/>
    </row>
    <row r="981" spans="1:13">
      <c r="A981" s="213"/>
      <c r="B981" s="278"/>
      <c r="C981" s="278"/>
      <c r="D981" s="278"/>
      <c r="E981" s="279"/>
      <c r="F981" s="278"/>
      <c r="G981" s="278"/>
      <c r="H981" s="278"/>
      <c r="I981" s="279"/>
      <c r="J981" s="278"/>
      <c r="K981" s="278"/>
      <c r="L981" s="278"/>
      <c r="M981" s="212"/>
    </row>
    <row r="982" spans="1:13">
      <c r="A982" s="213"/>
      <c r="B982" s="278"/>
      <c r="C982" s="278"/>
      <c r="D982" s="278"/>
      <c r="E982" s="279"/>
      <c r="F982" s="278"/>
      <c r="G982" s="278"/>
      <c r="H982" s="278"/>
      <c r="I982" s="279"/>
      <c r="J982" s="278"/>
      <c r="K982" s="278"/>
      <c r="L982" s="278"/>
      <c r="M982" s="212"/>
    </row>
    <row r="983" spans="1:13">
      <c r="A983" s="213"/>
      <c r="B983" s="278"/>
      <c r="C983" s="278"/>
      <c r="D983" s="278"/>
      <c r="E983" s="279"/>
      <c r="F983" s="278"/>
      <c r="G983" s="278"/>
      <c r="H983" s="278"/>
      <c r="I983" s="279"/>
      <c r="J983" s="278"/>
      <c r="K983" s="278"/>
      <c r="L983" s="278"/>
      <c r="M983" s="212"/>
    </row>
    <row r="984" spans="1:13">
      <c r="A984" s="213"/>
      <c r="B984" s="278"/>
      <c r="C984" s="278"/>
      <c r="D984" s="278"/>
      <c r="E984" s="279"/>
      <c r="F984" s="278"/>
      <c r="G984" s="278"/>
      <c r="H984" s="278"/>
      <c r="I984" s="279"/>
      <c r="J984" s="278"/>
      <c r="K984" s="278"/>
      <c r="L984" s="278"/>
      <c r="M984" s="212"/>
    </row>
    <row r="985" spans="1:13">
      <c r="A985" s="213"/>
      <c r="B985" s="278"/>
      <c r="C985" s="278"/>
      <c r="D985" s="278"/>
      <c r="E985" s="279"/>
      <c r="F985" s="278"/>
      <c r="G985" s="278"/>
      <c r="H985" s="278"/>
      <c r="I985" s="279"/>
      <c r="J985" s="278"/>
      <c r="K985" s="278"/>
      <c r="L985" s="278"/>
      <c r="M985" s="212"/>
    </row>
    <row r="986" spans="1:13">
      <c r="A986" s="213"/>
      <c r="B986" s="278"/>
      <c r="C986" s="278"/>
      <c r="D986" s="278"/>
      <c r="E986" s="279"/>
      <c r="F986" s="278"/>
      <c r="G986" s="278"/>
      <c r="H986" s="278"/>
      <c r="I986" s="279"/>
      <c r="J986" s="278"/>
      <c r="K986" s="278"/>
      <c r="L986" s="278"/>
      <c r="M986" s="212"/>
    </row>
    <row r="987" spans="1:13">
      <c r="A987" s="213"/>
      <c r="B987" s="278"/>
      <c r="C987" s="278"/>
      <c r="D987" s="278"/>
      <c r="E987" s="279"/>
      <c r="F987" s="278"/>
      <c r="G987" s="278"/>
      <c r="H987" s="278"/>
      <c r="I987" s="279"/>
      <c r="J987" s="278"/>
      <c r="K987" s="278"/>
      <c r="L987" s="278"/>
      <c r="M987" s="212"/>
    </row>
    <row r="988" spans="1:13">
      <c r="A988" s="213"/>
      <c r="B988" s="279"/>
      <c r="C988" s="279"/>
      <c r="D988" s="279"/>
      <c r="E988" s="279"/>
      <c r="F988" s="279"/>
      <c r="G988" s="279"/>
      <c r="H988" s="279"/>
      <c r="I988" s="279"/>
      <c r="J988" s="279"/>
      <c r="K988" s="279"/>
      <c r="L988" s="279"/>
      <c r="M988" s="212"/>
    </row>
    <row r="989" spans="1:13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6"/>
      <c r="M989" s="212"/>
    </row>
    <row r="990" spans="1:13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60"/>
      <c r="M990" s="212"/>
    </row>
    <row r="991" spans="1:13" ht="12.95">
      <c r="A991" s="234"/>
      <c r="B991" s="217"/>
      <c r="C991" s="217"/>
      <c r="D991" s="217"/>
      <c r="E991" s="217"/>
      <c r="F991" s="217"/>
      <c r="G991" s="217"/>
      <c r="H991" s="217"/>
      <c r="I991" s="217"/>
      <c r="J991" s="217"/>
      <c r="K991" s="217"/>
      <c r="L991" s="212"/>
      <c r="M991" s="212"/>
    </row>
    <row r="992" spans="1:13" ht="12.95">
      <c r="A992" s="217"/>
      <c r="B992" s="367"/>
      <c r="C992" s="367"/>
      <c r="D992" s="367"/>
      <c r="E992" s="229"/>
      <c r="F992" s="367"/>
      <c r="G992" s="367"/>
      <c r="H992" s="367"/>
      <c r="I992" s="229"/>
      <c r="J992" s="367"/>
      <c r="K992" s="367"/>
      <c r="L992" s="367"/>
      <c r="M992" s="212"/>
    </row>
    <row r="993" spans="1:13" ht="12.95">
      <c r="A993" s="234"/>
      <c r="B993" s="235"/>
      <c r="C993" s="235"/>
      <c r="D993" s="235"/>
      <c r="E993" s="235"/>
      <c r="F993" s="235"/>
      <c r="G993" s="235"/>
      <c r="H993" s="235"/>
      <c r="I993" s="235"/>
      <c r="J993" s="235"/>
      <c r="K993" s="235"/>
      <c r="L993" s="235"/>
      <c r="M993" s="212"/>
    </row>
    <row r="994" spans="1:13" ht="12.95">
      <c r="A994" s="234"/>
      <c r="B994" s="235"/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12"/>
    </row>
    <row r="995" spans="1:13">
      <c r="A995" s="213"/>
      <c r="B995" s="278"/>
      <c r="C995" s="278"/>
      <c r="D995" s="278"/>
      <c r="E995" s="279"/>
      <c r="F995" s="278"/>
      <c r="G995" s="278"/>
      <c r="H995" s="278"/>
      <c r="I995" s="279"/>
      <c r="J995" s="278"/>
      <c r="K995" s="278"/>
      <c r="L995" s="278"/>
      <c r="M995" s="212"/>
    </row>
    <row r="996" spans="1:13">
      <c r="A996" s="213"/>
      <c r="B996" s="278"/>
      <c r="C996" s="278"/>
      <c r="D996" s="278"/>
      <c r="E996" s="279"/>
      <c r="F996" s="278"/>
      <c r="G996" s="278"/>
      <c r="H996" s="278"/>
      <c r="I996" s="279"/>
      <c r="J996" s="278"/>
      <c r="K996" s="278"/>
      <c r="L996" s="278"/>
      <c r="M996" s="212"/>
    </row>
    <row r="997" spans="1:13">
      <c r="A997" s="213"/>
      <c r="B997" s="278"/>
      <c r="C997" s="278"/>
      <c r="D997" s="278"/>
      <c r="E997" s="279"/>
      <c r="F997" s="278"/>
      <c r="G997" s="278"/>
      <c r="H997" s="278"/>
      <c r="I997" s="279"/>
      <c r="J997" s="278"/>
      <c r="K997" s="278"/>
      <c r="L997" s="278"/>
      <c r="M997" s="212"/>
    </row>
    <row r="998" spans="1:13">
      <c r="A998" s="213"/>
      <c r="B998" s="278"/>
      <c r="C998" s="278"/>
      <c r="D998" s="278"/>
      <c r="E998" s="279"/>
      <c r="F998" s="278"/>
      <c r="G998" s="278"/>
      <c r="H998" s="278"/>
      <c r="I998" s="279"/>
      <c r="J998" s="278"/>
      <c r="K998" s="278"/>
      <c r="L998" s="278"/>
      <c r="M998" s="212"/>
    </row>
    <row r="999" spans="1:13">
      <c r="A999" s="213"/>
      <c r="B999" s="278"/>
      <c r="C999" s="278"/>
      <c r="D999" s="278"/>
      <c r="E999" s="279"/>
      <c r="F999" s="278"/>
      <c r="G999" s="278"/>
      <c r="H999" s="278"/>
      <c r="I999" s="279"/>
      <c r="J999" s="278"/>
      <c r="K999" s="278"/>
      <c r="L999" s="278"/>
      <c r="M999" s="212"/>
    </row>
    <row r="1000" spans="1:13">
      <c r="A1000" s="213"/>
      <c r="B1000" s="278"/>
      <c r="C1000" s="278"/>
      <c r="D1000" s="278"/>
      <c r="E1000" s="279"/>
      <c r="F1000" s="278"/>
      <c r="G1000" s="278"/>
      <c r="H1000" s="278"/>
      <c r="I1000" s="279"/>
      <c r="J1000" s="278"/>
      <c r="K1000" s="278"/>
      <c r="L1000" s="278"/>
      <c r="M1000" s="212"/>
    </row>
    <row r="1001" spans="1:13">
      <c r="A1001" s="213"/>
      <c r="B1001" s="278"/>
      <c r="C1001" s="278"/>
      <c r="D1001" s="278"/>
      <c r="E1001" s="279"/>
      <c r="F1001" s="278"/>
      <c r="G1001" s="278"/>
      <c r="H1001" s="278"/>
      <c r="I1001" s="279"/>
      <c r="J1001" s="278"/>
      <c r="K1001" s="278"/>
      <c r="L1001" s="278"/>
      <c r="M1001" s="212"/>
    </row>
    <row r="1002" spans="1:13">
      <c r="A1002" s="213"/>
      <c r="B1002" s="278"/>
      <c r="C1002" s="278"/>
      <c r="D1002" s="278"/>
      <c r="E1002" s="279"/>
      <c r="F1002" s="278"/>
      <c r="G1002" s="278"/>
      <c r="H1002" s="278"/>
      <c r="I1002" s="279"/>
      <c r="J1002" s="278"/>
      <c r="K1002" s="278"/>
      <c r="L1002" s="278"/>
      <c r="M1002" s="212"/>
    </row>
    <row r="1003" spans="1:13">
      <c r="A1003" s="213"/>
      <c r="B1003" s="278"/>
      <c r="C1003" s="278"/>
      <c r="D1003" s="278"/>
      <c r="E1003" s="279"/>
      <c r="F1003" s="278"/>
      <c r="G1003" s="278"/>
      <c r="H1003" s="278"/>
      <c r="I1003" s="279"/>
      <c r="J1003" s="278"/>
      <c r="K1003" s="278"/>
      <c r="L1003" s="278"/>
      <c r="M1003" s="212"/>
    </row>
    <row r="1004" spans="1:13">
      <c r="A1004" s="213"/>
      <c r="B1004" s="278"/>
      <c r="C1004" s="278"/>
      <c r="D1004" s="278"/>
      <c r="E1004" s="279"/>
      <c r="F1004" s="278"/>
      <c r="G1004" s="278"/>
      <c r="H1004" s="278"/>
      <c r="I1004" s="279"/>
      <c r="J1004" s="278"/>
      <c r="K1004" s="278"/>
      <c r="L1004" s="278"/>
      <c r="M1004" s="212"/>
    </row>
    <row r="1005" spans="1:13">
      <c r="A1005" s="213"/>
      <c r="B1005" s="279"/>
      <c r="C1005" s="279"/>
      <c r="D1005" s="279"/>
      <c r="E1005" s="279"/>
      <c r="F1005" s="279"/>
      <c r="G1005" s="279"/>
      <c r="H1005" s="279"/>
      <c r="I1005" s="279"/>
      <c r="J1005" s="279"/>
      <c r="K1005" s="279"/>
      <c r="L1005" s="279"/>
      <c r="M1005" s="212"/>
    </row>
    <row r="1006" spans="1:13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6"/>
      <c r="M1006" s="212"/>
    </row>
    <row r="1007" spans="1:13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60"/>
      <c r="M1007" s="212"/>
    </row>
    <row r="1008" spans="1:13" ht="12.95">
      <c r="A1008" s="234"/>
      <c r="B1008" s="217"/>
      <c r="C1008" s="217"/>
      <c r="D1008" s="217"/>
      <c r="E1008" s="217"/>
      <c r="F1008" s="217"/>
      <c r="G1008" s="217"/>
      <c r="H1008" s="217"/>
      <c r="I1008" s="217"/>
      <c r="J1008" s="217"/>
      <c r="K1008" s="217"/>
      <c r="L1008" s="212"/>
      <c r="M1008" s="212"/>
    </row>
    <row r="1009" spans="1:13" ht="12.95">
      <c r="A1009" s="217"/>
      <c r="B1009" s="367"/>
      <c r="C1009" s="367"/>
      <c r="D1009" s="367"/>
      <c r="E1009" s="229"/>
      <c r="F1009" s="367"/>
      <c r="G1009" s="367"/>
      <c r="H1009" s="367"/>
      <c r="I1009" s="229"/>
      <c r="J1009" s="367"/>
      <c r="K1009" s="367"/>
      <c r="L1009" s="367"/>
      <c r="M1009" s="212"/>
    </row>
    <row r="1010" spans="1:13" ht="12.95">
      <c r="A1010" s="234"/>
      <c r="B1010" s="235"/>
      <c r="C1010" s="235"/>
      <c r="D1010" s="235"/>
      <c r="E1010" s="235"/>
      <c r="F1010" s="235"/>
      <c r="G1010" s="235"/>
      <c r="H1010" s="235"/>
      <c r="I1010" s="235"/>
      <c r="J1010" s="235"/>
      <c r="K1010" s="235"/>
      <c r="L1010" s="235"/>
      <c r="M1010" s="212"/>
    </row>
    <row r="1011" spans="1:13" ht="12.95">
      <c r="A1011" s="234"/>
      <c r="B1011" s="235"/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12"/>
    </row>
    <row r="1012" spans="1:13">
      <c r="A1012" s="213"/>
      <c r="B1012" s="278"/>
      <c r="C1012" s="278"/>
      <c r="D1012" s="278"/>
      <c r="E1012" s="279"/>
      <c r="F1012" s="278"/>
      <c r="G1012" s="278"/>
      <c r="H1012" s="278"/>
      <c r="I1012" s="279"/>
      <c r="J1012" s="278"/>
      <c r="K1012" s="278"/>
      <c r="L1012" s="278"/>
      <c r="M1012" s="212"/>
    </row>
    <row r="1013" spans="1:13">
      <c r="A1013" s="213"/>
      <c r="B1013" s="278"/>
      <c r="C1013" s="278"/>
      <c r="D1013" s="278"/>
      <c r="E1013" s="279"/>
      <c r="F1013" s="278"/>
      <c r="G1013" s="278"/>
      <c r="H1013" s="278"/>
      <c r="I1013" s="279"/>
      <c r="J1013" s="278"/>
      <c r="K1013" s="278"/>
      <c r="L1013" s="278"/>
      <c r="M1013" s="212"/>
    </row>
    <row r="1014" spans="1:13">
      <c r="A1014" s="213"/>
      <c r="B1014" s="278"/>
      <c r="C1014" s="278"/>
      <c r="D1014" s="278"/>
      <c r="E1014" s="279"/>
      <c r="F1014" s="278"/>
      <c r="G1014" s="278"/>
      <c r="H1014" s="278"/>
      <c r="I1014" s="279"/>
      <c r="J1014" s="278"/>
      <c r="K1014" s="278"/>
      <c r="L1014" s="278"/>
      <c r="M1014" s="212"/>
    </row>
    <row r="1015" spans="1:13">
      <c r="A1015" s="213"/>
      <c r="B1015" s="278"/>
      <c r="C1015" s="278"/>
      <c r="D1015" s="278"/>
      <c r="E1015" s="279"/>
      <c r="F1015" s="278"/>
      <c r="G1015" s="278"/>
      <c r="H1015" s="278"/>
      <c r="I1015" s="279"/>
      <c r="J1015" s="278"/>
      <c r="K1015" s="278"/>
      <c r="L1015" s="278"/>
      <c r="M1015" s="212"/>
    </row>
    <row r="1016" spans="1:13">
      <c r="A1016" s="213"/>
      <c r="B1016" s="278"/>
      <c r="C1016" s="278"/>
      <c r="D1016" s="278"/>
      <c r="E1016" s="279"/>
      <c r="F1016" s="278"/>
      <c r="G1016" s="278"/>
      <c r="H1016" s="278"/>
      <c r="I1016" s="279"/>
      <c r="J1016" s="278"/>
      <c r="K1016" s="278"/>
      <c r="L1016" s="278"/>
      <c r="M1016" s="212"/>
    </row>
    <row r="1017" spans="1:13">
      <c r="A1017" s="213"/>
      <c r="B1017" s="278"/>
      <c r="C1017" s="278"/>
      <c r="D1017" s="278"/>
      <c r="E1017" s="279"/>
      <c r="F1017" s="278"/>
      <c r="G1017" s="278"/>
      <c r="H1017" s="278"/>
      <c r="I1017" s="279"/>
      <c r="J1017" s="278"/>
      <c r="K1017" s="278"/>
      <c r="L1017" s="278"/>
      <c r="M1017" s="212"/>
    </row>
    <row r="1018" spans="1:13">
      <c r="A1018" s="213"/>
      <c r="B1018" s="278"/>
      <c r="C1018" s="278"/>
      <c r="D1018" s="278"/>
      <c r="E1018" s="279"/>
      <c r="F1018" s="278"/>
      <c r="G1018" s="278"/>
      <c r="H1018" s="278"/>
      <c r="I1018" s="279"/>
      <c r="J1018" s="278"/>
      <c r="K1018" s="278"/>
      <c r="L1018" s="278"/>
      <c r="M1018" s="212"/>
    </row>
    <row r="1019" spans="1:13">
      <c r="A1019" s="213"/>
      <c r="B1019" s="278"/>
      <c r="C1019" s="278"/>
      <c r="D1019" s="278"/>
      <c r="E1019" s="279"/>
      <c r="F1019" s="278"/>
      <c r="G1019" s="278"/>
      <c r="H1019" s="278"/>
      <c r="I1019" s="279"/>
      <c r="J1019" s="278"/>
      <c r="K1019" s="278"/>
      <c r="L1019" s="278"/>
      <c r="M1019" s="212"/>
    </row>
    <row r="1020" spans="1:13">
      <c r="A1020" s="213"/>
      <c r="B1020" s="278"/>
      <c r="C1020" s="278"/>
      <c r="D1020" s="278"/>
      <c r="E1020" s="279"/>
      <c r="F1020" s="278"/>
      <c r="G1020" s="278"/>
      <c r="H1020" s="278"/>
      <c r="I1020" s="279"/>
      <c r="J1020" s="278"/>
      <c r="K1020" s="278"/>
      <c r="L1020" s="278"/>
      <c r="M1020" s="212"/>
    </row>
    <row r="1021" spans="1:13">
      <c r="A1021" s="213"/>
      <c r="B1021" s="278"/>
      <c r="C1021" s="278"/>
      <c r="D1021" s="278"/>
      <c r="E1021" s="279"/>
      <c r="F1021" s="278"/>
      <c r="G1021" s="278"/>
      <c r="H1021" s="278"/>
      <c r="I1021" s="279"/>
      <c r="J1021" s="278"/>
      <c r="K1021" s="278"/>
      <c r="L1021" s="278"/>
      <c r="M1021" s="212"/>
    </row>
    <row r="1022" spans="1:13">
      <c r="A1022" s="213"/>
      <c r="B1022" s="279"/>
      <c r="C1022" s="279"/>
      <c r="D1022" s="279"/>
      <c r="E1022" s="279"/>
      <c r="F1022" s="279"/>
      <c r="G1022" s="279"/>
      <c r="H1022" s="279"/>
      <c r="I1022" s="279"/>
      <c r="J1022" s="279"/>
      <c r="K1022" s="279"/>
      <c r="L1022" s="279"/>
      <c r="M1022" s="212"/>
    </row>
    <row r="1023" spans="1:13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6"/>
      <c r="M1023" s="212"/>
    </row>
    <row r="1024" spans="1:13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60"/>
      <c r="M1024" s="212"/>
    </row>
    <row r="1025" spans="1:13" ht="12.95">
      <c r="A1025" s="234"/>
      <c r="B1025" s="217"/>
      <c r="C1025" s="217"/>
      <c r="D1025" s="217"/>
      <c r="E1025" s="217"/>
      <c r="F1025" s="217"/>
      <c r="G1025" s="217"/>
      <c r="H1025" s="217"/>
      <c r="I1025" s="217"/>
      <c r="J1025" s="217"/>
      <c r="K1025" s="217"/>
      <c r="L1025" s="212"/>
      <c r="M1025" s="212"/>
    </row>
    <row r="1026" spans="1:13" ht="12.95">
      <c r="A1026" s="217"/>
      <c r="B1026" s="367"/>
      <c r="C1026" s="367"/>
      <c r="D1026" s="367"/>
      <c r="E1026" s="229"/>
      <c r="F1026" s="367"/>
      <c r="G1026" s="367"/>
      <c r="H1026" s="367"/>
      <c r="I1026" s="229"/>
      <c r="J1026" s="367"/>
      <c r="K1026" s="367"/>
      <c r="L1026" s="367"/>
      <c r="M1026" s="212"/>
    </row>
    <row r="1027" spans="1:13" ht="12.95">
      <c r="A1027" s="234"/>
      <c r="B1027" s="235"/>
      <c r="C1027" s="235"/>
      <c r="D1027" s="235"/>
      <c r="E1027" s="235"/>
      <c r="F1027" s="235"/>
      <c r="G1027" s="235"/>
      <c r="H1027" s="235"/>
      <c r="I1027" s="235"/>
      <c r="J1027" s="235"/>
      <c r="K1027" s="235"/>
      <c r="L1027" s="235"/>
      <c r="M1027" s="212"/>
    </row>
    <row r="1028" spans="1:13" ht="12.95">
      <c r="A1028" s="234"/>
      <c r="B1028" s="235"/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12"/>
    </row>
    <row r="1029" spans="1:13">
      <c r="A1029" s="213"/>
      <c r="B1029" s="278"/>
      <c r="C1029" s="278"/>
      <c r="D1029" s="278"/>
      <c r="E1029" s="279"/>
      <c r="F1029" s="278"/>
      <c r="G1029" s="278"/>
      <c r="H1029" s="278"/>
      <c r="I1029" s="279"/>
      <c r="J1029" s="278"/>
      <c r="K1029" s="278"/>
      <c r="L1029" s="278"/>
      <c r="M1029" s="212"/>
    </row>
    <row r="1030" spans="1:13">
      <c r="A1030" s="213"/>
      <c r="B1030" s="278"/>
      <c r="C1030" s="278"/>
      <c r="D1030" s="278"/>
      <c r="E1030" s="279"/>
      <c r="F1030" s="278"/>
      <c r="G1030" s="278"/>
      <c r="H1030" s="278"/>
      <c r="I1030" s="279"/>
      <c r="J1030" s="278"/>
      <c r="K1030" s="278"/>
      <c r="L1030" s="278"/>
      <c r="M1030" s="212"/>
    </row>
    <row r="1031" spans="1:13">
      <c r="A1031" s="213"/>
      <c r="B1031" s="278"/>
      <c r="C1031" s="278"/>
      <c r="D1031" s="278"/>
      <c r="E1031" s="279"/>
      <c r="F1031" s="278"/>
      <c r="G1031" s="278"/>
      <c r="H1031" s="278"/>
      <c r="I1031" s="279"/>
      <c r="J1031" s="278"/>
      <c r="K1031" s="278"/>
      <c r="L1031" s="278"/>
      <c r="M1031" s="212"/>
    </row>
    <row r="1032" spans="1:13">
      <c r="A1032" s="213"/>
      <c r="B1032" s="278"/>
      <c r="C1032" s="278"/>
      <c r="D1032" s="278"/>
      <c r="E1032" s="279"/>
      <c r="F1032" s="278"/>
      <c r="G1032" s="278"/>
      <c r="H1032" s="278"/>
      <c r="I1032" s="279"/>
      <c r="J1032" s="278"/>
      <c r="K1032" s="278"/>
      <c r="L1032" s="278"/>
      <c r="M1032" s="212"/>
    </row>
    <row r="1033" spans="1:13">
      <c r="A1033" s="213"/>
      <c r="B1033" s="278"/>
      <c r="C1033" s="278"/>
      <c r="D1033" s="278"/>
      <c r="E1033" s="279"/>
      <c r="F1033" s="278"/>
      <c r="G1033" s="278"/>
      <c r="H1033" s="278"/>
      <c r="I1033" s="279"/>
      <c r="J1033" s="278"/>
      <c r="K1033" s="278"/>
      <c r="L1033" s="278"/>
      <c r="M1033" s="212"/>
    </row>
    <row r="1034" spans="1:13">
      <c r="A1034" s="213"/>
      <c r="B1034" s="278"/>
      <c r="C1034" s="278"/>
      <c r="D1034" s="278"/>
      <c r="E1034" s="279"/>
      <c r="F1034" s="278"/>
      <c r="G1034" s="278"/>
      <c r="H1034" s="278"/>
      <c r="I1034" s="279"/>
      <c r="J1034" s="278"/>
      <c r="K1034" s="278"/>
      <c r="L1034" s="278"/>
      <c r="M1034" s="212"/>
    </row>
    <row r="1035" spans="1:13">
      <c r="A1035" s="213"/>
      <c r="B1035" s="278"/>
      <c r="C1035" s="278"/>
      <c r="D1035" s="278"/>
      <c r="E1035" s="279"/>
      <c r="F1035" s="278"/>
      <c r="G1035" s="278"/>
      <c r="H1035" s="278"/>
      <c r="I1035" s="279"/>
      <c r="J1035" s="278"/>
      <c r="K1035" s="278"/>
      <c r="L1035" s="278"/>
      <c r="M1035" s="212"/>
    </row>
    <row r="1036" spans="1:13">
      <c r="A1036" s="213"/>
      <c r="B1036" s="278"/>
      <c r="C1036" s="278"/>
      <c r="D1036" s="278"/>
      <c r="E1036" s="279"/>
      <c r="F1036" s="278"/>
      <c r="G1036" s="278"/>
      <c r="H1036" s="278"/>
      <c r="I1036" s="279"/>
      <c r="J1036" s="278"/>
      <c r="K1036" s="278"/>
      <c r="L1036" s="278"/>
      <c r="M1036" s="212"/>
    </row>
    <row r="1037" spans="1:13" ht="13.5" customHeight="1">
      <c r="A1037" s="213"/>
      <c r="B1037" s="278"/>
      <c r="C1037" s="278"/>
      <c r="D1037" s="278"/>
      <c r="E1037" s="279"/>
      <c r="F1037" s="278"/>
      <c r="G1037" s="278"/>
      <c r="H1037" s="278"/>
      <c r="I1037" s="279"/>
      <c r="J1037" s="278"/>
      <c r="K1037" s="278"/>
      <c r="L1037" s="278"/>
      <c r="M1037" s="212"/>
    </row>
    <row r="1038" spans="1:13" ht="13.5" customHeight="1">
      <c r="A1038" s="213"/>
      <c r="B1038" s="278"/>
      <c r="C1038" s="278"/>
      <c r="D1038" s="278"/>
      <c r="E1038" s="279"/>
      <c r="F1038" s="278"/>
      <c r="G1038" s="278"/>
      <c r="H1038" s="278"/>
      <c r="I1038" s="279"/>
      <c r="J1038" s="278"/>
      <c r="K1038" s="278"/>
      <c r="L1038" s="278"/>
      <c r="M1038" s="212"/>
    </row>
    <row r="1039" spans="1:13">
      <c r="A1039" s="213"/>
      <c r="B1039" s="279"/>
      <c r="C1039" s="279"/>
      <c r="D1039" s="279"/>
      <c r="E1039" s="279"/>
      <c r="F1039" s="279"/>
      <c r="G1039" s="279"/>
      <c r="H1039" s="279"/>
      <c r="I1039" s="279"/>
      <c r="J1039" s="279"/>
      <c r="K1039" s="279"/>
      <c r="L1039" s="279"/>
      <c r="M1039" s="212"/>
    </row>
    <row r="1040" spans="1:13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6"/>
      <c r="M1040" s="212"/>
    </row>
    <row r="1041" spans="1:13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60"/>
      <c r="M1041" s="212"/>
    </row>
    <row r="1042" spans="1:13" ht="12.95">
      <c r="A1042" s="234"/>
      <c r="B1042" s="217"/>
      <c r="C1042" s="217"/>
      <c r="D1042" s="217"/>
      <c r="E1042" s="217"/>
      <c r="F1042" s="217"/>
      <c r="G1042" s="217"/>
      <c r="H1042" s="217"/>
      <c r="I1042" s="217"/>
      <c r="J1042" s="217"/>
      <c r="K1042" s="217"/>
      <c r="L1042" s="212"/>
      <c r="M1042" s="212"/>
    </row>
    <row r="1043" spans="1:13" ht="12.95">
      <c r="A1043" s="217"/>
      <c r="B1043" s="367"/>
      <c r="C1043" s="367"/>
      <c r="D1043" s="367"/>
      <c r="E1043" s="229"/>
      <c r="F1043" s="367"/>
      <c r="G1043" s="367"/>
      <c r="H1043" s="367"/>
      <c r="I1043" s="229"/>
      <c r="J1043" s="367"/>
      <c r="K1043" s="367"/>
      <c r="L1043" s="367"/>
      <c r="M1043" s="212"/>
    </row>
    <row r="1044" spans="1:13" ht="12.95">
      <c r="A1044" s="234"/>
      <c r="B1044" s="235"/>
      <c r="C1044" s="235"/>
      <c r="D1044" s="235"/>
      <c r="E1044" s="235"/>
      <c r="F1044" s="235"/>
      <c r="G1044" s="235"/>
      <c r="H1044" s="235"/>
      <c r="I1044" s="235"/>
      <c r="J1044" s="235"/>
      <c r="K1044" s="235"/>
      <c r="L1044" s="235"/>
      <c r="M1044" s="212"/>
    </row>
    <row r="1045" spans="1:13" ht="12.95">
      <c r="A1045" s="234"/>
      <c r="B1045" s="235"/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12"/>
    </row>
    <row r="1046" spans="1:13">
      <c r="A1046" s="213"/>
      <c r="B1046" s="278"/>
      <c r="C1046" s="278"/>
      <c r="D1046" s="278"/>
      <c r="E1046" s="279"/>
      <c r="F1046" s="278"/>
      <c r="G1046" s="278"/>
      <c r="H1046" s="278"/>
      <c r="I1046" s="279"/>
      <c r="J1046" s="278"/>
      <c r="K1046" s="278"/>
      <c r="L1046" s="278"/>
      <c r="M1046" s="212"/>
    </row>
    <row r="1047" spans="1:13">
      <c r="A1047" s="213"/>
      <c r="B1047" s="278"/>
      <c r="C1047" s="278"/>
      <c r="D1047" s="278"/>
      <c r="E1047" s="279"/>
      <c r="F1047" s="278"/>
      <c r="G1047" s="278"/>
      <c r="H1047" s="278"/>
      <c r="I1047" s="279"/>
      <c r="J1047" s="278"/>
      <c r="K1047" s="278"/>
      <c r="L1047" s="278"/>
      <c r="M1047" s="212"/>
    </row>
    <row r="1048" spans="1:13">
      <c r="A1048" s="213"/>
      <c r="B1048" s="278"/>
      <c r="C1048" s="278"/>
      <c r="D1048" s="278"/>
      <c r="E1048" s="279"/>
      <c r="F1048" s="278"/>
      <c r="G1048" s="278"/>
      <c r="H1048" s="278"/>
      <c r="I1048" s="279"/>
      <c r="J1048" s="278"/>
      <c r="K1048" s="278"/>
      <c r="L1048" s="278"/>
      <c r="M1048" s="212"/>
    </row>
    <row r="1049" spans="1:13">
      <c r="A1049" s="213"/>
      <c r="B1049" s="278"/>
      <c r="C1049" s="278"/>
      <c r="D1049" s="278"/>
      <c r="E1049" s="279"/>
      <c r="F1049" s="278"/>
      <c r="G1049" s="278"/>
      <c r="H1049" s="278"/>
      <c r="I1049" s="279"/>
      <c r="J1049" s="278"/>
      <c r="K1049" s="278"/>
      <c r="L1049" s="278"/>
      <c r="M1049" s="212"/>
    </row>
    <row r="1050" spans="1:13">
      <c r="A1050" s="213"/>
      <c r="B1050" s="278"/>
      <c r="C1050" s="278"/>
      <c r="D1050" s="278"/>
      <c r="E1050" s="279"/>
      <c r="F1050" s="278"/>
      <c r="G1050" s="278"/>
      <c r="H1050" s="278"/>
      <c r="I1050" s="279"/>
      <c r="J1050" s="278"/>
      <c r="K1050" s="278"/>
      <c r="L1050" s="278"/>
      <c r="M1050" s="212"/>
    </row>
    <row r="1051" spans="1:13">
      <c r="A1051" s="213"/>
      <c r="B1051" s="278"/>
      <c r="C1051" s="278"/>
      <c r="D1051" s="278"/>
      <c r="E1051" s="279"/>
      <c r="F1051" s="278"/>
      <c r="G1051" s="278"/>
      <c r="H1051" s="278"/>
      <c r="I1051" s="279"/>
      <c r="J1051" s="278"/>
      <c r="K1051" s="278"/>
      <c r="L1051" s="278"/>
      <c r="M1051" s="212"/>
    </row>
    <row r="1052" spans="1:13">
      <c r="A1052" s="213"/>
      <c r="B1052" s="278"/>
      <c r="C1052" s="278"/>
      <c r="D1052" s="278"/>
      <c r="E1052" s="279"/>
      <c r="F1052" s="278"/>
      <c r="G1052" s="278"/>
      <c r="H1052" s="278"/>
      <c r="I1052" s="279"/>
      <c r="J1052" s="278"/>
      <c r="K1052" s="278"/>
      <c r="L1052" s="278"/>
      <c r="M1052" s="212"/>
    </row>
    <row r="1053" spans="1:13">
      <c r="A1053" s="213"/>
      <c r="B1053" s="278"/>
      <c r="C1053" s="278"/>
      <c r="D1053" s="278"/>
      <c r="E1053" s="279"/>
      <c r="F1053" s="278"/>
      <c r="G1053" s="278"/>
      <c r="H1053" s="278"/>
      <c r="I1053" s="279"/>
      <c r="J1053" s="278"/>
      <c r="K1053" s="278"/>
      <c r="L1053" s="278"/>
      <c r="M1053" s="212"/>
    </row>
    <row r="1054" spans="1:13">
      <c r="A1054" s="213"/>
      <c r="B1054" s="278"/>
      <c r="C1054" s="278"/>
      <c r="D1054" s="278"/>
      <c r="E1054" s="279"/>
      <c r="F1054" s="278"/>
      <c r="G1054" s="278"/>
      <c r="H1054" s="278"/>
      <c r="I1054" s="279"/>
      <c r="J1054" s="278"/>
      <c r="K1054" s="278"/>
      <c r="L1054" s="278"/>
      <c r="M1054" s="212"/>
    </row>
    <row r="1055" spans="1:13">
      <c r="A1055" s="213"/>
      <c r="B1055" s="278"/>
      <c r="C1055" s="278"/>
      <c r="D1055" s="278"/>
      <c r="E1055" s="279"/>
      <c r="F1055" s="278"/>
      <c r="G1055" s="278"/>
      <c r="H1055" s="278"/>
      <c r="I1055" s="279"/>
      <c r="J1055" s="278"/>
      <c r="K1055" s="278"/>
      <c r="L1055" s="278"/>
      <c r="M1055" s="212"/>
    </row>
    <row r="1056" spans="1:13">
      <c r="A1056" s="213"/>
      <c r="B1056" s="279"/>
      <c r="C1056" s="279"/>
      <c r="D1056" s="279"/>
      <c r="E1056" s="279"/>
      <c r="F1056" s="279"/>
      <c r="G1056" s="279"/>
      <c r="H1056" s="279"/>
      <c r="I1056" s="279"/>
      <c r="J1056" s="279"/>
      <c r="K1056" s="279"/>
      <c r="L1056" s="279"/>
      <c r="M1056" s="212"/>
    </row>
    <row r="1057" spans="1:13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6"/>
      <c r="M1057" s="212"/>
    </row>
    <row r="1058" spans="1:13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60"/>
      <c r="M1058" s="212"/>
    </row>
    <row r="1059" spans="1:13" ht="12.95">
      <c r="A1059" s="234"/>
      <c r="B1059" s="217"/>
      <c r="C1059" s="217"/>
      <c r="D1059" s="217"/>
      <c r="E1059" s="217"/>
      <c r="F1059" s="217"/>
      <c r="G1059" s="217"/>
      <c r="H1059" s="217"/>
      <c r="I1059" s="217"/>
      <c r="J1059" s="217"/>
      <c r="K1059" s="217"/>
      <c r="L1059" s="212"/>
      <c r="M1059" s="212"/>
    </row>
    <row r="1060" spans="1:13" ht="12.95">
      <c r="A1060" s="217"/>
      <c r="B1060" s="367"/>
      <c r="C1060" s="367"/>
      <c r="D1060" s="367"/>
      <c r="E1060" s="229"/>
      <c r="F1060" s="367"/>
      <c r="G1060" s="367"/>
      <c r="H1060" s="367"/>
      <c r="I1060" s="229"/>
      <c r="J1060" s="367"/>
      <c r="K1060" s="367"/>
      <c r="L1060" s="367"/>
      <c r="M1060" s="212"/>
    </row>
    <row r="1061" spans="1:13" ht="12.95">
      <c r="A1061" s="234"/>
      <c r="B1061" s="235"/>
      <c r="C1061" s="235"/>
      <c r="D1061" s="235"/>
      <c r="E1061" s="235"/>
      <c r="F1061" s="235"/>
      <c r="G1061" s="235"/>
      <c r="H1061" s="235"/>
      <c r="I1061" s="235"/>
      <c r="J1061" s="235"/>
      <c r="K1061" s="235"/>
      <c r="L1061" s="235"/>
      <c r="M1061" s="212"/>
    </row>
    <row r="1062" spans="1:13" ht="12.95">
      <c r="A1062" s="234"/>
      <c r="B1062" s="235"/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12"/>
    </row>
    <row r="1063" spans="1:13">
      <c r="A1063" s="213"/>
      <c r="B1063" s="278"/>
      <c r="C1063" s="278"/>
      <c r="D1063" s="278"/>
      <c r="E1063" s="279"/>
      <c r="F1063" s="278"/>
      <c r="G1063" s="278"/>
      <c r="H1063" s="278"/>
      <c r="I1063" s="279"/>
      <c r="J1063" s="278"/>
      <c r="K1063" s="278"/>
      <c r="L1063" s="278"/>
      <c r="M1063" s="212"/>
    </row>
    <row r="1064" spans="1:13">
      <c r="A1064" s="213"/>
      <c r="B1064" s="278"/>
      <c r="C1064" s="278"/>
      <c r="D1064" s="278"/>
      <c r="E1064" s="279"/>
      <c r="F1064" s="278"/>
      <c r="G1064" s="278"/>
      <c r="H1064" s="278"/>
      <c r="I1064" s="279"/>
      <c r="J1064" s="278"/>
      <c r="K1064" s="278"/>
      <c r="L1064" s="278"/>
      <c r="M1064" s="212"/>
    </row>
    <row r="1065" spans="1:13">
      <c r="A1065" s="213"/>
      <c r="B1065" s="278"/>
      <c r="C1065" s="278"/>
      <c r="D1065" s="278"/>
      <c r="E1065" s="279"/>
      <c r="F1065" s="278"/>
      <c r="G1065" s="278"/>
      <c r="H1065" s="278"/>
      <c r="I1065" s="279"/>
      <c r="J1065" s="278"/>
      <c r="K1065" s="278"/>
      <c r="L1065" s="278"/>
      <c r="M1065" s="212"/>
    </row>
    <row r="1066" spans="1:13">
      <c r="A1066" s="213"/>
      <c r="B1066" s="278"/>
      <c r="C1066" s="278"/>
      <c r="D1066" s="278"/>
      <c r="E1066" s="279"/>
      <c r="F1066" s="278"/>
      <c r="G1066" s="278"/>
      <c r="H1066" s="278"/>
      <c r="I1066" s="279"/>
      <c r="J1066" s="278"/>
      <c r="K1066" s="278"/>
      <c r="L1066" s="278"/>
      <c r="M1066" s="212"/>
    </row>
    <row r="1067" spans="1:13">
      <c r="A1067" s="213"/>
      <c r="B1067" s="278"/>
      <c r="C1067" s="278"/>
      <c r="D1067" s="278"/>
      <c r="E1067" s="279"/>
      <c r="F1067" s="278"/>
      <c r="G1067" s="278"/>
      <c r="H1067" s="278"/>
      <c r="I1067" s="279"/>
      <c r="J1067" s="278"/>
      <c r="K1067" s="278"/>
      <c r="L1067" s="278"/>
      <c r="M1067" s="212"/>
    </row>
    <row r="1068" spans="1:13">
      <c r="A1068" s="213"/>
      <c r="B1068" s="278"/>
      <c r="C1068" s="278"/>
      <c r="D1068" s="278"/>
      <c r="E1068" s="279"/>
      <c r="F1068" s="278"/>
      <c r="G1068" s="278"/>
      <c r="H1068" s="278"/>
      <c r="I1068" s="279"/>
      <c r="J1068" s="278"/>
      <c r="K1068" s="278"/>
      <c r="L1068" s="278"/>
      <c r="M1068" s="212"/>
    </row>
    <row r="1069" spans="1:13">
      <c r="A1069" s="213"/>
      <c r="B1069" s="278"/>
      <c r="C1069" s="278"/>
      <c r="D1069" s="278"/>
      <c r="E1069" s="279"/>
      <c r="F1069" s="278"/>
      <c r="G1069" s="278"/>
      <c r="H1069" s="278"/>
      <c r="I1069" s="279"/>
      <c r="J1069" s="278"/>
      <c r="K1069" s="278"/>
      <c r="L1069" s="278"/>
      <c r="M1069" s="212"/>
    </row>
    <row r="1070" spans="1:13">
      <c r="A1070" s="213"/>
      <c r="B1070" s="278"/>
      <c r="C1070" s="278"/>
      <c r="D1070" s="278"/>
      <c r="E1070" s="279"/>
      <c r="F1070" s="278"/>
      <c r="G1070" s="278"/>
      <c r="H1070" s="278"/>
      <c r="I1070" s="279"/>
      <c r="J1070" s="278"/>
      <c r="K1070" s="278"/>
      <c r="L1070" s="278"/>
      <c r="M1070" s="212"/>
    </row>
    <row r="1071" spans="1:13">
      <c r="A1071" s="213"/>
      <c r="B1071" s="278"/>
      <c r="C1071" s="278"/>
      <c r="D1071" s="278"/>
      <c r="E1071" s="279"/>
      <c r="F1071" s="278"/>
      <c r="G1071" s="278"/>
      <c r="H1071" s="278"/>
      <c r="I1071" s="279"/>
      <c r="J1071" s="278"/>
      <c r="K1071" s="278"/>
      <c r="L1071" s="278"/>
      <c r="M1071" s="212"/>
    </row>
    <row r="1072" spans="1:13">
      <c r="A1072" s="213"/>
      <c r="B1072" s="278"/>
      <c r="C1072" s="278"/>
      <c r="D1072" s="278"/>
      <c r="E1072" s="279"/>
      <c r="F1072" s="278"/>
      <c r="G1072" s="278"/>
      <c r="H1072" s="278"/>
      <c r="I1072" s="279"/>
      <c r="J1072" s="278"/>
      <c r="K1072" s="278"/>
      <c r="L1072" s="278"/>
      <c r="M1072" s="212"/>
    </row>
    <row r="1073" spans="1:13">
      <c r="A1073" s="213"/>
      <c r="B1073" s="279"/>
      <c r="C1073" s="279"/>
      <c r="D1073" s="279"/>
      <c r="E1073" s="279"/>
      <c r="F1073" s="279"/>
      <c r="G1073" s="279"/>
      <c r="H1073" s="279"/>
      <c r="I1073" s="279"/>
      <c r="J1073" s="279"/>
      <c r="K1073" s="279"/>
      <c r="L1073" s="279"/>
      <c r="M1073" s="212"/>
    </row>
    <row r="1074" spans="1:13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6"/>
      <c r="M1074" s="212"/>
    </row>
    <row r="1075" spans="1:13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60"/>
      <c r="M1075" s="212"/>
    </row>
    <row r="1076" spans="1:13" ht="12.95">
      <c r="A1076" s="234"/>
      <c r="B1076" s="217"/>
      <c r="C1076" s="217"/>
      <c r="D1076" s="217"/>
      <c r="E1076" s="217"/>
      <c r="F1076" s="217"/>
      <c r="G1076" s="217"/>
      <c r="H1076" s="217"/>
      <c r="I1076" s="217"/>
      <c r="J1076" s="217"/>
      <c r="K1076" s="217"/>
      <c r="L1076" s="212"/>
      <c r="M1076" s="212"/>
    </row>
    <row r="1077" spans="1:13" ht="12.95">
      <c r="A1077" s="217"/>
      <c r="B1077" s="367"/>
      <c r="C1077" s="367"/>
      <c r="D1077" s="367"/>
      <c r="E1077" s="229"/>
      <c r="F1077" s="367"/>
      <c r="G1077" s="367"/>
      <c r="H1077" s="367"/>
      <c r="I1077" s="229"/>
      <c r="J1077" s="367"/>
      <c r="K1077" s="367"/>
      <c r="L1077" s="367"/>
      <c r="M1077" s="212"/>
    </row>
    <row r="1078" spans="1:13" ht="12.95">
      <c r="A1078" s="234"/>
      <c r="B1078" s="235"/>
      <c r="C1078" s="235"/>
      <c r="D1078" s="235"/>
      <c r="E1078" s="235"/>
      <c r="F1078" s="235"/>
      <c r="G1078" s="235"/>
      <c r="H1078" s="235"/>
      <c r="I1078" s="235"/>
      <c r="J1078" s="235"/>
      <c r="K1078" s="235"/>
      <c r="L1078" s="235"/>
      <c r="M1078" s="212"/>
    </row>
    <row r="1079" spans="1:13" ht="12.95">
      <c r="A1079" s="234"/>
      <c r="B1079" s="235"/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12"/>
    </row>
    <row r="1080" spans="1:13">
      <c r="A1080" s="213"/>
      <c r="B1080" s="278"/>
      <c r="C1080" s="278"/>
      <c r="D1080" s="278"/>
      <c r="E1080" s="279"/>
      <c r="F1080" s="278"/>
      <c r="G1080" s="278"/>
      <c r="H1080" s="278"/>
      <c r="I1080" s="279"/>
      <c r="J1080" s="278"/>
      <c r="K1080" s="278"/>
      <c r="L1080" s="278"/>
      <c r="M1080" s="212"/>
    </row>
    <row r="1081" spans="1:13">
      <c r="A1081" s="213"/>
      <c r="B1081" s="278"/>
      <c r="C1081" s="278"/>
      <c r="D1081" s="278"/>
      <c r="E1081" s="279"/>
      <c r="F1081" s="278"/>
      <c r="G1081" s="278"/>
      <c r="H1081" s="278"/>
      <c r="I1081" s="279"/>
      <c r="J1081" s="278"/>
      <c r="K1081" s="278"/>
      <c r="L1081" s="278"/>
      <c r="M1081" s="212"/>
    </row>
    <row r="1082" spans="1:13">
      <c r="A1082" s="213"/>
      <c r="B1082" s="278"/>
      <c r="C1082" s="278"/>
      <c r="D1082" s="278"/>
      <c r="E1082" s="279"/>
      <c r="F1082" s="278"/>
      <c r="G1082" s="278"/>
      <c r="H1082" s="278"/>
      <c r="I1082" s="279"/>
      <c r="J1082" s="278"/>
      <c r="K1082" s="278"/>
      <c r="L1082" s="278"/>
      <c r="M1082" s="212"/>
    </row>
    <row r="1083" spans="1:13">
      <c r="A1083" s="213"/>
      <c r="B1083" s="278"/>
      <c r="C1083" s="278"/>
      <c r="D1083" s="278"/>
      <c r="E1083" s="279"/>
      <c r="F1083" s="278"/>
      <c r="G1083" s="278"/>
      <c r="H1083" s="278"/>
      <c r="I1083" s="279"/>
      <c r="J1083" s="278"/>
      <c r="K1083" s="278"/>
      <c r="L1083" s="278"/>
      <c r="M1083" s="212"/>
    </row>
    <row r="1084" spans="1:13">
      <c r="A1084" s="213"/>
      <c r="B1084" s="278"/>
      <c r="C1084" s="278"/>
      <c r="D1084" s="278"/>
      <c r="E1084" s="279"/>
      <c r="F1084" s="278"/>
      <c r="G1084" s="278"/>
      <c r="H1084" s="278"/>
      <c r="I1084" s="279"/>
      <c r="J1084" s="278"/>
      <c r="K1084" s="278"/>
      <c r="L1084" s="278"/>
      <c r="M1084" s="212"/>
    </row>
    <row r="1085" spans="1:13">
      <c r="A1085" s="213"/>
      <c r="B1085" s="278"/>
      <c r="C1085" s="278"/>
      <c r="D1085" s="278"/>
      <c r="E1085" s="279"/>
      <c r="F1085" s="278"/>
      <c r="G1085" s="278"/>
      <c r="H1085" s="278"/>
      <c r="I1085" s="279"/>
      <c r="J1085" s="278"/>
      <c r="K1085" s="278"/>
      <c r="L1085" s="278"/>
      <c r="M1085" s="212"/>
    </row>
    <row r="1086" spans="1:13">
      <c r="A1086" s="213"/>
      <c r="B1086" s="278"/>
      <c r="C1086" s="278"/>
      <c r="D1086" s="278"/>
      <c r="E1086" s="279"/>
      <c r="F1086" s="278"/>
      <c r="G1086" s="278"/>
      <c r="H1086" s="278"/>
      <c r="I1086" s="279"/>
      <c r="J1086" s="278"/>
      <c r="K1086" s="278"/>
      <c r="L1086" s="278"/>
      <c r="M1086" s="212"/>
    </row>
    <row r="1087" spans="1:13">
      <c r="A1087" s="213"/>
      <c r="B1087" s="278"/>
      <c r="C1087" s="278"/>
      <c r="D1087" s="278"/>
      <c r="E1087" s="279"/>
      <c r="F1087" s="278"/>
      <c r="G1087" s="278"/>
      <c r="H1087" s="278"/>
      <c r="I1087" s="279"/>
      <c r="J1087" s="278"/>
      <c r="K1087" s="278"/>
      <c r="L1087" s="278"/>
      <c r="M1087" s="212"/>
    </row>
    <row r="1088" spans="1:13">
      <c r="A1088" s="213"/>
      <c r="B1088" s="278"/>
      <c r="C1088" s="278"/>
      <c r="D1088" s="278"/>
      <c r="E1088" s="279"/>
      <c r="F1088" s="278"/>
      <c r="G1088" s="278"/>
      <c r="H1088" s="278"/>
      <c r="I1088" s="279"/>
      <c r="J1088" s="278"/>
      <c r="K1088" s="278"/>
      <c r="L1088" s="278"/>
      <c r="M1088" s="212"/>
    </row>
    <row r="1089" spans="1:13">
      <c r="A1089" s="213"/>
      <c r="B1089" s="278"/>
      <c r="C1089" s="278"/>
      <c r="D1089" s="278"/>
      <c r="E1089" s="279"/>
      <c r="F1089" s="278"/>
      <c r="G1089" s="278"/>
      <c r="H1089" s="278"/>
      <c r="I1089" s="279"/>
      <c r="J1089" s="278"/>
      <c r="K1089" s="278"/>
      <c r="L1089" s="278"/>
      <c r="M1089" s="212"/>
    </row>
    <row r="1090" spans="1:13">
      <c r="A1090" s="213"/>
      <c r="B1090" s="279"/>
      <c r="C1090" s="279"/>
      <c r="D1090" s="279"/>
      <c r="E1090" s="279"/>
      <c r="F1090" s="279"/>
      <c r="G1090" s="279"/>
      <c r="H1090" s="279"/>
      <c r="I1090" s="279"/>
      <c r="J1090" s="279"/>
      <c r="K1090" s="279"/>
      <c r="L1090" s="279"/>
      <c r="M1090" s="212"/>
    </row>
    <row r="1091" spans="1:13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6"/>
      <c r="M1091" s="212"/>
    </row>
    <row r="1092" spans="1:13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60"/>
      <c r="M1092" s="212"/>
    </row>
    <row r="1093" spans="1:13" ht="12.95">
      <c r="A1093" s="234"/>
      <c r="B1093" s="217"/>
      <c r="C1093" s="217"/>
      <c r="D1093" s="217"/>
      <c r="E1093" s="217"/>
      <c r="F1093" s="217"/>
      <c r="G1093" s="217"/>
      <c r="H1093" s="217"/>
      <c r="I1093" s="217"/>
      <c r="J1093" s="217"/>
      <c r="K1093" s="217"/>
      <c r="L1093" s="212"/>
      <c r="M1093" s="212"/>
    </row>
    <row r="1094" spans="1:13" ht="12.95">
      <c r="A1094" s="217"/>
      <c r="B1094" s="367"/>
      <c r="C1094" s="367"/>
      <c r="D1094" s="367"/>
      <c r="E1094" s="229"/>
      <c r="F1094" s="367"/>
      <c r="G1094" s="367"/>
      <c r="H1094" s="367"/>
      <c r="I1094" s="229"/>
      <c r="J1094" s="367"/>
      <c r="K1094" s="367"/>
      <c r="L1094" s="367"/>
      <c r="M1094" s="212"/>
    </row>
    <row r="1095" spans="1:13" ht="12.95">
      <c r="A1095" s="234"/>
      <c r="B1095" s="235"/>
      <c r="C1095" s="235"/>
      <c r="D1095" s="235"/>
      <c r="E1095" s="235"/>
      <c r="F1095" s="235"/>
      <c r="G1095" s="235"/>
      <c r="H1095" s="235"/>
      <c r="I1095" s="235"/>
      <c r="J1095" s="235"/>
      <c r="K1095" s="235"/>
      <c r="L1095" s="235"/>
      <c r="M1095" s="212"/>
    </row>
    <row r="1096" spans="1:13" ht="12.95">
      <c r="A1096" s="234"/>
      <c r="B1096" s="235"/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12"/>
    </row>
    <row r="1097" spans="1:13">
      <c r="A1097" s="213"/>
      <c r="B1097" s="278"/>
      <c r="C1097" s="278"/>
      <c r="D1097" s="278"/>
      <c r="E1097" s="279"/>
      <c r="F1097" s="278"/>
      <c r="G1097" s="278"/>
      <c r="H1097" s="278"/>
      <c r="I1097" s="279"/>
      <c r="J1097" s="278"/>
      <c r="K1097" s="278"/>
      <c r="L1097" s="278"/>
      <c r="M1097" s="212"/>
    </row>
    <row r="1098" spans="1:13">
      <c r="A1098" s="213"/>
      <c r="B1098" s="278"/>
      <c r="C1098" s="278"/>
      <c r="D1098" s="278"/>
      <c r="E1098" s="279"/>
      <c r="F1098" s="278"/>
      <c r="G1098" s="278"/>
      <c r="H1098" s="278"/>
      <c r="I1098" s="279"/>
      <c r="J1098" s="278"/>
      <c r="K1098" s="278"/>
      <c r="L1098" s="278"/>
      <c r="M1098" s="212"/>
    </row>
    <row r="1099" spans="1:13">
      <c r="A1099" s="213"/>
      <c r="B1099" s="278"/>
      <c r="C1099" s="278"/>
      <c r="D1099" s="278"/>
      <c r="E1099" s="279"/>
      <c r="F1099" s="278"/>
      <c r="G1099" s="278"/>
      <c r="H1099" s="278"/>
      <c r="I1099" s="279"/>
      <c r="J1099" s="278"/>
      <c r="K1099" s="278"/>
      <c r="L1099" s="278"/>
      <c r="M1099" s="212"/>
    </row>
    <row r="1100" spans="1:13">
      <c r="A1100" s="213"/>
      <c r="B1100" s="278"/>
      <c r="C1100" s="278"/>
      <c r="D1100" s="278"/>
      <c r="E1100" s="279"/>
      <c r="F1100" s="278"/>
      <c r="G1100" s="278"/>
      <c r="H1100" s="278"/>
      <c r="I1100" s="279"/>
      <c r="J1100" s="278"/>
      <c r="K1100" s="278"/>
      <c r="L1100" s="278"/>
      <c r="M1100" s="212"/>
    </row>
    <row r="1101" spans="1:13">
      <c r="A1101" s="213"/>
      <c r="B1101" s="278"/>
      <c r="C1101" s="278"/>
      <c r="D1101" s="278"/>
      <c r="E1101" s="279"/>
      <c r="F1101" s="278"/>
      <c r="G1101" s="278"/>
      <c r="H1101" s="278"/>
      <c r="I1101" s="279"/>
      <c r="J1101" s="278"/>
      <c r="K1101" s="278"/>
      <c r="L1101" s="278"/>
      <c r="M1101" s="212"/>
    </row>
    <row r="1102" spans="1:13">
      <c r="A1102" s="213"/>
      <c r="B1102" s="278"/>
      <c r="C1102" s="278"/>
      <c r="D1102" s="278"/>
      <c r="E1102" s="279"/>
      <c r="F1102" s="278"/>
      <c r="G1102" s="278"/>
      <c r="H1102" s="278"/>
      <c r="I1102" s="279"/>
      <c r="J1102" s="278"/>
      <c r="K1102" s="278"/>
      <c r="L1102" s="278"/>
      <c r="M1102" s="212"/>
    </row>
    <row r="1103" spans="1:13">
      <c r="A1103" s="213"/>
      <c r="B1103" s="278"/>
      <c r="C1103" s="278"/>
      <c r="D1103" s="278"/>
      <c r="E1103" s="279"/>
      <c r="F1103" s="278"/>
      <c r="G1103" s="278"/>
      <c r="H1103" s="278"/>
      <c r="I1103" s="279"/>
      <c r="J1103" s="278"/>
      <c r="K1103" s="278"/>
      <c r="L1103" s="278"/>
      <c r="M1103" s="212"/>
    </row>
    <row r="1104" spans="1:13">
      <c r="A1104" s="213"/>
      <c r="B1104" s="278"/>
      <c r="C1104" s="278"/>
      <c r="D1104" s="278"/>
      <c r="E1104" s="279"/>
      <c r="F1104" s="278"/>
      <c r="G1104" s="278"/>
      <c r="H1104" s="278"/>
      <c r="I1104" s="279"/>
      <c r="J1104" s="278"/>
      <c r="K1104" s="278"/>
      <c r="L1104" s="278"/>
      <c r="M1104" s="212"/>
    </row>
    <row r="1105" spans="1:13">
      <c r="A1105" s="213"/>
      <c r="B1105" s="278"/>
      <c r="C1105" s="278"/>
      <c r="D1105" s="278"/>
      <c r="E1105" s="279"/>
      <c r="F1105" s="278"/>
      <c r="G1105" s="278"/>
      <c r="H1105" s="278"/>
      <c r="I1105" s="279"/>
      <c r="J1105" s="278"/>
      <c r="K1105" s="278"/>
      <c r="L1105" s="278"/>
      <c r="M1105" s="212"/>
    </row>
    <row r="1106" spans="1:13">
      <c r="A1106" s="213"/>
      <c r="B1106" s="278"/>
      <c r="C1106" s="278"/>
      <c r="D1106" s="278"/>
      <c r="E1106" s="279"/>
      <c r="F1106" s="278"/>
      <c r="G1106" s="278"/>
      <c r="H1106" s="278"/>
      <c r="I1106" s="279"/>
      <c r="J1106" s="278"/>
      <c r="K1106" s="278"/>
      <c r="L1106" s="278"/>
      <c r="M1106" s="212"/>
    </row>
    <row r="1107" spans="1:13">
      <c r="A1107" s="213"/>
      <c r="B1107" s="279"/>
      <c r="C1107" s="279"/>
      <c r="D1107" s="279"/>
      <c r="E1107" s="279"/>
      <c r="F1107" s="279"/>
      <c r="G1107" s="279"/>
      <c r="H1107" s="279"/>
      <c r="I1107" s="279"/>
      <c r="J1107" s="279"/>
      <c r="K1107" s="279"/>
      <c r="L1107" s="279"/>
      <c r="M1107" s="212"/>
    </row>
    <row r="1108" spans="1:13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6"/>
      <c r="M1108" s="212"/>
    </row>
    <row r="1109" spans="1:13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60"/>
      <c r="M1109" s="212"/>
    </row>
    <row r="1110" spans="1:13" ht="12.95">
      <c r="A1110" s="234"/>
      <c r="B1110" s="217"/>
      <c r="C1110" s="217"/>
      <c r="D1110" s="217"/>
      <c r="E1110" s="217"/>
      <c r="F1110" s="217"/>
      <c r="G1110" s="217"/>
      <c r="H1110" s="217"/>
      <c r="I1110" s="217"/>
      <c r="J1110" s="217"/>
      <c r="K1110" s="217"/>
      <c r="L1110" s="212"/>
      <c r="M1110" s="212"/>
    </row>
    <row r="1111" spans="1:13" ht="12.95">
      <c r="A1111" s="217"/>
      <c r="B1111" s="367"/>
      <c r="C1111" s="367"/>
      <c r="D1111" s="367"/>
      <c r="E1111" s="229"/>
      <c r="F1111" s="367"/>
      <c r="G1111" s="367"/>
      <c r="H1111" s="367"/>
      <c r="I1111" s="229"/>
      <c r="J1111" s="367"/>
      <c r="K1111" s="367"/>
      <c r="L1111" s="367"/>
      <c r="M1111" s="212"/>
    </row>
    <row r="1112" spans="1:13" ht="12.95">
      <c r="A1112" s="234"/>
      <c r="B1112" s="235"/>
      <c r="C1112" s="235"/>
      <c r="D1112" s="235"/>
      <c r="E1112" s="235"/>
      <c r="F1112" s="235"/>
      <c r="G1112" s="235"/>
      <c r="H1112" s="235"/>
      <c r="I1112" s="235"/>
      <c r="J1112" s="235"/>
      <c r="K1112" s="235"/>
      <c r="L1112" s="235"/>
      <c r="M1112" s="212"/>
    </row>
    <row r="1113" spans="1:13" ht="12.95">
      <c r="A1113" s="234"/>
      <c r="B1113" s="235"/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12"/>
    </row>
    <row r="1114" spans="1:13">
      <c r="A1114" s="213"/>
      <c r="B1114" s="278"/>
      <c r="C1114" s="278"/>
      <c r="D1114" s="278"/>
      <c r="E1114" s="279"/>
      <c r="F1114" s="278"/>
      <c r="G1114" s="278"/>
      <c r="H1114" s="278"/>
      <c r="I1114" s="279"/>
      <c r="J1114" s="278"/>
      <c r="K1114" s="278"/>
      <c r="L1114" s="278"/>
      <c r="M1114" s="212"/>
    </row>
    <row r="1115" spans="1:13">
      <c r="A1115" s="213"/>
      <c r="B1115" s="278"/>
      <c r="C1115" s="278"/>
      <c r="D1115" s="278"/>
      <c r="E1115" s="279"/>
      <c r="F1115" s="278"/>
      <c r="G1115" s="278"/>
      <c r="H1115" s="278"/>
      <c r="I1115" s="279"/>
      <c r="J1115" s="278"/>
      <c r="K1115" s="278"/>
      <c r="L1115" s="278"/>
      <c r="M1115" s="212"/>
    </row>
    <row r="1116" spans="1:13">
      <c r="A1116" s="213"/>
      <c r="B1116" s="278"/>
      <c r="C1116" s="278"/>
      <c r="D1116" s="278"/>
      <c r="E1116" s="279"/>
      <c r="F1116" s="278"/>
      <c r="G1116" s="278"/>
      <c r="H1116" s="278"/>
      <c r="I1116" s="279"/>
      <c r="J1116" s="278"/>
      <c r="K1116" s="278"/>
      <c r="L1116" s="278"/>
      <c r="M1116" s="212"/>
    </row>
    <row r="1117" spans="1:13">
      <c r="A1117" s="213"/>
      <c r="B1117" s="278"/>
      <c r="C1117" s="278"/>
      <c r="D1117" s="278"/>
      <c r="E1117" s="279"/>
      <c r="F1117" s="278"/>
      <c r="G1117" s="278"/>
      <c r="H1117" s="278"/>
      <c r="I1117" s="279"/>
      <c r="J1117" s="278"/>
      <c r="K1117" s="278"/>
      <c r="L1117" s="278"/>
      <c r="M1117" s="212"/>
    </row>
    <row r="1118" spans="1:13">
      <c r="A1118" s="213"/>
      <c r="B1118" s="278"/>
      <c r="C1118" s="278"/>
      <c r="D1118" s="278"/>
      <c r="E1118" s="279"/>
      <c r="F1118" s="278"/>
      <c r="G1118" s="278"/>
      <c r="H1118" s="278"/>
      <c r="I1118" s="279"/>
      <c r="J1118" s="278"/>
      <c r="K1118" s="278"/>
      <c r="L1118" s="278"/>
      <c r="M1118" s="212"/>
    </row>
    <row r="1119" spans="1:13">
      <c r="A1119" s="213"/>
      <c r="B1119" s="278"/>
      <c r="C1119" s="278"/>
      <c r="D1119" s="278"/>
      <c r="E1119" s="279"/>
      <c r="F1119" s="278"/>
      <c r="G1119" s="278"/>
      <c r="H1119" s="278"/>
      <c r="I1119" s="279"/>
      <c r="J1119" s="278"/>
      <c r="K1119" s="278"/>
      <c r="L1119" s="278"/>
      <c r="M1119" s="212"/>
    </row>
    <row r="1120" spans="1:13">
      <c r="A1120" s="213"/>
      <c r="B1120" s="278"/>
      <c r="C1120" s="278"/>
      <c r="D1120" s="278"/>
      <c r="E1120" s="279"/>
      <c r="F1120" s="278"/>
      <c r="G1120" s="278"/>
      <c r="H1120" s="278"/>
      <c r="I1120" s="279"/>
      <c r="J1120" s="278"/>
      <c r="K1120" s="278"/>
      <c r="L1120" s="278"/>
      <c r="M1120" s="212"/>
    </row>
    <row r="1121" spans="1:13">
      <c r="A1121" s="213"/>
      <c r="B1121" s="278"/>
      <c r="C1121" s="278"/>
      <c r="D1121" s="278"/>
      <c r="E1121" s="279"/>
      <c r="F1121" s="278"/>
      <c r="G1121" s="278"/>
      <c r="H1121" s="278"/>
      <c r="I1121" s="279"/>
      <c r="J1121" s="278"/>
      <c r="K1121" s="278"/>
      <c r="L1121" s="278"/>
      <c r="M1121" s="212"/>
    </row>
    <row r="1122" spans="1:13">
      <c r="A1122" s="213"/>
      <c r="B1122" s="278"/>
      <c r="C1122" s="278"/>
      <c r="D1122" s="278"/>
      <c r="E1122" s="279"/>
      <c r="F1122" s="278"/>
      <c r="G1122" s="278"/>
      <c r="H1122" s="278"/>
      <c r="I1122" s="279"/>
      <c r="J1122" s="278"/>
      <c r="K1122" s="278"/>
      <c r="L1122" s="278"/>
      <c r="M1122" s="212"/>
    </row>
    <row r="1123" spans="1:13">
      <c r="A1123" s="213"/>
      <c r="B1123" s="278"/>
      <c r="C1123" s="278"/>
      <c r="D1123" s="278"/>
      <c r="E1123" s="279"/>
      <c r="F1123" s="278"/>
      <c r="G1123" s="278"/>
      <c r="H1123" s="278"/>
      <c r="I1123" s="279"/>
      <c r="J1123" s="278"/>
      <c r="K1123" s="278"/>
      <c r="L1123" s="278"/>
      <c r="M1123" s="212"/>
    </row>
    <row r="1124" spans="1:13">
      <c r="A1124" s="213"/>
      <c r="B1124" s="279"/>
      <c r="C1124" s="279"/>
      <c r="D1124" s="279"/>
      <c r="E1124" s="279"/>
      <c r="F1124" s="279"/>
      <c r="G1124" s="279"/>
      <c r="H1124" s="279"/>
      <c r="I1124" s="279"/>
      <c r="J1124" s="279"/>
      <c r="K1124" s="279"/>
      <c r="L1124" s="279"/>
      <c r="M1124" s="212"/>
    </row>
    <row r="1125" spans="1:13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6"/>
      <c r="M1125" s="212"/>
    </row>
    <row r="1126" spans="1:13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60"/>
      <c r="M1126" s="212"/>
    </row>
    <row r="1127" spans="1:13" ht="12.95">
      <c r="A1127" s="234"/>
      <c r="B1127" s="217"/>
      <c r="C1127" s="217"/>
      <c r="D1127" s="217"/>
      <c r="E1127" s="217"/>
      <c r="F1127" s="217"/>
      <c r="G1127" s="217"/>
      <c r="H1127" s="217"/>
      <c r="I1127" s="217"/>
      <c r="J1127" s="217"/>
      <c r="K1127" s="217"/>
      <c r="L1127" s="212"/>
      <c r="M1127" s="212"/>
    </row>
    <row r="1128" spans="1:13" ht="12.95">
      <c r="A1128" s="217"/>
      <c r="B1128" s="367"/>
      <c r="C1128" s="367"/>
      <c r="D1128" s="367"/>
      <c r="E1128" s="229"/>
      <c r="F1128" s="367"/>
      <c r="G1128" s="367"/>
      <c r="H1128" s="367"/>
      <c r="I1128" s="229"/>
      <c r="J1128" s="367"/>
      <c r="K1128" s="367"/>
      <c r="L1128" s="367"/>
      <c r="M1128" s="212"/>
    </row>
    <row r="1129" spans="1:13" ht="12.95">
      <c r="A1129" s="234"/>
      <c r="B1129" s="235"/>
      <c r="C1129" s="235"/>
      <c r="D1129" s="235"/>
      <c r="E1129" s="235"/>
      <c r="F1129" s="235"/>
      <c r="G1129" s="235"/>
      <c r="H1129" s="235"/>
      <c r="I1129" s="235"/>
      <c r="J1129" s="235"/>
      <c r="K1129" s="235"/>
      <c r="L1129" s="235"/>
      <c r="M1129" s="212"/>
    </row>
    <row r="1130" spans="1:13" ht="12.95">
      <c r="A1130" s="234"/>
      <c r="B1130" s="235"/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12"/>
    </row>
    <row r="1131" spans="1:13">
      <c r="A1131" s="213"/>
      <c r="B1131" s="278"/>
      <c r="C1131" s="278"/>
      <c r="D1131" s="278"/>
      <c r="E1131" s="279"/>
      <c r="F1131" s="278"/>
      <c r="G1131" s="278"/>
      <c r="H1131" s="278"/>
      <c r="I1131" s="279"/>
      <c r="J1131" s="278"/>
      <c r="K1131" s="278"/>
      <c r="L1131" s="278"/>
      <c r="M1131" s="212"/>
    </row>
    <row r="1132" spans="1:13">
      <c r="A1132" s="213"/>
      <c r="B1132" s="278"/>
      <c r="C1132" s="278"/>
      <c r="D1132" s="278"/>
      <c r="E1132" s="279"/>
      <c r="F1132" s="278"/>
      <c r="G1132" s="278"/>
      <c r="H1132" s="278"/>
      <c r="I1132" s="279"/>
      <c r="J1132" s="278"/>
      <c r="K1132" s="278"/>
      <c r="L1132" s="278"/>
      <c r="M1132" s="212"/>
    </row>
    <row r="1133" spans="1:13">
      <c r="A1133" s="213"/>
      <c r="B1133" s="278"/>
      <c r="C1133" s="278"/>
      <c r="D1133" s="278"/>
      <c r="E1133" s="279"/>
      <c r="F1133" s="278"/>
      <c r="G1133" s="278"/>
      <c r="H1133" s="278"/>
      <c r="I1133" s="279"/>
      <c r="J1133" s="278"/>
      <c r="K1133" s="278"/>
      <c r="L1133" s="278"/>
      <c r="M1133" s="212"/>
    </row>
    <row r="1134" spans="1:13">
      <c r="A1134" s="213"/>
      <c r="B1134" s="278"/>
      <c r="C1134" s="278"/>
      <c r="D1134" s="278"/>
      <c r="E1134" s="279"/>
      <c r="F1134" s="278"/>
      <c r="G1134" s="278"/>
      <c r="H1134" s="278"/>
      <c r="I1134" s="279"/>
      <c r="J1134" s="278"/>
      <c r="K1134" s="278"/>
      <c r="L1134" s="278"/>
      <c r="M1134" s="212"/>
    </row>
    <row r="1135" spans="1:13">
      <c r="A1135" s="213"/>
      <c r="B1135" s="278"/>
      <c r="C1135" s="278"/>
      <c r="D1135" s="278"/>
      <c r="E1135" s="279"/>
      <c r="F1135" s="278"/>
      <c r="G1135" s="278"/>
      <c r="H1135" s="278"/>
      <c r="I1135" s="279"/>
      <c r="J1135" s="278"/>
      <c r="K1135" s="278"/>
      <c r="L1135" s="278"/>
      <c r="M1135" s="212"/>
    </row>
    <row r="1136" spans="1:13">
      <c r="A1136" s="213"/>
      <c r="B1136" s="278"/>
      <c r="C1136" s="278"/>
      <c r="D1136" s="278"/>
      <c r="E1136" s="279"/>
      <c r="F1136" s="278"/>
      <c r="G1136" s="278"/>
      <c r="H1136" s="278"/>
      <c r="I1136" s="279"/>
      <c r="J1136" s="278"/>
      <c r="K1136" s="278"/>
      <c r="L1136" s="278"/>
      <c r="M1136" s="212"/>
    </row>
    <row r="1137" spans="1:13">
      <c r="A1137" s="213"/>
      <c r="B1137" s="278"/>
      <c r="C1137" s="278"/>
      <c r="D1137" s="278"/>
      <c r="E1137" s="279"/>
      <c r="F1137" s="278"/>
      <c r="G1137" s="278"/>
      <c r="H1137" s="278"/>
      <c r="I1137" s="279"/>
      <c r="J1137" s="278"/>
      <c r="K1137" s="278"/>
      <c r="L1137" s="278"/>
      <c r="M1137" s="212"/>
    </row>
    <row r="1138" spans="1:13">
      <c r="A1138" s="213"/>
      <c r="B1138" s="278"/>
      <c r="C1138" s="278"/>
      <c r="D1138" s="278"/>
      <c r="E1138" s="279"/>
      <c r="F1138" s="278"/>
      <c r="G1138" s="278"/>
      <c r="H1138" s="278"/>
      <c r="I1138" s="279"/>
      <c r="J1138" s="278"/>
      <c r="K1138" s="278"/>
      <c r="L1138" s="278"/>
      <c r="M1138" s="212"/>
    </row>
    <row r="1139" spans="1:13">
      <c r="A1139" s="213"/>
      <c r="B1139" s="278"/>
      <c r="C1139" s="278"/>
      <c r="D1139" s="278"/>
      <c r="E1139" s="279"/>
      <c r="F1139" s="278"/>
      <c r="G1139" s="278"/>
      <c r="H1139" s="278"/>
      <c r="I1139" s="279"/>
      <c r="J1139" s="278"/>
      <c r="K1139" s="278"/>
      <c r="L1139" s="278"/>
      <c r="M1139" s="212"/>
    </row>
    <row r="1140" spans="1:13">
      <c r="A1140" s="213"/>
      <c r="B1140" s="278"/>
      <c r="C1140" s="278"/>
      <c r="D1140" s="278"/>
      <c r="E1140" s="279"/>
      <c r="F1140" s="278"/>
      <c r="G1140" s="278"/>
      <c r="H1140" s="278"/>
      <c r="I1140" s="279"/>
      <c r="J1140" s="278"/>
      <c r="K1140" s="278"/>
      <c r="L1140" s="278"/>
      <c r="M1140" s="212"/>
    </row>
    <row r="1141" spans="1:13">
      <c r="A1141" s="213"/>
      <c r="B1141" s="279"/>
      <c r="C1141" s="279"/>
      <c r="D1141" s="279"/>
      <c r="E1141" s="279"/>
      <c r="F1141" s="279"/>
      <c r="G1141" s="279"/>
      <c r="H1141" s="279"/>
      <c r="I1141" s="279"/>
      <c r="J1141" s="279"/>
      <c r="K1141" s="279"/>
      <c r="L1141" s="279"/>
      <c r="M1141" s="212"/>
    </row>
    <row r="1142" spans="1:13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6"/>
      <c r="M1142" s="212"/>
    </row>
    <row r="1143" spans="1:13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60"/>
      <c r="M1143" s="212"/>
    </row>
    <row r="1144" spans="1:13" ht="12.95">
      <c r="A1144" s="234"/>
      <c r="B1144" s="217"/>
      <c r="C1144" s="217"/>
      <c r="D1144" s="217"/>
      <c r="E1144" s="217"/>
      <c r="F1144" s="217"/>
      <c r="G1144" s="217"/>
      <c r="H1144" s="217"/>
      <c r="I1144" s="217"/>
      <c r="J1144" s="217"/>
      <c r="K1144" s="217"/>
      <c r="L1144" s="212"/>
      <c r="M1144" s="212"/>
    </row>
    <row r="1145" spans="1:13" ht="12.95">
      <c r="A1145" s="217"/>
      <c r="B1145" s="367"/>
      <c r="C1145" s="367"/>
      <c r="D1145" s="367"/>
      <c r="E1145" s="229"/>
      <c r="F1145" s="367"/>
      <c r="G1145" s="367"/>
      <c r="H1145" s="367"/>
      <c r="I1145" s="229"/>
      <c r="J1145" s="367"/>
      <c r="K1145" s="367"/>
      <c r="L1145" s="367"/>
      <c r="M1145" s="212"/>
    </row>
    <row r="1146" spans="1:13" ht="12.95">
      <c r="A1146" s="234"/>
      <c r="B1146" s="235"/>
      <c r="C1146" s="235"/>
      <c r="D1146" s="235"/>
      <c r="E1146" s="235"/>
      <c r="F1146" s="235"/>
      <c r="G1146" s="235"/>
      <c r="H1146" s="235"/>
      <c r="I1146" s="235"/>
      <c r="J1146" s="235"/>
      <c r="K1146" s="235"/>
      <c r="L1146" s="235"/>
      <c r="M1146" s="212"/>
    </row>
    <row r="1147" spans="1:13" ht="12.95">
      <c r="A1147" s="234"/>
      <c r="B1147" s="235"/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12"/>
    </row>
    <row r="1148" spans="1:13">
      <c r="A1148" s="213"/>
      <c r="B1148" s="278"/>
      <c r="C1148" s="278"/>
      <c r="D1148" s="278"/>
      <c r="E1148" s="279"/>
      <c r="F1148" s="278"/>
      <c r="G1148" s="278"/>
      <c r="H1148" s="278"/>
      <c r="I1148" s="279"/>
      <c r="J1148" s="278"/>
      <c r="K1148" s="278"/>
      <c r="L1148" s="278"/>
      <c r="M1148" s="212"/>
    </row>
    <row r="1149" spans="1:13">
      <c r="A1149" s="213"/>
      <c r="B1149" s="278"/>
      <c r="C1149" s="278"/>
      <c r="D1149" s="278"/>
      <c r="E1149" s="279"/>
      <c r="F1149" s="278"/>
      <c r="G1149" s="278"/>
      <c r="H1149" s="278"/>
      <c r="I1149" s="279"/>
      <c r="J1149" s="278"/>
      <c r="K1149" s="278"/>
      <c r="L1149" s="278"/>
      <c r="M1149" s="212"/>
    </row>
    <row r="1150" spans="1:13">
      <c r="A1150" s="213"/>
      <c r="B1150" s="278"/>
      <c r="C1150" s="278"/>
      <c r="D1150" s="278"/>
      <c r="E1150" s="279"/>
      <c r="F1150" s="278"/>
      <c r="G1150" s="278"/>
      <c r="H1150" s="278"/>
      <c r="I1150" s="279"/>
      <c r="J1150" s="278"/>
      <c r="K1150" s="278"/>
      <c r="L1150" s="278"/>
      <c r="M1150" s="212"/>
    </row>
    <row r="1151" spans="1:13">
      <c r="A1151" s="213"/>
      <c r="B1151" s="278"/>
      <c r="C1151" s="278"/>
      <c r="D1151" s="278"/>
      <c r="E1151" s="279"/>
      <c r="F1151" s="278"/>
      <c r="G1151" s="278"/>
      <c r="H1151" s="278"/>
      <c r="I1151" s="279"/>
      <c r="J1151" s="278"/>
      <c r="K1151" s="278"/>
      <c r="L1151" s="278"/>
      <c r="M1151" s="212"/>
    </row>
    <row r="1152" spans="1:13">
      <c r="A1152" s="213"/>
      <c r="B1152" s="278"/>
      <c r="C1152" s="278"/>
      <c r="D1152" s="278"/>
      <c r="E1152" s="279"/>
      <c r="F1152" s="278"/>
      <c r="G1152" s="278"/>
      <c r="H1152" s="278"/>
      <c r="I1152" s="279"/>
      <c r="J1152" s="278"/>
      <c r="K1152" s="278"/>
      <c r="L1152" s="278"/>
      <c r="M1152" s="212"/>
    </row>
    <row r="1153" spans="1:13">
      <c r="A1153" s="213"/>
      <c r="B1153" s="278"/>
      <c r="C1153" s="278"/>
      <c r="D1153" s="278"/>
      <c r="E1153" s="279"/>
      <c r="F1153" s="278"/>
      <c r="G1153" s="278"/>
      <c r="H1153" s="278"/>
      <c r="I1153" s="279"/>
      <c r="J1153" s="278"/>
      <c r="K1153" s="278"/>
      <c r="L1153" s="278"/>
      <c r="M1153" s="212"/>
    </row>
    <row r="1154" spans="1:13">
      <c r="A1154" s="213"/>
      <c r="B1154" s="278"/>
      <c r="C1154" s="278"/>
      <c r="D1154" s="278"/>
      <c r="E1154" s="279"/>
      <c r="F1154" s="278"/>
      <c r="G1154" s="278"/>
      <c r="H1154" s="278"/>
      <c r="I1154" s="279"/>
      <c r="J1154" s="278"/>
      <c r="K1154" s="278"/>
      <c r="L1154" s="278"/>
      <c r="M1154" s="212"/>
    </row>
    <row r="1155" spans="1:13">
      <c r="A1155" s="213"/>
      <c r="B1155" s="278"/>
      <c r="C1155" s="278"/>
      <c r="D1155" s="278"/>
      <c r="E1155" s="279"/>
      <c r="F1155" s="278"/>
      <c r="G1155" s="278"/>
      <c r="H1155" s="278"/>
      <c r="I1155" s="279"/>
      <c r="J1155" s="278"/>
      <c r="K1155" s="278"/>
      <c r="L1155" s="278"/>
      <c r="M1155" s="212"/>
    </row>
    <row r="1156" spans="1:13">
      <c r="A1156" s="213"/>
      <c r="B1156" s="278"/>
      <c r="C1156" s="278"/>
      <c r="D1156" s="278"/>
      <c r="E1156" s="279"/>
      <c r="F1156" s="278"/>
      <c r="G1156" s="278"/>
      <c r="H1156" s="278"/>
      <c r="I1156" s="279"/>
      <c r="J1156" s="278"/>
      <c r="K1156" s="278"/>
      <c r="L1156" s="278"/>
      <c r="M1156" s="212"/>
    </row>
    <row r="1157" spans="1:13">
      <c r="A1157" s="213"/>
      <c r="B1157" s="278"/>
      <c r="C1157" s="278"/>
      <c r="D1157" s="278"/>
      <c r="E1157" s="279"/>
      <c r="F1157" s="278"/>
      <c r="G1157" s="278"/>
      <c r="H1157" s="278"/>
      <c r="I1157" s="279"/>
      <c r="J1157" s="278"/>
      <c r="K1157" s="278"/>
      <c r="L1157" s="278"/>
      <c r="M1157" s="212"/>
    </row>
    <row r="1158" spans="1:13">
      <c r="A1158" s="213"/>
      <c r="B1158" s="279"/>
      <c r="C1158" s="279"/>
      <c r="D1158" s="279"/>
      <c r="E1158" s="279"/>
      <c r="F1158" s="279"/>
      <c r="G1158" s="279"/>
      <c r="H1158" s="279"/>
      <c r="I1158" s="279"/>
      <c r="J1158" s="279"/>
      <c r="K1158" s="279"/>
      <c r="L1158" s="279"/>
      <c r="M1158" s="212"/>
    </row>
    <row r="1159" spans="1:13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6"/>
      <c r="M1159" s="212"/>
    </row>
    <row r="1160" spans="1:13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60"/>
      <c r="M1160" s="212"/>
    </row>
    <row r="1161" spans="1:13" ht="12.95">
      <c r="A1161" s="234"/>
      <c r="B1161" s="217"/>
      <c r="C1161" s="217"/>
      <c r="D1161" s="217"/>
      <c r="E1161" s="217"/>
      <c r="F1161" s="217"/>
      <c r="G1161" s="217"/>
      <c r="H1161" s="217"/>
      <c r="I1161" s="217"/>
      <c r="J1161" s="217"/>
      <c r="K1161" s="217"/>
      <c r="L1161" s="212"/>
      <c r="M1161" s="212"/>
    </row>
    <row r="1162" spans="1:13" ht="12.95">
      <c r="A1162" s="217"/>
      <c r="B1162" s="367"/>
      <c r="C1162" s="367"/>
      <c r="D1162" s="367"/>
      <c r="E1162" s="229"/>
      <c r="F1162" s="367"/>
      <c r="G1162" s="367"/>
      <c r="H1162" s="367"/>
      <c r="I1162" s="229"/>
      <c r="J1162" s="367"/>
      <c r="K1162" s="367"/>
      <c r="L1162" s="367"/>
      <c r="M1162" s="212"/>
    </row>
    <row r="1163" spans="1:13" ht="12.95">
      <c r="A1163" s="234"/>
      <c r="B1163" s="235"/>
      <c r="C1163" s="235"/>
      <c r="D1163" s="235"/>
      <c r="E1163" s="235"/>
      <c r="F1163" s="235"/>
      <c r="G1163" s="235"/>
      <c r="H1163" s="235"/>
      <c r="I1163" s="235"/>
      <c r="J1163" s="235"/>
      <c r="K1163" s="235"/>
      <c r="L1163" s="235"/>
      <c r="M1163" s="212"/>
    </row>
    <row r="1164" spans="1:13" ht="12.95">
      <c r="A1164" s="234"/>
      <c r="B1164" s="235"/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12"/>
    </row>
    <row r="1165" spans="1:13">
      <c r="A1165" s="213"/>
      <c r="B1165" s="278"/>
      <c r="C1165" s="278"/>
      <c r="D1165" s="278"/>
      <c r="E1165" s="279"/>
      <c r="F1165" s="278"/>
      <c r="G1165" s="278"/>
      <c r="H1165" s="278"/>
      <c r="I1165" s="279"/>
      <c r="J1165" s="278"/>
      <c r="K1165" s="278"/>
      <c r="L1165" s="278"/>
      <c r="M1165" s="212"/>
    </row>
    <row r="1166" spans="1:13">
      <c r="A1166" s="213"/>
      <c r="B1166" s="278"/>
      <c r="C1166" s="278"/>
      <c r="D1166" s="278"/>
      <c r="E1166" s="279"/>
      <c r="F1166" s="278"/>
      <c r="G1166" s="278"/>
      <c r="H1166" s="278"/>
      <c r="I1166" s="279"/>
      <c r="J1166" s="278"/>
      <c r="K1166" s="278"/>
      <c r="L1166" s="278"/>
      <c r="M1166" s="212"/>
    </row>
    <row r="1167" spans="1:13">
      <c r="A1167" s="213"/>
      <c r="B1167" s="278"/>
      <c r="C1167" s="278"/>
      <c r="D1167" s="278"/>
      <c r="E1167" s="279"/>
      <c r="F1167" s="278"/>
      <c r="G1167" s="278"/>
      <c r="H1167" s="278"/>
      <c r="I1167" s="279"/>
      <c r="J1167" s="278"/>
      <c r="K1167" s="278"/>
      <c r="L1167" s="278"/>
      <c r="M1167" s="212"/>
    </row>
    <row r="1168" spans="1:13">
      <c r="A1168" s="213"/>
      <c r="B1168" s="278"/>
      <c r="C1168" s="278"/>
      <c r="D1168" s="278"/>
      <c r="E1168" s="279"/>
      <c r="F1168" s="278"/>
      <c r="G1168" s="278"/>
      <c r="H1168" s="278"/>
      <c r="I1168" s="279"/>
      <c r="J1168" s="278"/>
      <c r="K1168" s="278"/>
      <c r="L1168" s="278"/>
      <c r="M1168" s="212"/>
    </row>
    <row r="1169" spans="1:13">
      <c r="A1169" s="213"/>
      <c r="B1169" s="278"/>
      <c r="C1169" s="278"/>
      <c r="D1169" s="278"/>
      <c r="E1169" s="279"/>
      <c r="F1169" s="278"/>
      <c r="G1169" s="278"/>
      <c r="H1169" s="278"/>
      <c r="I1169" s="279"/>
      <c r="J1169" s="278"/>
      <c r="K1169" s="278"/>
      <c r="L1169" s="278"/>
      <c r="M1169" s="212"/>
    </row>
    <row r="1170" spans="1:13">
      <c r="A1170" s="213"/>
      <c r="B1170" s="278"/>
      <c r="C1170" s="278"/>
      <c r="D1170" s="278"/>
      <c r="E1170" s="279"/>
      <c r="F1170" s="278"/>
      <c r="G1170" s="278"/>
      <c r="H1170" s="278"/>
      <c r="I1170" s="279"/>
      <c r="J1170" s="278"/>
      <c r="K1170" s="278"/>
      <c r="L1170" s="278"/>
      <c r="M1170" s="212"/>
    </row>
    <row r="1171" spans="1:13">
      <c r="A1171" s="213"/>
      <c r="B1171" s="278"/>
      <c r="C1171" s="278"/>
      <c r="D1171" s="278"/>
      <c r="E1171" s="279"/>
      <c r="F1171" s="278"/>
      <c r="G1171" s="278"/>
      <c r="H1171" s="278"/>
      <c r="I1171" s="279"/>
      <c r="J1171" s="278"/>
      <c r="K1171" s="278"/>
      <c r="L1171" s="278"/>
      <c r="M1171" s="212"/>
    </row>
    <row r="1172" spans="1:13">
      <c r="A1172" s="213"/>
      <c r="B1172" s="278"/>
      <c r="C1172" s="278"/>
      <c r="D1172" s="278"/>
      <c r="E1172" s="279"/>
      <c r="F1172" s="278"/>
      <c r="G1172" s="278"/>
      <c r="H1172" s="278"/>
      <c r="I1172" s="279"/>
      <c r="J1172" s="278"/>
      <c r="K1172" s="278"/>
      <c r="L1172" s="278"/>
      <c r="M1172" s="212"/>
    </row>
    <row r="1173" spans="1:13">
      <c r="A1173" s="213"/>
      <c r="B1173" s="278"/>
      <c r="C1173" s="278"/>
      <c r="D1173" s="278"/>
      <c r="E1173" s="279"/>
      <c r="F1173" s="278"/>
      <c r="G1173" s="278"/>
      <c r="H1173" s="278"/>
      <c r="I1173" s="279"/>
      <c r="J1173" s="278"/>
      <c r="K1173" s="278"/>
      <c r="L1173" s="278"/>
      <c r="M1173" s="212"/>
    </row>
    <row r="1174" spans="1:13">
      <c r="A1174" s="213"/>
      <c r="B1174" s="278"/>
      <c r="C1174" s="278"/>
      <c r="D1174" s="278"/>
      <c r="E1174" s="279"/>
      <c r="F1174" s="278"/>
      <c r="G1174" s="278"/>
      <c r="H1174" s="278"/>
      <c r="I1174" s="279"/>
      <c r="J1174" s="278"/>
      <c r="K1174" s="278"/>
      <c r="L1174" s="278"/>
      <c r="M1174" s="212"/>
    </row>
    <row r="1175" spans="1:13">
      <c r="A1175" s="213"/>
      <c r="B1175" s="279"/>
      <c r="C1175" s="279"/>
      <c r="D1175" s="279"/>
      <c r="E1175" s="279"/>
      <c r="F1175" s="279"/>
      <c r="G1175" s="279"/>
      <c r="H1175" s="279"/>
      <c r="I1175" s="279"/>
      <c r="J1175" s="279"/>
      <c r="K1175" s="279"/>
      <c r="L1175" s="279"/>
      <c r="M1175" s="212"/>
    </row>
    <row r="1176" spans="1:13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6"/>
      <c r="M1176" s="212"/>
    </row>
    <row r="1177" spans="1:13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60"/>
      <c r="M1177" s="212"/>
    </row>
    <row r="1178" spans="1:13" ht="12.95">
      <c r="A1178" s="234"/>
      <c r="B1178" s="217"/>
      <c r="C1178" s="217"/>
      <c r="D1178" s="217"/>
      <c r="E1178" s="217"/>
      <c r="F1178" s="217"/>
      <c r="G1178" s="217"/>
      <c r="H1178" s="217"/>
      <c r="I1178" s="217"/>
      <c r="J1178" s="217"/>
      <c r="K1178" s="217"/>
      <c r="L1178" s="212"/>
      <c r="M1178" s="212"/>
    </row>
    <row r="1179" spans="1:13" ht="12.95">
      <c r="A1179" s="217"/>
      <c r="B1179" s="367"/>
      <c r="C1179" s="367"/>
      <c r="D1179" s="367"/>
      <c r="E1179" s="229"/>
      <c r="F1179" s="367"/>
      <c r="G1179" s="367"/>
      <c r="H1179" s="367"/>
      <c r="I1179" s="229"/>
      <c r="J1179" s="367"/>
      <c r="K1179" s="367"/>
      <c r="L1179" s="367"/>
      <c r="M1179" s="212"/>
    </row>
    <row r="1180" spans="1:13" ht="12.95">
      <c r="A1180" s="234"/>
      <c r="B1180" s="235"/>
      <c r="C1180" s="235"/>
      <c r="D1180" s="235"/>
      <c r="E1180" s="235"/>
      <c r="F1180" s="235"/>
      <c r="G1180" s="235"/>
      <c r="H1180" s="235"/>
      <c r="I1180" s="235"/>
      <c r="J1180" s="235"/>
      <c r="K1180" s="235"/>
      <c r="L1180" s="235"/>
      <c r="M1180" s="212"/>
    </row>
    <row r="1181" spans="1:13" ht="12.95">
      <c r="A1181" s="234"/>
      <c r="B1181" s="235"/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12"/>
    </row>
    <row r="1182" spans="1:13">
      <c r="A1182" s="213"/>
      <c r="B1182" s="278"/>
      <c r="C1182" s="278"/>
      <c r="D1182" s="278"/>
      <c r="E1182" s="279"/>
      <c r="F1182" s="278"/>
      <c r="G1182" s="278"/>
      <c r="H1182" s="278"/>
      <c r="I1182" s="279"/>
      <c r="J1182" s="278"/>
      <c r="K1182" s="278"/>
      <c r="L1182" s="278"/>
      <c r="M1182" s="212"/>
    </row>
    <row r="1183" spans="1:13">
      <c r="A1183" s="213"/>
      <c r="B1183" s="278"/>
      <c r="C1183" s="278"/>
      <c r="D1183" s="278"/>
      <c r="E1183" s="279"/>
      <c r="F1183" s="278"/>
      <c r="G1183" s="278"/>
      <c r="H1183" s="278"/>
      <c r="I1183" s="279"/>
      <c r="J1183" s="278"/>
      <c r="K1183" s="278"/>
      <c r="L1183" s="278"/>
      <c r="M1183" s="212"/>
    </row>
    <row r="1184" spans="1:13">
      <c r="A1184" s="213"/>
      <c r="B1184" s="278"/>
      <c r="C1184" s="278"/>
      <c r="D1184" s="278"/>
      <c r="E1184" s="279"/>
      <c r="F1184" s="278"/>
      <c r="G1184" s="278"/>
      <c r="H1184" s="278"/>
      <c r="I1184" s="279"/>
      <c r="J1184" s="278"/>
      <c r="K1184" s="278"/>
      <c r="L1184" s="278"/>
      <c r="M1184" s="212"/>
    </row>
    <row r="1185" spans="1:13">
      <c r="A1185" s="213"/>
      <c r="B1185" s="278"/>
      <c r="C1185" s="278"/>
      <c r="D1185" s="278"/>
      <c r="E1185" s="279"/>
      <c r="F1185" s="278"/>
      <c r="G1185" s="278"/>
      <c r="H1185" s="278"/>
      <c r="I1185" s="279"/>
      <c r="J1185" s="278"/>
      <c r="K1185" s="278"/>
      <c r="L1185" s="278"/>
      <c r="M1185" s="212"/>
    </row>
    <row r="1186" spans="1:13">
      <c r="A1186" s="213"/>
      <c r="B1186" s="278"/>
      <c r="C1186" s="278"/>
      <c r="D1186" s="278"/>
      <c r="E1186" s="279"/>
      <c r="F1186" s="278"/>
      <c r="G1186" s="278"/>
      <c r="H1186" s="278"/>
      <c r="I1186" s="279"/>
      <c r="J1186" s="278"/>
      <c r="K1186" s="278"/>
      <c r="L1186" s="278"/>
      <c r="M1186" s="212"/>
    </row>
    <row r="1187" spans="1:13">
      <c r="A1187" s="213"/>
      <c r="B1187" s="278"/>
      <c r="C1187" s="278"/>
      <c r="D1187" s="278"/>
      <c r="E1187" s="279"/>
      <c r="F1187" s="278"/>
      <c r="G1187" s="278"/>
      <c r="H1187" s="278"/>
      <c r="I1187" s="279"/>
      <c r="J1187" s="278"/>
      <c r="K1187" s="278"/>
      <c r="L1187" s="278"/>
      <c r="M1187" s="212"/>
    </row>
    <row r="1188" spans="1:13">
      <c r="A1188" s="213"/>
      <c r="B1188" s="278"/>
      <c r="C1188" s="278"/>
      <c r="D1188" s="278"/>
      <c r="E1188" s="279"/>
      <c r="F1188" s="278"/>
      <c r="G1188" s="278"/>
      <c r="H1188" s="278"/>
      <c r="I1188" s="279"/>
      <c r="J1188" s="278"/>
      <c r="K1188" s="278"/>
      <c r="L1188" s="278"/>
      <c r="M1188" s="212"/>
    </row>
    <row r="1189" spans="1:13">
      <c r="A1189" s="213"/>
      <c r="B1189" s="278"/>
      <c r="C1189" s="278"/>
      <c r="D1189" s="278"/>
      <c r="E1189" s="279"/>
      <c r="F1189" s="278"/>
      <c r="G1189" s="278"/>
      <c r="H1189" s="278"/>
      <c r="I1189" s="279"/>
      <c r="J1189" s="278"/>
      <c r="K1189" s="278"/>
      <c r="L1189" s="278"/>
      <c r="M1189" s="212"/>
    </row>
    <row r="1190" spans="1:13">
      <c r="A1190" s="213"/>
      <c r="B1190" s="278"/>
      <c r="C1190" s="278"/>
      <c r="D1190" s="278"/>
      <c r="E1190" s="279"/>
      <c r="F1190" s="278"/>
      <c r="G1190" s="278"/>
      <c r="H1190" s="278"/>
      <c r="I1190" s="279"/>
      <c r="J1190" s="278"/>
      <c r="K1190" s="278"/>
      <c r="L1190" s="278"/>
      <c r="M1190" s="212"/>
    </row>
    <row r="1191" spans="1:13">
      <c r="A1191" s="213"/>
      <c r="B1191" s="278"/>
      <c r="C1191" s="278"/>
      <c r="D1191" s="278"/>
      <c r="E1191" s="279"/>
      <c r="F1191" s="278"/>
      <c r="G1191" s="278"/>
      <c r="H1191" s="278"/>
      <c r="I1191" s="279"/>
      <c r="J1191" s="278"/>
      <c r="K1191" s="278"/>
      <c r="L1191" s="278"/>
      <c r="M1191" s="212"/>
    </row>
    <row r="1192" spans="1:13">
      <c r="A1192" s="213"/>
      <c r="B1192" s="279"/>
      <c r="C1192" s="279"/>
      <c r="D1192" s="279"/>
      <c r="E1192" s="279"/>
      <c r="F1192" s="279"/>
      <c r="G1192" s="279"/>
      <c r="H1192" s="279"/>
      <c r="I1192" s="279"/>
      <c r="J1192" s="279"/>
      <c r="K1192" s="279"/>
      <c r="L1192" s="279"/>
      <c r="M1192" s="212"/>
    </row>
    <row r="1193" spans="1:13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6"/>
      <c r="M1193" s="212"/>
    </row>
    <row r="1194" spans="1:13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60"/>
      <c r="M1194" s="212"/>
    </row>
    <row r="1195" spans="1:13" ht="12.95">
      <c r="A1195" s="234"/>
      <c r="B1195" s="217"/>
      <c r="C1195" s="217"/>
      <c r="D1195" s="217"/>
      <c r="E1195" s="217"/>
      <c r="F1195" s="217"/>
      <c r="G1195" s="217"/>
      <c r="H1195" s="217"/>
      <c r="I1195" s="217"/>
      <c r="J1195" s="217"/>
      <c r="K1195" s="217"/>
      <c r="L1195" s="212"/>
      <c r="M1195" s="212"/>
    </row>
    <row r="1196" spans="1:13" ht="12.95">
      <c r="A1196" s="217"/>
      <c r="B1196" s="367"/>
      <c r="C1196" s="367"/>
      <c r="D1196" s="367"/>
      <c r="E1196" s="229"/>
      <c r="F1196" s="367"/>
      <c r="G1196" s="367"/>
      <c r="H1196" s="367"/>
      <c r="I1196" s="229"/>
      <c r="J1196" s="367"/>
      <c r="K1196" s="367"/>
      <c r="L1196" s="367"/>
      <c r="M1196" s="212"/>
    </row>
    <row r="1197" spans="1:13" ht="12.95">
      <c r="A1197" s="234"/>
      <c r="B1197" s="235"/>
      <c r="C1197" s="235"/>
      <c r="D1197" s="235"/>
      <c r="E1197" s="235"/>
      <c r="F1197" s="235"/>
      <c r="G1197" s="235"/>
      <c r="H1197" s="235"/>
      <c r="I1197" s="235"/>
      <c r="J1197" s="235"/>
      <c r="K1197" s="235"/>
      <c r="L1197" s="235"/>
      <c r="M1197" s="212"/>
    </row>
    <row r="1198" spans="1:13" ht="12.95">
      <c r="A1198" s="234"/>
      <c r="B1198" s="235"/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12"/>
    </row>
    <row r="1199" spans="1:13">
      <c r="A1199" s="213"/>
      <c r="B1199" s="278"/>
      <c r="C1199" s="278"/>
      <c r="D1199" s="278"/>
      <c r="E1199" s="279"/>
      <c r="F1199" s="278"/>
      <c r="G1199" s="278"/>
      <c r="H1199" s="278"/>
      <c r="I1199" s="279"/>
      <c r="J1199" s="278"/>
      <c r="K1199" s="278"/>
      <c r="L1199" s="278"/>
      <c r="M1199" s="212"/>
    </row>
    <row r="1200" spans="1:13">
      <c r="A1200" s="213"/>
      <c r="B1200" s="278"/>
      <c r="C1200" s="278"/>
      <c r="D1200" s="278"/>
      <c r="E1200" s="279"/>
      <c r="F1200" s="278"/>
      <c r="G1200" s="278"/>
      <c r="H1200" s="278"/>
      <c r="I1200" s="279"/>
      <c r="J1200" s="278"/>
      <c r="K1200" s="278"/>
      <c r="L1200" s="278"/>
      <c r="M1200" s="212"/>
    </row>
    <row r="1201" spans="1:13">
      <c r="A1201" s="213"/>
      <c r="B1201" s="278"/>
      <c r="C1201" s="278"/>
      <c r="D1201" s="278"/>
      <c r="E1201" s="279"/>
      <c r="F1201" s="278"/>
      <c r="G1201" s="278"/>
      <c r="H1201" s="278"/>
      <c r="I1201" s="279"/>
      <c r="J1201" s="278"/>
      <c r="K1201" s="278"/>
      <c r="L1201" s="278"/>
      <c r="M1201" s="212"/>
    </row>
    <row r="1202" spans="1:13">
      <c r="A1202" s="213"/>
      <c r="B1202" s="278"/>
      <c r="C1202" s="278"/>
      <c r="D1202" s="278"/>
      <c r="E1202" s="279"/>
      <c r="F1202" s="278"/>
      <c r="G1202" s="278"/>
      <c r="H1202" s="278"/>
      <c r="I1202" s="279"/>
      <c r="J1202" s="278"/>
      <c r="K1202" s="278"/>
      <c r="L1202" s="278"/>
      <c r="M1202" s="212"/>
    </row>
    <row r="1203" spans="1:13">
      <c r="A1203" s="213"/>
      <c r="B1203" s="278"/>
      <c r="C1203" s="278"/>
      <c r="D1203" s="278"/>
      <c r="E1203" s="279"/>
      <c r="F1203" s="278"/>
      <c r="G1203" s="278"/>
      <c r="H1203" s="278"/>
      <c r="I1203" s="279"/>
      <c r="J1203" s="278"/>
      <c r="K1203" s="278"/>
      <c r="L1203" s="278"/>
      <c r="M1203" s="212"/>
    </row>
    <row r="1204" spans="1:13">
      <c r="A1204" s="213"/>
      <c r="B1204" s="278"/>
      <c r="C1204" s="278"/>
      <c r="D1204" s="278"/>
      <c r="E1204" s="279"/>
      <c r="F1204" s="278"/>
      <c r="G1204" s="278"/>
      <c r="H1204" s="278"/>
      <c r="I1204" s="279"/>
      <c r="J1204" s="278"/>
      <c r="K1204" s="278"/>
      <c r="L1204" s="278"/>
      <c r="M1204" s="212"/>
    </row>
    <row r="1205" spans="1:13">
      <c r="A1205" s="213"/>
      <c r="B1205" s="278"/>
      <c r="C1205" s="278"/>
      <c r="D1205" s="278"/>
      <c r="E1205" s="279"/>
      <c r="F1205" s="278"/>
      <c r="G1205" s="278"/>
      <c r="H1205" s="278"/>
      <c r="I1205" s="279"/>
      <c r="J1205" s="278"/>
      <c r="K1205" s="278"/>
      <c r="L1205" s="278"/>
      <c r="M1205" s="212"/>
    </row>
    <row r="1206" spans="1:13">
      <c r="A1206" s="213"/>
      <c r="B1206" s="278"/>
      <c r="C1206" s="278"/>
      <c r="D1206" s="278"/>
      <c r="E1206" s="279"/>
      <c r="F1206" s="278"/>
      <c r="G1206" s="278"/>
      <c r="H1206" s="278"/>
      <c r="I1206" s="279"/>
      <c r="J1206" s="278"/>
      <c r="K1206" s="278"/>
      <c r="L1206" s="278"/>
      <c r="M1206" s="212"/>
    </row>
    <row r="1207" spans="1:13">
      <c r="A1207" s="213"/>
      <c r="B1207" s="278"/>
      <c r="C1207" s="278"/>
      <c r="D1207" s="278"/>
      <c r="E1207" s="279"/>
      <c r="F1207" s="278"/>
      <c r="G1207" s="278"/>
      <c r="H1207" s="278"/>
      <c r="I1207" s="279"/>
      <c r="J1207" s="278"/>
      <c r="K1207" s="278"/>
      <c r="L1207" s="278"/>
      <c r="M1207" s="212"/>
    </row>
    <row r="1208" spans="1:13">
      <c r="A1208" s="213"/>
      <c r="B1208" s="278"/>
      <c r="C1208" s="278"/>
      <c r="D1208" s="278"/>
      <c r="E1208" s="279"/>
      <c r="F1208" s="278"/>
      <c r="G1208" s="278"/>
      <c r="H1208" s="278"/>
      <c r="I1208" s="279"/>
      <c r="J1208" s="278"/>
      <c r="K1208" s="278"/>
      <c r="L1208" s="278"/>
      <c r="M1208" s="212"/>
    </row>
    <row r="1209" spans="1:13">
      <c r="A1209" s="213"/>
      <c r="B1209" s="279"/>
      <c r="C1209" s="279"/>
      <c r="D1209" s="279"/>
      <c r="E1209" s="279"/>
      <c r="F1209" s="279"/>
      <c r="G1209" s="279"/>
      <c r="H1209" s="279"/>
      <c r="I1209" s="279"/>
      <c r="J1209" s="279"/>
      <c r="K1209" s="279"/>
      <c r="L1209" s="279"/>
      <c r="M1209" s="212"/>
    </row>
    <row r="1210" spans="1:13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6"/>
      <c r="M1210" s="212"/>
    </row>
    <row r="1211" spans="1:13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60"/>
      <c r="M1211" s="212"/>
    </row>
    <row r="1212" spans="1:13" ht="12.95">
      <c r="A1212" s="234"/>
      <c r="B1212" s="217"/>
      <c r="C1212" s="217"/>
      <c r="D1212" s="217"/>
      <c r="E1212" s="217"/>
      <c r="F1212" s="217"/>
      <c r="G1212" s="217"/>
      <c r="H1212" s="217"/>
      <c r="I1212" s="217"/>
      <c r="J1212" s="217"/>
      <c r="K1212" s="217"/>
      <c r="L1212" s="212"/>
      <c r="M1212" s="212"/>
    </row>
    <row r="1213" spans="1:13" ht="12.95">
      <c r="A1213" s="217"/>
      <c r="B1213" s="367"/>
      <c r="C1213" s="367"/>
      <c r="D1213" s="367"/>
      <c r="E1213" s="229"/>
      <c r="F1213" s="367"/>
      <c r="G1213" s="367"/>
      <c r="H1213" s="367"/>
      <c r="I1213" s="229"/>
      <c r="J1213" s="367"/>
      <c r="K1213" s="367"/>
      <c r="L1213" s="367"/>
      <c r="M1213" s="212"/>
    </row>
    <row r="1214" spans="1:13" ht="12.95">
      <c r="A1214" s="234"/>
      <c r="B1214" s="235"/>
      <c r="C1214" s="235"/>
      <c r="D1214" s="235"/>
      <c r="E1214" s="235"/>
      <c r="F1214" s="235"/>
      <c r="G1214" s="235"/>
      <c r="H1214" s="235"/>
      <c r="I1214" s="235"/>
      <c r="J1214" s="235"/>
      <c r="K1214" s="235"/>
      <c r="L1214" s="235"/>
      <c r="M1214" s="212"/>
    </row>
    <row r="1215" spans="1:13" ht="12.95">
      <c r="A1215" s="234"/>
      <c r="B1215" s="235"/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12"/>
    </row>
    <row r="1216" spans="1:13">
      <c r="A1216" s="213"/>
      <c r="B1216" s="278"/>
      <c r="C1216" s="278"/>
      <c r="D1216" s="278"/>
      <c r="E1216" s="279"/>
      <c r="F1216" s="278"/>
      <c r="G1216" s="278"/>
      <c r="H1216" s="278"/>
      <c r="I1216" s="279"/>
      <c r="J1216" s="278"/>
      <c r="K1216" s="278"/>
      <c r="L1216" s="278"/>
      <c r="M1216" s="212"/>
    </row>
    <row r="1217" spans="1:13">
      <c r="A1217" s="213"/>
      <c r="B1217" s="278"/>
      <c r="C1217" s="278"/>
      <c r="D1217" s="278"/>
      <c r="E1217" s="279"/>
      <c r="F1217" s="278"/>
      <c r="G1217" s="278"/>
      <c r="H1217" s="278"/>
      <c r="I1217" s="279"/>
      <c r="J1217" s="278"/>
      <c r="K1217" s="278"/>
      <c r="L1217" s="278"/>
      <c r="M1217" s="212"/>
    </row>
    <row r="1218" spans="1:13">
      <c r="A1218" s="213"/>
      <c r="B1218" s="278"/>
      <c r="C1218" s="278"/>
      <c r="D1218" s="278"/>
      <c r="E1218" s="279"/>
      <c r="F1218" s="278"/>
      <c r="G1218" s="278"/>
      <c r="H1218" s="278"/>
      <c r="I1218" s="279"/>
      <c r="J1218" s="278"/>
      <c r="K1218" s="278"/>
      <c r="L1218" s="278"/>
      <c r="M1218" s="212"/>
    </row>
    <row r="1219" spans="1:13">
      <c r="A1219" s="213"/>
      <c r="B1219" s="278"/>
      <c r="C1219" s="278"/>
      <c r="D1219" s="278"/>
      <c r="E1219" s="279"/>
      <c r="F1219" s="278"/>
      <c r="G1219" s="278"/>
      <c r="H1219" s="278"/>
      <c r="I1219" s="279"/>
      <c r="J1219" s="278"/>
      <c r="K1219" s="278"/>
      <c r="L1219" s="278"/>
      <c r="M1219" s="212"/>
    </row>
    <row r="1220" spans="1:13">
      <c r="A1220" s="213"/>
      <c r="B1220" s="278"/>
      <c r="C1220" s="278"/>
      <c r="D1220" s="278"/>
      <c r="E1220" s="279"/>
      <c r="F1220" s="278"/>
      <c r="G1220" s="278"/>
      <c r="H1220" s="278"/>
      <c r="I1220" s="279"/>
      <c r="J1220" s="278"/>
      <c r="K1220" s="278"/>
      <c r="L1220" s="278"/>
      <c r="M1220" s="212"/>
    </row>
    <row r="1221" spans="1:13">
      <c r="A1221" s="213"/>
      <c r="B1221" s="278"/>
      <c r="C1221" s="278"/>
      <c r="D1221" s="278"/>
      <c r="E1221" s="279"/>
      <c r="F1221" s="278"/>
      <c r="G1221" s="278"/>
      <c r="H1221" s="278"/>
      <c r="I1221" s="279"/>
      <c r="J1221" s="278"/>
      <c r="K1221" s="278"/>
      <c r="L1221" s="278"/>
      <c r="M1221" s="212"/>
    </row>
    <row r="1222" spans="1:13">
      <c r="A1222" s="213"/>
      <c r="B1222" s="278"/>
      <c r="C1222" s="278"/>
      <c r="D1222" s="278"/>
      <c r="E1222" s="279"/>
      <c r="F1222" s="278"/>
      <c r="G1222" s="278"/>
      <c r="H1222" s="278"/>
      <c r="I1222" s="279"/>
      <c r="J1222" s="278"/>
      <c r="K1222" s="278"/>
      <c r="L1222" s="278"/>
      <c r="M1222" s="212"/>
    </row>
    <row r="1223" spans="1:13">
      <c r="A1223" s="213"/>
      <c r="B1223" s="278"/>
      <c r="C1223" s="278"/>
      <c r="D1223" s="278"/>
      <c r="E1223" s="279"/>
      <c r="F1223" s="278"/>
      <c r="G1223" s="278"/>
      <c r="H1223" s="278"/>
      <c r="I1223" s="279"/>
      <c r="J1223" s="278"/>
      <c r="K1223" s="278"/>
      <c r="L1223" s="278"/>
      <c r="M1223" s="212"/>
    </row>
    <row r="1224" spans="1:13" ht="13.5" customHeight="1">
      <c r="A1224" s="213"/>
      <c r="B1224" s="278"/>
      <c r="C1224" s="278"/>
      <c r="D1224" s="278"/>
      <c r="E1224" s="279"/>
      <c r="F1224" s="278"/>
      <c r="G1224" s="278"/>
      <c r="H1224" s="278"/>
      <c r="I1224" s="279"/>
      <c r="J1224" s="278"/>
      <c r="K1224" s="278"/>
      <c r="L1224" s="278"/>
      <c r="M1224" s="212"/>
    </row>
    <row r="1225" spans="1:13" ht="13.5" customHeight="1">
      <c r="A1225" s="213"/>
      <c r="B1225" s="278"/>
      <c r="C1225" s="278"/>
      <c r="D1225" s="278"/>
      <c r="E1225" s="279"/>
      <c r="F1225" s="278"/>
      <c r="G1225" s="278"/>
      <c r="H1225" s="278"/>
      <c r="I1225" s="279"/>
      <c r="J1225" s="278"/>
      <c r="K1225" s="278"/>
      <c r="L1225" s="278"/>
      <c r="M1225" s="212"/>
    </row>
    <row r="1226" spans="1:13">
      <c r="A1226" s="213"/>
      <c r="B1226" s="279"/>
      <c r="C1226" s="279"/>
      <c r="D1226" s="279"/>
      <c r="E1226" s="279"/>
      <c r="F1226" s="279"/>
      <c r="G1226" s="279"/>
      <c r="H1226" s="279"/>
      <c r="I1226" s="279"/>
      <c r="J1226" s="279"/>
      <c r="K1226" s="279"/>
      <c r="L1226" s="279"/>
      <c r="M1226" s="212"/>
    </row>
    <row r="1227" spans="1:13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6"/>
      <c r="M1227" s="212"/>
    </row>
    <row r="1228" spans="1:13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60"/>
      <c r="M1228" s="212"/>
    </row>
    <row r="1229" spans="1:13" ht="12.95">
      <c r="A1229" s="234"/>
      <c r="B1229" s="217"/>
      <c r="C1229" s="217"/>
      <c r="D1229" s="217"/>
      <c r="E1229" s="217"/>
      <c r="F1229" s="217"/>
      <c r="G1229" s="217"/>
      <c r="H1229" s="217"/>
      <c r="I1229" s="217"/>
      <c r="J1229" s="217"/>
      <c r="K1229" s="217"/>
      <c r="L1229" s="212"/>
      <c r="M1229" s="212"/>
    </row>
    <row r="1230" spans="1:13" ht="12.95">
      <c r="A1230" s="217"/>
      <c r="B1230" s="367"/>
      <c r="C1230" s="367"/>
      <c r="D1230" s="367"/>
      <c r="E1230" s="229"/>
      <c r="F1230" s="367"/>
      <c r="G1230" s="367"/>
      <c r="H1230" s="367"/>
      <c r="I1230" s="229"/>
      <c r="J1230" s="367"/>
      <c r="K1230" s="367"/>
      <c r="L1230" s="367"/>
      <c r="M1230" s="212"/>
    </row>
    <row r="1231" spans="1:13" ht="12.95">
      <c r="A1231" s="234"/>
      <c r="B1231" s="235"/>
      <c r="C1231" s="235"/>
      <c r="D1231" s="235"/>
      <c r="E1231" s="235"/>
      <c r="F1231" s="235"/>
      <c r="G1231" s="235"/>
      <c r="H1231" s="235"/>
      <c r="I1231" s="235"/>
      <c r="J1231" s="235"/>
      <c r="K1231" s="235"/>
      <c r="L1231" s="235"/>
      <c r="M1231" s="212"/>
    </row>
    <row r="1232" spans="1:13" ht="12.95">
      <c r="A1232" s="234"/>
      <c r="B1232" s="235"/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12"/>
    </row>
    <row r="1233" spans="1:13">
      <c r="A1233" s="213"/>
      <c r="B1233" s="278"/>
      <c r="C1233" s="278"/>
      <c r="D1233" s="278"/>
      <c r="E1233" s="279"/>
      <c r="F1233" s="278"/>
      <c r="G1233" s="278"/>
      <c r="H1233" s="278"/>
      <c r="I1233" s="279"/>
      <c r="J1233" s="278"/>
      <c r="K1233" s="278"/>
      <c r="L1233" s="278"/>
      <c r="M1233" s="212"/>
    </row>
    <row r="1234" spans="1:13">
      <c r="A1234" s="213"/>
      <c r="B1234" s="278"/>
      <c r="C1234" s="278"/>
      <c r="D1234" s="278"/>
      <c r="E1234" s="279"/>
      <c r="F1234" s="278"/>
      <c r="G1234" s="278"/>
      <c r="H1234" s="278"/>
      <c r="I1234" s="279"/>
      <c r="J1234" s="278"/>
      <c r="K1234" s="278"/>
      <c r="L1234" s="278"/>
      <c r="M1234" s="212"/>
    </row>
    <row r="1235" spans="1:13">
      <c r="A1235" s="213"/>
      <c r="B1235" s="278"/>
      <c r="C1235" s="278"/>
      <c r="D1235" s="278"/>
      <c r="E1235" s="279"/>
      <c r="F1235" s="278"/>
      <c r="G1235" s="278"/>
      <c r="H1235" s="278"/>
      <c r="I1235" s="279"/>
      <c r="J1235" s="278"/>
      <c r="K1235" s="278"/>
      <c r="L1235" s="278"/>
      <c r="M1235" s="212"/>
    </row>
    <row r="1236" spans="1:13">
      <c r="A1236" s="213"/>
      <c r="B1236" s="278"/>
      <c r="C1236" s="278"/>
      <c r="D1236" s="278"/>
      <c r="E1236" s="279"/>
      <c r="F1236" s="278"/>
      <c r="G1236" s="278"/>
      <c r="H1236" s="278"/>
      <c r="I1236" s="279"/>
      <c r="J1236" s="278"/>
      <c r="K1236" s="278"/>
      <c r="L1236" s="278"/>
      <c r="M1236" s="212"/>
    </row>
    <row r="1237" spans="1:13">
      <c r="A1237" s="213"/>
      <c r="B1237" s="278"/>
      <c r="C1237" s="278"/>
      <c r="D1237" s="278"/>
      <c r="E1237" s="279"/>
      <c r="F1237" s="278"/>
      <c r="G1237" s="278"/>
      <c r="H1237" s="278"/>
      <c r="I1237" s="279"/>
      <c r="J1237" s="278"/>
      <c r="K1237" s="278"/>
      <c r="L1237" s="278"/>
      <c r="M1237" s="212"/>
    </row>
    <row r="1238" spans="1:13">
      <c r="A1238" s="213"/>
      <c r="B1238" s="278"/>
      <c r="C1238" s="278"/>
      <c r="D1238" s="278"/>
      <c r="E1238" s="279"/>
      <c r="F1238" s="278"/>
      <c r="G1238" s="278"/>
      <c r="H1238" s="278"/>
      <c r="I1238" s="279"/>
      <c r="J1238" s="278"/>
      <c r="K1238" s="278"/>
      <c r="L1238" s="278"/>
      <c r="M1238" s="212"/>
    </row>
    <row r="1239" spans="1:13">
      <c r="A1239" s="213"/>
      <c r="B1239" s="278"/>
      <c r="C1239" s="278"/>
      <c r="D1239" s="278"/>
      <c r="E1239" s="279"/>
      <c r="F1239" s="278"/>
      <c r="G1239" s="278"/>
      <c r="H1239" s="278"/>
      <c r="I1239" s="279"/>
      <c r="J1239" s="278"/>
      <c r="K1239" s="278"/>
      <c r="L1239" s="278"/>
      <c r="M1239" s="212"/>
    </row>
    <row r="1240" spans="1:13">
      <c r="A1240" s="213"/>
      <c r="B1240" s="278"/>
      <c r="C1240" s="278"/>
      <c r="D1240" s="278"/>
      <c r="E1240" s="279"/>
      <c r="F1240" s="278"/>
      <c r="G1240" s="278"/>
      <c r="H1240" s="278"/>
      <c r="I1240" s="279"/>
      <c r="J1240" s="278"/>
      <c r="K1240" s="278"/>
      <c r="L1240" s="278"/>
      <c r="M1240" s="212"/>
    </row>
    <row r="1241" spans="1:13">
      <c r="A1241" s="213"/>
      <c r="B1241" s="278"/>
      <c r="C1241" s="278"/>
      <c r="D1241" s="278"/>
      <c r="E1241" s="279"/>
      <c r="F1241" s="278"/>
      <c r="G1241" s="278"/>
      <c r="H1241" s="278"/>
      <c r="I1241" s="279"/>
      <c r="J1241" s="278"/>
      <c r="K1241" s="278"/>
      <c r="L1241" s="278"/>
      <c r="M1241" s="212"/>
    </row>
    <row r="1242" spans="1:13">
      <c r="A1242" s="213"/>
      <c r="B1242" s="278"/>
      <c r="C1242" s="278"/>
      <c r="D1242" s="278"/>
      <c r="E1242" s="279"/>
      <c r="F1242" s="278"/>
      <c r="G1242" s="278"/>
      <c r="H1242" s="278"/>
      <c r="I1242" s="279"/>
      <c r="J1242" s="278"/>
      <c r="K1242" s="278"/>
      <c r="L1242" s="278"/>
      <c r="M1242" s="212"/>
    </row>
    <row r="1243" spans="1:13">
      <c r="A1243" s="213"/>
      <c r="B1243" s="279"/>
      <c r="C1243" s="279"/>
      <c r="D1243" s="279"/>
      <c r="E1243" s="279"/>
      <c r="F1243" s="279"/>
      <c r="G1243" s="279"/>
      <c r="H1243" s="279"/>
      <c r="I1243" s="279"/>
      <c r="J1243" s="279"/>
      <c r="K1243" s="279"/>
      <c r="L1243" s="279"/>
      <c r="M1243" s="212"/>
    </row>
    <row r="1244" spans="1:13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6"/>
      <c r="M1244" s="212"/>
    </row>
    <row r="1245" spans="1:13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60"/>
      <c r="M1245" s="212"/>
    </row>
    <row r="1246" spans="1:13" ht="12.95">
      <c r="A1246" s="234"/>
      <c r="B1246" s="217"/>
      <c r="C1246" s="217"/>
      <c r="D1246" s="217"/>
      <c r="E1246" s="217"/>
      <c r="F1246" s="217"/>
      <c r="G1246" s="217"/>
      <c r="H1246" s="217"/>
      <c r="I1246" s="217"/>
      <c r="J1246" s="217"/>
      <c r="K1246" s="217"/>
      <c r="L1246" s="212"/>
      <c r="M1246" s="212"/>
    </row>
    <row r="1247" spans="1:13" ht="12.95">
      <c r="A1247" s="217"/>
      <c r="B1247" s="367"/>
      <c r="C1247" s="367"/>
      <c r="D1247" s="367"/>
      <c r="E1247" s="229"/>
      <c r="F1247" s="367"/>
      <c r="G1247" s="367"/>
      <c r="H1247" s="367"/>
      <c r="I1247" s="229"/>
      <c r="J1247" s="367"/>
      <c r="K1247" s="367"/>
      <c r="L1247" s="367"/>
      <c r="M1247" s="212"/>
    </row>
    <row r="1248" spans="1:13" ht="12.95">
      <c r="A1248" s="234"/>
      <c r="B1248" s="235"/>
      <c r="C1248" s="235"/>
      <c r="D1248" s="235"/>
      <c r="E1248" s="235"/>
      <c r="F1248" s="235"/>
      <c r="G1248" s="235"/>
      <c r="H1248" s="235"/>
      <c r="I1248" s="235"/>
      <c r="J1248" s="235"/>
      <c r="K1248" s="235"/>
      <c r="L1248" s="235"/>
      <c r="M1248" s="212"/>
    </row>
    <row r="1249" spans="1:13" ht="12.95">
      <c r="A1249" s="234"/>
      <c r="B1249" s="235"/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12"/>
    </row>
    <row r="1250" spans="1:13">
      <c r="A1250" s="213"/>
      <c r="B1250" s="278"/>
      <c r="C1250" s="278"/>
      <c r="D1250" s="278"/>
      <c r="E1250" s="279"/>
      <c r="F1250" s="278"/>
      <c r="G1250" s="278"/>
      <c r="H1250" s="278"/>
      <c r="I1250" s="279"/>
      <c r="J1250" s="278"/>
      <c r="K1250" s="278"/>
      <c r="L1250" s="278"/>
      <c r="M1250" s="212"/>
    </row>
    <row r="1251" spans="1:13">
      <c r="A1251" s="213"/>
      <c r="B1251" s="278"/>
      <c r="C1251" s="278"/>
      <c r="D1251" s="278"/>
      <c r="E1251" s="279"/>
      <c r="F1251" s="278"/>
      <c r="G1251" s="278"/>
      <c r="H1251" s="278"/>
      <c r="I1251" s="279"/>
      <c r="J1251" s="278"/>
      <c r="K1251" s="278"/>
      <c r="L1251" s="278"/>
      <c r="M1251" s="212"/>
    </row>
    <row r="1252" spans="1:13">
      <c r="A1252" s="213"/>
      <c r="B1252" s="278"/>
      <c r="C1252" s="278"/>
      <c r="D1252" s="278"/>
      <c r="E1252" s="279"/>
      <c r="F1252" s="278"/>
      <c r="G1252" s="278"/>
      <c r="H1252" s="278"/>
      <c r="I1252" s="279"/>
      <c r="J1252" s="278"/>
      <c r="K1252" s="278"/>
      <c r="L1252" s="278"/>
      <c r="M1252" s="212"/>
    </row>
    <row r="1253" spans="1:13">
      <c r="A1253" s="213"/>
      <c r="B1253" s="278"/>
      <c r="C1253" s="278"/>
      <c r="D1253" s="278"/>
      <c r="E1253" s="279"/>
      <c r="F1253" s="278"/>
      <c r="G1253" s="278"/>
      <c r="H1253" s="278"/>
      <c r="I1253" s="279"/>
      <c r="J1253" s="278"/>
      <c r="K1253" s="278"/>
      <c r="L1253" s="278"/>
      <c r="M1253" s="212"/>
    </row>
    <row r="1254" spans="1:13">
      <c r="A1254" s="213"/>
      <c r="B1254" s="278"/>
      <c r="C1254" s="278"/>
      <c r="D1254" s="278"/>
      <c r="E1254" s="279"/>
      <c r="F1254" s="278"/>
      <c r="G1254" s="278"/>
      <c r="H1254" s="278"/>
      <c r="I1254" s="279"/>
      <c r="J1254" s="278"/>
      <c r="K1254" s="278"/>
      <c r="L1254" s="278"/>
      <c r="M1254" s="212"/>
    </row>
    <row r="1255" spans="1:13">
      <c r="A1255" s="213"/>
      <c r="B1255" s="278"/>
      <c r="C1255" s="278"/>
      <c r="D1255" s="278"/>
      <c r="E1255" s="279"/>
      <c r="F1255" s="278"/>
      <c r="G1255" s="278"/>
      <c r="H1255" s="278"/>
      <c r="I1255" s="279"/>
      <c r="J1255" s="278"/>
      <c r="K1255" s="278"/>
      <c r="L1255" s="278"/>
      <c r="M1255" s="212"/>
    </row>
    <row r="1256" spans="1:13">
      <c r="A1256" s="213"/>
      <c r="B1256" s="278"/>
      <c r="C1256" s="278"/>
      <c r="D1256" s="278"/>
      <c r="E1256" s="279"/>
      <c r="F1256" s="278"/>
      <c r="G1256" s="278"/>
      <c r="H1256" s="278"/>
      <c r="I1256" s="279"/>
      <c r="J1256" s="278"/>
      <c r="K1256" s="278"/>
      <c r="L1256" s="278"/>
      <c r="M1256" s="212"/>
    </row>
    <row r="1257" spans="1:13">
      <c r="A1257" s="213"/>
      <c r="B1257" s="278"/>
      <c r="C1257" s="278"/>
      <c r="D1257" s="278"/>
      <c r="E1257" s="279"/>
      <c r="F1257" s="278"/>
      <c r="G1257" s="278"/>
      <c r="H1257" s="278"/>
      <c r="I1257" s="279"/>
      <c r="J1257" s="278"/>
      <c r="K1257" s="278"/>
      <c r="L1257" s="278"/>
      <c r="M1257" s="212"/>
    </row>
    <row r="1258" spans="1:13">
      <c r="A1258" s="213"/>
      <c r="B1258" s="278"/>
      <c r="C1258" s="278"/>
      <c r="D1258" s="278"/>
      <c r="E1258" s="279"/>
      <c r="F1258" s="278"/>
      <c r="G1258" s="278"/>
      <c r="H1258" s="278"/>
      <c r="I1258" s="279"/>
      <c r="J1258" s="278"/>
      <c r="K1258" s="278"/>
      <c r="L1258" s="278"/>
      <c r="M1258" s="212"/>
    </row>
    <row r="1259" spans="1:13">
      <c r="A1259" s="213"/>
      <c r="B1259" s="278"/>
      <c r="C1259" s="278"/>
      <c r="D1259" s="278"/>
      <c r="E1259" s="279"/>
      <c r="F1259" s="278"/>
      <c r="G1259" s="278"/>
      <c r="H1259" s="278"/>
      <c r="I1259" s="279"/>
      <c r="J1259" s="278"/>
      <c r="K1259" s="278"/>
      <c r="L1259" s="278"/>
      <c r="M1259" s="212"/>
    </row>
    <row r="1260" spans="1:13">
      <c r="A1260" s="213"/>
      <c r="B1260" s="279"/>
      <c r="C1260" s="279"/>
      <c r="D1260" s="279"/>
      <c r="E1260" s="279"/>
      <c r="F1260" s="279"/>
      <c r="G1260" s="279"/>
      <c r="H1260" s="279"/>
      <c r="I1260" s="279"/>
      <c r="J1260" s="279"/>
      <c r="K1260" s="279"/>
      <c r="L1260" s="279"/>
      <c r="M1260" s="212"/>
    </row>
    <row r="1261" spans="1:13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6"/>
      <c r="M1261" s="212"/>
    </row>
    <row r="1262" spans="1:13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60"/>
      <c r="M1262" s="212"/>
    </row>
    <row r="1263" spans="1:13" ht="12.95">
      <c r="A1263" s="234"/>
      <c r="B1263" s="217"/>
      <c r="C1263" s="217"/>
      <c r="D1263" s="217"/>
      <c r="E1263" s="217"/>
      <c r="F1263" s="217"/>
      <c r="G1263" s="217"/>
      <c r="H1263" s="217"/>
      <c r="I1263" s="217"/>
      <c r="J1263" s="217"/>
      <c r="K1263" s="217"/>
      <c r="L1263" s="212"/>
      <c r="M1263" s="212"/>
    </row>
    <row r="1264" spans="1:13" ht="12.95">
      <c r="A1264" s="217"/>
      <c r="B1264" s="367"/>
      <c r="C1264" s="367"/>
      <c r="D1264" s="367"/>
      <c r="E1264" s="229"/>
      <c r="F1264" s="367"/>
      <c r="G1264" s="367"/>
      <c r="H1264" s="367"/>
      <c r="I1264" s="229"/>
      <c r="J1264" s="367"/>
      <c r="K1264" s="367"/>
      <c r="L1264" s="367"/>
      <c r="M1264" s="212"/>
    </row>
    <row r="1265" spans="1:13" ht="12.95">
      <c r="A1265" s="234"/>
      <c r="B1265" s="235"/>
      <c r="C1265" s="235"/>
      <c r="D1265" s="235"/>
      <c r="E1265" s="235"/>
      <c r="F1265" s="235"/>
      <c r="G1265" s="235"/>
      <c r="H1265" s="235"/>
      <c r="I1265" s="235"/>
      <c r="J1265" s="235"/>
      <c r="K1265" s="235"/>
      <c r="L1265" s="235"/>
      <c r="M1265" s="212"/>
    </row>
    <row r="1266" spans="1:13" ht="12.95">
      <c r="A1266" s="234"/>
      <c r="B1266" s="235"/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12"/>
    </row>
    <row r="1267" spans="1:13">
      <c r="A1267" s="213"/>
      <c r="B1267" s="278"/>
      <c r="C1267" s="278"/>
      <c r="D1267" s="278"/>
      <c r="E1267" s="279"/>
      <c r="F1267" s="278"/>
      <c r="G1267" s="278"/>
      <c r="H1267" s="278"/>
      <c r="I1267" s="279"/>
      <c r="J1267" s="278"/>
      <c r="K1267" s="278"/>
      <c r="L1267" s="278"/>
      <c r="M1267" s="212"/>
    </row>
    <row r="1268" spans="1:13">
      <c r="A1268" s="213"/>
      <c r="B1268" s="278"/>
      <c r="C1268" s="278"/>
      <c r="D1268" s="278"/>
      <c r="E1268" s="279"/>
      <c r="F1268" s="278"/>
      <c r="G1268" s="278"/>
      <c r="H1268" s="278"/>
      <c r="I1268" s="279"/>
      <c r="J1268" s="278"/>
      <c r="K1268" s="278"/>
      <c r="L1268" s="278"/>
      <c r="M1268" s="212"/>
    </row>
    <row r="1269" spans="1:13">
      <c r="A1269" s="213"/>
      <c r="B1269" s="278"/>
      <c r="C1269" s="278"/>
      <c r="D1269" s="278"/>
      <c r="E1269" s="279"/>
      <c r="F1269" s="278"/>
      <c r="G1269" s="278"/>
      <c r="H1269" s="278"/>
      <c r="I1269" s="279"/>
      <c r="J1269" s="278"/>
      <c r="K1269" s="278"/>
      <c r="L1269" s="278"/>
      <c r="M1269" s="212"/>
    </row>
    <row r="1270" spans="1:13">
      <c r="A1270" s="213"/>
      <c r="B1270" s="278"/>
      <c r="C1270" s="278"/>
      <c r="D1270" s="278"/>
      <c r="E1270" s="279"/>
      <c r="F1270" s="278"/>
      <c r="G1270" s="278"/>
      <c r="H1270" s="278"/>
      <c r="I1270" s="279"/>
      <c r="J1270" s="278"/>
      <c r="K1270" s="278"/>
      <c r="L1270" s="278"/>
      <c r="M1270" s="212"/>
    </row>
    <row r="1271" spans="1:13">
      <c r="A1271" s="213"/>
      <c r="B1271" s="278"/>
      <c r="C1271" s="278"/>
      <c r="D1271" s="278"/>
      <c r="E1271" s="279"/>
      <c r="F1271" s="278"/>
      <c r="G1271" s="278"/>
      <c r="H1271" s="278"/>
      <c r="I1271" s="279"/>
      <c r="J1271" s="278"/>
      <c r="K1271" s="278"/>
      <c r="L1271" s="278"/>
      <c r="M1271" s="212"/>
    </row>
    <row r="1272" spans="1:13">
      <c r="A1272" s="213"/>
      <c r="B1272" s="278"/>
      <c r="C1272" s="278"/>
      <c r="D1272" s="278"/>
      <c r="E1272" s="279"/>
      <c r="F1272" s="278"/>
      <c r="G1272" s="278"/>
      <c r="H1272" s="278"/>
      <c r="I1272" s="279"/>
      <c r="J1272" s="278"/>
      <c r="K1272" s="278"/>
      <c r="L1272" s="278"/>
      <c r="M1272" s="212"/>
    </row>
    <row r="1273" spans="1:13">
      <c r="A1273" s="213"/>
      <c r="B1273" s="278"/>
      <c r="C1273" s="278"/>
      <c r="D1273" s="278"/>
      <c r="E1273" s="279"/>
      <c r="F1273" s="278"/>
      <c r="G1273" s="278"/>
      <c r="H1273" s="278"/>
      <c r="I1273" s="279"/>
      <c r="J1273" s="278"/>
      <c r="K1273" s="278"/>
      <c r="L1273" s="278"/>
      <c r="M1273" s="212"/>
    </row>
    <row r="1274" spans="1:13">
      <c r="A1274" s="213"/>
      <c r="B1274" s="278"/>
      <c r="C1274" s="278"/>
      <c r="D1274" s="278"/>
      <c r="E1274" s="279"/>
      <c r="F1274" s="278"/>
      <c r="G1274" s="278"/>
      <c r="H1274" s="278"/>
      <c r="I1274" s="279"/>
      <c r="J1274" s="278"/>
      <c r="K1274" s="278"/>
      <c r="L1274" s="278"/>
      <c r="M1274" s="212"/>
    </row>
    <row r="1275" spans="1:13">
      <c r="A1275" s="213"/>
      <c r="B1275" s="278"/>
      <c r="C1275" s="278"/>
      <c r="D1275" s="278"/>
      <c r="E1275" s="279"/>
      <c r="F1275" s="278"/>
      <c r="G1275" s="278"/>
      <c r="H1275" s="278"/>
      <c r="I1275" s="279"/>
      <c r="J1275" s="278"/>
      <c r="K1275" s="278"/>
      <c r="L1275" s="278"/>
      <c r="M1275" s="212"/>
    </row>
    <row r="1276" spans="1:13">
      <c r="A1276" s="213"/>
      <c r="B1276" s="278"/>
      <c r="C1276" s="278"/>
      <c r="D1276" s="278"/>
      <c r="E1276" s="279"/>
      <c r="F1276" s="278"/>
      <c r="G1276" s="278"/>
      <c r="H1276" s="278"/>
      <c r="I1276" s="279"/>
      <c r="J1276" s="278"/>
      <c r="K1276" s="278"/>
      <c r="L1276" s="278"/>
      <c r="M1276" s="212"/>
    </row>
    <row r="1277" spans="1:13">
      <c r="A1277" s="213"/>
      <c r="B1277" s="279"/>
      <c r="C1277" s="279"/>
      <c r="D1277" s="279"/>
      <c r="E1277" s="279"/>
      <c r="F1277" s="279"/>
      <c r="G1277" s="279"/>
      <c r="H1277" s="279"/>
      <c r="I1277" s="279"/>
      <c r="J1277" s="279"/>
      <c r="K1277" s="279"/>
      <c r="L1277" s="279"/>
      <c r="M1277" s="212"/>
    </row>
    <row r="1278" spans="1:13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6"/>
      <c r="M1278" s="212"/>
    </row>
    <row r="1279" spans="1:13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60"/>
      <c r="M1279" s="212"/>
    </row>
    <row r="1280" spans="1:13" ht="12.95">
      <c r="A1280" s="234"/>
      <c r="B1280" s="217"/>
      <c r="C1280" s="217"/>
      <c r="D1280" s="217"/>
      <c r="E1280" s="217"/>
      <c r="F1280" s="217"/>
      <c r="G1280" s="217"/>
      <c r="H1280" s="217"/>
      <c r="I1280" s="217"/>
      <c r="J1280" s="217"/>
      <c r="K1280" s="217"/>
      <c r="L1280" s="212"/>
      <c r="M1280" s="212"/>
    </row>
    <row r="1281" spans="1:13" ht="12.95">
      <c r="A1281" s="217"/>
      <c r="B1281" s="367"/>
      <c r="C1281" s="367"/>
      <c r="D1281" s="367"/>
      <c r="E1281" s="229"/>
      <c r="F1281" s="367"/>
      <c r="G1281" s="367"/>
      <c r="H1281" s="367"/>
      <c r="I1281" s="229"/>
      <c r="J1281" s="367"/>
      <c r="K1281" s="367"/>
      <c r="L1281" s="367"/>
      <c r="M1281" s="212"/>
    </row>
    <row r="1282" spans="1:13" ht="12.95">
      <c r="A1282" s="234"/>
      <c r="B1282" s="235"/>
      <c r="C1282" s="235"/>
      <c r="D1282" s="235"/>
      <c r="E1282" s="235"/>
      <c r="F1282" s="235"/>
      <c r="G1282" s="235"/>
      <c r="H1282" s="235"/>
      <c r="I1282" s="235"/>
      <c r="J1282" s="235"/>
      <c r="K1282" s="235"/>
      <c r="L1282" s="235"/>
      <c r="M1282" s="212"/>
    </row>
    <row r="1283" spans="1:13" ht="12.95">
      <c r="A1283" s="234"/>
      <c r="B1283" s="235"/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12"/>
    </row>
    <row r="1284" spans="1:13">
      <c r="A1284" s="213"/>
      <c r="B1284" s="278"/>
      <c r="C1284" s="278"/>
      <c r="D1284" s="278"/>
      <c r="E1284" s="279"/>
      <c r="F1284" s="278"/>
      <c r="G1284" s="278"/>
      <c r="H1284" s="278"/>
      <c r="I1284" s="279"/>
      <c r="J1284" s="278"/>
      <c r="K1284" s="278"/>
      <c r="L1284" s="278"/>
      <c r="M1284" s="212"/>
    </row>
    <row r="1285" spans="1:13">
      <c r="A1285" s="213"/>
      <c r="B1285" s="278"/>
      <c r="C1285" s="278"/>
      <c r="D1285" s="278"/>
      <c r="E1285" s="279"/>
      <c r="F1285" s="278"/>
      <c r="G1285" s="278"/>
      <c r="H1285" s="278"/>
      <c r="I1285" s="279"/>
      <c r="J1285" s="278"/>
      <c r="K1285" s="278"/>
      <c r="L1285" s="278"/>
      <c r="M1285" s="212"/>
    </row>
    <row r="1286" spans="1:13">
      <c r="A1286" s="213"/>
      <c r="B1286" s="278"/>
      <c r="C1286" s="278"/>
      <c r="D1286" s="278"/>
      <c r="E1286" s="279"/>
      <c r="F1286" s="278"/>
      <c r="G1286" s="278"/>
      <c r="H1286" s="278"/>
      <c r="I1286" s="279"/>
      <c r="J1286" s="278"/>
      <c r="K1286" s="278"/>
      <c r="L1286" s="278"/>
      <c r="M1286" s="212"/>
    </row>
    <row r="1287" spans="1:13">
      <c r="A1287" s="213"/>
      <c r="B1287" s="278"/>
      <c r="C1287" s="278"/>
      <c r="D1287" s="278"/>
      <c r="E1287" s="279"/>
      <c r="F1287" s="278"/>
      <c r="G1287" s="278"/>
      <c r="H1287" s="278"/>
      <c r="I1287" s="279"/>
      <c r="J1287" s="278"/>
      <c r="K1287" s="278"/>
      <c r="L1287" s="278"/>
      <c r="M1287" s="212"/>
    </row>
    <row r="1288" spans="1:13">
      <c r="A1288" s="213"/>
      <c r="B1288" s="278"/>
      <c r="C1288" s="278"/>
      <c r="D1288" s="278"/>
      <c r="E1288" s="279"/>
      <c r="F1288" s="278"/>
      <c r="G1288" s="278"/>
      <c r="H1288" s="278"/>
      <c r="I1288" s="279"/>
      <c r="J1288" s="278"/>
      <c r="K1288" s="278"/>
      <c r="L1288" s="278"/>
      <c r="M1288" s="212"/>
    </row>
    <row r="1289" spans="1:13">
      <c r="A1289" s="213"/>
      <c r="B1289" s="278"/>
      <c r="C1289" s="278"/>
      <c r="D1289" s="278"/>
      <c r="E1289" s="279"/>
      <c r="F1289" s="278"/>
      <c r="G1289" s="278"/>
      <c r="H1289" s="278"/>
      <c r="I1289" s="279"/>
      <c r="J1289" s="278"/>
      <c r="K1289" s="278"/>
      <c r="L1289" s="278"/>
      <c r="M1289" s="212"/>
    </row>
    <row r="1290" spans="1:13">
      <c r="A1290" s="213"/>
      <c r="B1290" s="278"/>
      <c r="C1290" s="278"/>
      <c r="D1290" s="278"/>
      <c r="E1290" s="279"/>
      <c r="F1290" s="278"/>
      <c r="G1290" s="278"/>
      <c r="H1290" s="278"/>
      <c r="I1290" s="279"/>
      <c r="J1290" s="278"/>
      <c r="K1290" s="278"/>
      <c r="L1290" s="278"/>
      <c r="M1290" s="212"/>
    </row>
    <row r="1291" spans="1:13">
      <c r="A1291" s="213"/>
      <c r="B1291" s="278"/>
      <c r="C1291" s="278"/>
      <c r="D1291" s="278"/>
      <c r="E1291" s="279"/>
      <c r="F1291" s="278"/>
      <c r="G1291" s="278"/>
      <c r="H1291" s="278"/>
      <c r="I1291" s="279"/>
      <c r="J1291" s="278"/>
      <c r="K1291" s="278"/>
      <c r="L1291" s="278"/>
      <c r="M1291" s="212"/>
    </row>
    <row r="1292" spans="1:13">
      <c r="A1292" s="213"/>
      <c r="B1292" s="278"/>
      <c r="C1292" s="278"/>
      <c r="D1292" s="278"/>
      <c r="E1292" s="279"/>
      <c r="F1292" s="278"/>
      <c r="G1292" s="278"/>
      <c r="H1292" s="278"/>
      <c r="I1292" s="279"/>
      <c r="J1292" s="278"/>
      <c r="K1292" s="278"/>
      <c r="L1292" s="278"/>
      <c r="M1292" s="212"/>
    </row>
    <row r="1293" spans="1:13">
      <c r="A1293" s="213"/>
      <c r="B1293" s="278"/>
      <c r="C1293" s="278"/>
      <c r="D1293" s="278"/>
      <c r="E1293" s="279"/>
      <c r="F1293" s="278"/>
      <c r="G1293" s="278"/>
      <c r="H1293" s="278"/>
      <c r="I1293" s="279"/>
      <c r="J1293" s="278"/>
      <c r="K1293" s="278"/>
      <c r="L1293" s="278"/>
      <c r="M1293" s="212"/>
    </row>
    <row r="1294" spans="1:13">
      <c r="A1294" s="213"/>
      <c r="B1294" s="279"/>
      <c r="C1294" s="279"/>
      <c r="D1294" s="279"/>
      <c r="E1294" s="279"/>
      <c r="F1294" s="279"/>
      <c r="G1294" s="279"/>
      <c r="H1294" s="279"/>
      <c r="I1294" s="279"/>
      <c r="J1294" s="279"/>
      <c r="K1294" s="279"/>
      <c r="L1294" s="279"/>
      <c r="M1294" s="212"/>
    </row>
    <row r="1295" spans="1:13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6"/>
      <c r="M1295" s="212"/>
    </row>
    <row r="1296" spans="1:13">
      <c r="A1296" s="213"/>
      <c r="B1296" s="213"/>
      <c r="C1296" s="213"/>
      <c r="D1296" s="213"/>
      <c r="E1296" s="213"/>
      <c r="F1296" s="213"/>
      <c r="G1296" s="213"/>
      <c r="H1296" s="213"/>
      <c r="I1296" s="213"/>
      <c r="J1296" s="213"/>
      <c r="K1296" s="213"/>
      <c r="L1296" s="260"/>
      <c r="M1296" s="212"/>
    </row>
    <row r="1297" spans="1:13" ht="12.95">
      <c r="A1297" s="234"/>
      <c r="B1297" s="217"/>
      <c r="C1297" s="217"/>
      <c r="D1297" s="217"/>
      <c r="E1297" s="217"/>
      <c r="F1297" s="217"/>
      <c r="G1297" s="217"/>
      <c r="H1297" s="217"/>
      <c r="I1297" s="217"/>
      <c r="J1297" s="217"/>
      <c r="K1297" s="217"/>
      <c r="L1297" s="212"/>
      <c r="M1297" s="212"/>
    </row>
    <row r="1298" spans="1:13" ht="12.95">
      <c r="A1298" s="217"/>
      <c r="B1298" s="367"/>
      <c r="C1298" s="367"/>
      <c r="D1298" s="367"/>
      <c r="E1298" s="229"/>
      <c r="F1298" s="367"/>
      <c r="G1298" s="367"/>
      <c r="H1298" s="367"/>
      <c r="I1298" s="229"/>
      <c r="J1298" s="367"/>
      <c r="K1298" s="367"/>
      <c r="L1298" s="367"/>
      <c r="M1298" s="212"/>
    </row>
    <row r="1299" spans="1:13" ht="12.95">
      <c r="A1299" s="234"/>
      <c r="B1299" s="235"/>
      <c r="C1299" s="235"/>
      <c r="D1299" s="235"/>
      <c r="E1299" s="235"/>
      <c r="F1299" s="235"/>
      <c r="G1299" s="235"/>
      <c r="H1299" s="235"/>
      <c r="I1299" s="235"/>
      <c r="J1299" s="235"/>
      <c r="K1299" s="235"/>
      <c r="L1299" s="235"/>
      <c r="M1299" s="212"/>
    </row>
    <row r="1300" spans="1:13" ht="12.95">
      <c r="A1300" s="234"/>
      <c r="B1300" s="235"/>
      <c r="C1300" s="235"/>
      <c r="D1300" s="235"/>
      <c r="E1300" s="235"/>
      <c r="F1300" s="235"/>
      <c r="G1300" s="235"/>
      <c r="H1300" s="235"/>
      <c r="I1300" s="235"/>
      <c r="J1300" s="235"/>
      <c r="K1300" s="235"/>
      <c r="L1300" s="235"/>
      <c r="M1300" s="212"/>
    </row>
    <row r="1301" spans="1:13">
      <c r="A1301" s="213"/>
      <c r="B1301" s="278"/>
      <c r="C1301" s="278"/>
      <c r="D1301" s="278"/>
      <c r="E1301" s="279"/>
      <c r="F1301" s="278"/>
      <c r="G1301" s="278"/>
      <c r="H1301" s="278"/>
      <c r="I1301" s="279"/>
      <c r="J1301" s="278"/>
      <c r="K1301" s="278"/>
      <c r="L1301" s="278"/>
      <c r="M1301" s="212"/>
    </row>
    <row r="1302" spans="1:13">
      <c r="A1302" s="213"/>
      <c r="B1302" s="278"/>
      <c r="C1302" s="278"/>
      <c r="D1302" s="278"/>
      <c r="E1302" s="279"/>
      <c r="F1302" s="278"/>
      <c r="G1302" s="278"/>
      <c r="H1302" s="278"/>
      <c r="I1302" s="279"/>
      <c r="J1302" s="278"/>
      <c r="K1302" s="278"/>
      <c r="L1302" s="278"/>
      <c r="M1302" s="212"/>
    </row>
    <row r="1303" spans="1:13">
      <c r="A1303" s="213"/>
      <c r="B1303" s="278"/>
      <c r="C1303" s="278"/>
      <c r="D1303" s="278"/>
      <c r="E1303" s="279"/>
      <c r="F1303" s="278"/>
      <c r="G1303" s="278"/>
      <c r="H1303" s="278"/>
      <c r="I1303" s="279"/>
      <c r="J1303" s="278"/>
      <c r="K1303" s="278"/>
      <c r="L1303" s="278"/>
      <c r="M1303" s="212"/>
    </row>
    <row r="1304" spans="1:13">
      <c r="A1304" s="213"/>
      <c r="B1304" s="278"/>
      <c r="C1304" s="278"/>
      <c r="D1304" s="278"/>
      <c r="E1304" s="279"/>
      <c r="F1304" s="278"/>
      <c r="G1304" s="278"/>
      <c r="H1304" s="278"/>
      <c r="I1304" s="279"/>
      <c r="J1304" s="278"/>
      <c r="K1304" s="278"/>
      <c r="L1304" s="278"/>
      <c r="M1304" s="212"/>
    </row>
    <row r="1305" spans="1:13">
      <c r="A1305" s="213"/>
      <c r="B1305" s="278"/>
      <c r="C1305" s="278"/>
      <c r="D1305" s="278"/>
      <c r="E1305" s="279"/>
      <c r="F1305" s="278"/>
      <c r="G1305" s="278"/>
      <c r="H1305" s="278"/>
      <c r="I1305" s="279"/>
      <c r="J1305" s="278"/>
      <c r="K1305" s="278"/>
      <c r="L1305" s="278"/>
      <c r="M1305" s="212"/>
    </row>
    <row r="1306" spans="1:13">
      <c r="A1306" s="213"/>
      <c r="B1306" s="278"/>
      <c r="C1306" s="278"/>
      <c r="D1306" s="278"/>
      <c r="E1306" s="279"/>
      <c r="F1306" s="278"/>
      <c r="G1306" s="278"/>
      <c r="H1306" s="278"/>
      <c r="I1306" s="279"/>
      <c r="J1306" s="278"/>
      <c r="K1306" s="278"/>
      <c r="L1306" s="278"/>
      <c r="M1306" s="212"/>
    </row>
    <row r="1307" spans="1:13">
      <c r="A1307" s="213"/>
      <c r="B1307" s="278"/>
      <c r="C1307" s="278"/>
      <c r="D1307" s="278"/>
      <c r="E1307" s="279"/>
      <c r="F1307" s="278"/>
      <c r="G1307" s="278"/>
      <c r="H1307" s="278"/>
      <c r="I1307" s="279"/>
      <c r="J1307" s="278"/>
      <c r="K1307" s="278"/>
      <c r="L1307" s="278"/>
      <c r="M1307" s="212"/>
    </row>
    <row r="1308" spans="1:13">
      <c r="A1308" s="213"/>
      <c r="B1308" s="278"/>
      <c r="C1308" s="278"/>
      <c r="D1308" s="278"/>
      <c r="E1308" s="279"/>
      <c r="F1308" s="278"/>
      <c r="G1308" s="278"/>
      <c r="H1308" s="278"/>
      <c r="I1308" s="279"/>
      <c r="J1308" s="278"/>
      <c r="K1308" s="278"/>
      <c r="L1308" s="278"/>
      <c r="M1308" s="212"/>
    </row>
    <row r="1309" spans="1:13">
      <c r="A1309" s="213"/>
      <c r="B1309" s="278"/>
      <c r="C1309" s="278"/>
      <c r="D1309" s="278"/>
      <c r="E1309" s="279"/>
      <c r="F1309" s="278"/>
      <c r="G1309" s="278"/>
      <c r="H1309" s="278"/>
      <c r="I1309" s="279"/>
      <c r="J1309" s="278"/>
      <c r="K1309" s="278"/>
      <c r="L1309" s="278"/>
      <c r="M1309" s="212"/>
    </row>
    <row r="1310" spans="1:13">
      <c r="A1310" s="213"/>
      <c r="B1310" s="278"/>
      <c r="C1310" s="278"/>
      <c r="D1310" s="278"/>
      <c r="E1310" s="279"/>
      <c r="F1310" s="278"/>
      <c r="G1310" s="278"/>
      <c r="H1310" s="278"/>
      <c r="I1310" s="279"/>
      <c r="J1310" s="278"/>
      <c r="K1310" s="278"/>
      <c r="L1310" s="278"/>
      <c r="M1310" s="212"/>
    </row>
    <row r="1311" spans="1:13">
      <c r="A1311" s="213"/>
      <c r="B1311" s="279"/>
      <c r="C1311" s="279"/>
      <c r="D1311" s="279"/>
      <c r="E1311" s="279"/>
      <c r="F1311" s="279"/>
      <c r="G1311" s="279"/>
      <c r="H1311" s="279"/>
      <c r="I1311" s="279"/>
      <c r="J1311" s="279"/>
      <c r="K1311" s="279"/>
      <c r="L1311" s="279"/>
      <c r="M1311" s="212"/>
    </row>
    <row r="1312" spans="1:13">
      <c r="A1312" s="213"/>
      <c r="B1312" s="213"/>
      <c r="C1312" s="213"/>
      <c r="D1312" s="213"/>
      <c r="E1312" s="213"/>
      <c r="F1312" s="213"/>
      <c r="G1312" s="213"/>
      <c r="H1312" s="213"/>
      <c r="I1312" s="213"/>
      <c r="J1312" s="213"/>
      <c r="K1312" s="213"/>
      <c r="L1312" s="216"/>
      <c r="M1312" s="212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6"/>
  <cols>
    <col min="1" max="1" width="39.28515625" customWidth="1"/>
    <col min="2" max="2" width="6.7109375" bestFit="1" customWidth="1"/>
    <col min="3" max="4" width="5.7109375" bestFit="1" customWidth="1"/>
    <col min="5" max="5" width="6.7109375" bestFit="1" customWidth="1"/>
    <col min="6" max="6" width="2.85546875" customWidth="1"/>
    <col min="7" max="7" width="6.7109375" bestFit="1" customWidth="1"/>
    <col min="8" max="9" width="5.7109375" bestFit="1" customWidth="1"/>
    <col min="10" max="10" width="6.7109375" bestFit="1" customWidth="1"/>
    <col min="11" max="11" width="2.85546875" customWidth="1"/>
    <col min="12" max="12" width="6.7109375" bestFit="1" customWidth="1"/>
    <col min="13" max="14" width="5.7109375" bestFit="1" customWidth="1"/>
    <col min="15" max="15" width="6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6">
      <c r="A1" s="17" t="str">
        <f>CONCATENATE("Occupation Table 5  Employment Change by Status (SOC 2020), ",B$5,"-",L$5,", ",Info!B5)</f>
        <v>Occupation Table 5  Employment Change by Status (SOC 2020), 2015-2035, England</v>
      </c>
      <c r="Q1" s="17" t="str">
        <f>CONCATENATE("Occupation Table 5.1  Males: Employment Change by Status (SOC 2020), ",B$5,"-",L$5,", ",Info!B5)</f>
        <v>Occupation Table 5.1  Males: Employment Change by Status (SOC 2020), 2015-2035, England</v>
      </c>
      <c r="AG1" s="17" t="str">
        <f>CONCATENATE("Occupation Table 5.2  Females: Employment Change by Status (SOC 2020), ",R$5,"-",AB$5,", ",Info!B5)</f>
        <v>Occupation Table 5.2  Females: Employment Change by Status (SOC 2020), 2015-2035, England</v>
      </c>
    </row>
    <row r="2" spans="1:47" ht="12.95">
      <c r="A2" s="1" t="s">
        <v>175</v>
      </c>
    </row>
    <row r="3" spans="1:47">
      <c r="O3" s="15" t="s">
        <v>114</v>
      </c>
      <c r="AE3" s="15" t="s">
        <v>114</v>
      </c>
      <c r="AU3" s="15" t="s">
        <v>114</v>
      </c>
    </row>
    <row r="4" spans="1:47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</row>
    <row r="5" spans="1:47" ht="12.95">
      <c r="B5" s="370">
        <v>2015</v>
      </c>
      <c r="C5" s="370"/>
      <c r="D5" s="370"/>
      <c r="E5" s="370"/>
      <c r="F5" s="1"/>
      <c r="G5" s="370">
        <v>2020</v>
      </c>
      <c r="H5" s="370"/>
      <c r="I5" s="370"/>
      <c r="J5" s="370"/>
      <c r="K5" s="1"/>
      <c r="L5" s="370">
        <v>2035</v>
      </c>
      <c r="M5" s="370"/>
      <c r="N5" s="370"/>
      <c r="O5" s="370"/>
      <c r="R5" s="370">
        <f>B5</f>
        <v>2015</v>
      </c>
      <c r="S5" s="370"/>
      <c r="T5" s="370"/>
      <c r="U5" s="370"/>
      <c r="V5" s="1"/>
      <c r="W5" s="370">
        <f>G5</f>
        <v>2020</v>
      </c>
      <c r="X5" s="370"/>
      <c r="Y5" s="370"/>
      <c r="Z5" s="370"/>
      <c r="AA5" s="1"/>
      <c r="AB5" s="370">
        <f>L5</f>
        <v>2035</v>
      </c>
      <c r="AC5" s="370"/>
      <c r="AD5" s="370"/>
      <c r="AE5" s="370"/>
      <c r="AH5" s="370">
        <f>B5</f>
        <v>2015</v>
      </c>
      <c r="AI5" s="370"/>
      <c r="AJ5" s="370"/>
      <c r="AK5" s="370"/>
      <c r="AL5" s="1"/>
      <c r="AM5" s="370">
        <f>G5</f>
        <v>2020</v>
      </c>
      <c r="AN5" s="370"/>
      <c r="AO5" s="370"/>
      <c r="AP5" s="370"/>
      <c r="AQ5" s="1"/>
      <c r="AR5" s="370">
        <f>L5</f>
        <v>2035</v>
      </c>
      <c r="AS5" s="370"/>
      <c r="AT5" s="370"/>
      <c r="AU5" s="370"/>
    </row>
    <row r="6" spans="1:47" ht="12.95">
      <c r="A6" s="31" t="s">
        <v>115</v>
      </c>
      <c r="B6" s="308" t="s">
        <v>139</v>
      </c>
      <c r="C6" s="308" t="s">
        <v>140</v>
      </c>
      <c r="D6" s="308" t="s">
        <v>141</v>
      </c>
      <c r="E6" s="308" t="s">
        <v>119</v>
      </c>
      <c r="F6" s="309"/>
      <c r="G6" s="308" t="s">
        <v>139</v>
      </c>
      <c r="H6" s="308" t="s">
        <v>140</v>
      </c>
      <c r="I6" s="308" t="s">
        <v>141</v>
      </c>
      <c r="J6" s="308" t="s">
        <v>119</v>
      </c>
      <c r="K6" s="309"/>
      <c r="L6" s="308" t="s">
        <v>139</v>
      </c>
      <c r="M6" s="308" t="s">
        <v>140</v>
      </c>
      <c r="N6" s="308" t="s">
        <v>141</v>
      </c>
      <c r="O6" s="308" t="s">
        <v>119</v>
      </c>
      <c r="Q6" s="31" t="s">
        <v>115</v>
      </c>
      <c r="R6" s="308" t="s">
        <v>139</v>
      </c>
      <c r="S6" s="308" t="s">
        <v>140</v>
      </c>
      <c r="T6" s="308" t="s">
        <v>141</v>
      </c>
      <c r="U6" s="308" t="s">
        <v>119</v>
      </c>
      <c r="V6" s="309"/>
      <c r="W6" s="308" t="s">
        <v>139</v>
      </c>
      <c r="X6" s="308" t="s">
        <v>140</v>
      </c>
      <c r="Y6" s="308" t="s">
        <v>141</v>
      </c>
      <c r="Z6" s="308" t="s">
        <v>119</v>
      </c>
      <c r="AA6" s="309"/>
      <c r="AB6" s="308" t="s">
        <v>139</v>
      </c>
      <c r="AC6" s="308" t="s">
        <v>140</v>
      </c>
      <c r="AD6" s="308" t="s">
        <v>141</v>
      </c>
      <c r="AE6" s="308" t="s">
        <v>119</v>
      </c>
      <c r="AG6" s="31" t="s">
        <v>115</v>
      </c>
      <c r="AH6" s="308" t="s">
        <v>139</v>
      </c>
      <c r="AI6" s="308" t="s">
        <v>140</v>
      </c>
      <c r="AJ6" s="308" t="s">
        <v>141</v>
      </c>
      <c r="AK6" s="308" t="s">
        <v>119</v>
      </c>
      <c r="AL6" s="309"/>
      <c r="AM6" s="308" t="s">
        <v>139</v>
      </c>
      <c r="AN6" s="308" t="s">
        <v>140</v>
      </c>
      <c r="AO6" s="308" t="s">
        <v>141</v>
      </c>
      <c r="AP6" s="308" t="s">
        <v>119</v>
      </c>
      <c r="AQ6" s="309"/>
      <c r="AR6" s="308" t="s">
        <v>139</v>
      </c>
      <c r="AS6" s="308" t="s">
        <v>140</v>
      </c>
      <c r="AT6" s="308" t="s">
        <v>141</v>
      </c>
      <c r="AU6" s="308" t="s">
        <v>119</v>
      </c>
    </row>
    <row r="7" spans="1:47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>
      <c r="A8" t="str">
        <f>name!E4</f>
        <v>Managers, directors and senior officials</v>
      </c>
      <c r="B8" s="11">
        <v>2033.1336136421753</v>
      </c>
      <c r="C8" s="11">
        <v>284.27968046921268</v>
      </c>
      <c r="D8" s="11">
        <v>505.54167250934313</v>
      </c>
      <c r="E8" s="11">
        <f>SUM(B8:D8)</f>
        <v>2822.9549666207313</v>
      </c>
      <c r="F8" s="11"/>
      <c r="G8" s="11">
        <v>2307.0394264447737</v>
      </c>
      <c r="H8" s="11">
        <v>437.11863135363302</v>
      </c>
      <c r="I8" s="11">
        <v>563.35570195266905</v>
      </c>
      <c r="J8" s="11">
        <f>SUM(G8:I8)</f>
        <v>3307.5137597510757</v>
      </c>
      <c r="K8" s="11"/>
      <c r="L8" s="11">
        <v>2286.2016519510512</v>
      </c>
      <c r="M8" s="11">
        <v>524.58961371648195</v>
      </c>
      <c r="N8" s="11">
        <v>641.58195648650781</v>
      </c>
      <c r="O8" s="11">
        <f>SUM(L8:N8)</f>
        <v>3452.3732221540408</v>
      </c>
      <c r="Q8" s="10" t="str">
        <f>name!E4</f>
        <v>Managers, directors and senior officials</v>
      </c>
      <c r="R8" s="11">
        <v>1430.1777301581512</v>
      </c>
      <c r="S8" s="11">
        <v>105.48755303938539</v>
      </c>
      <c r="T8" s="11">
        <v>338.12894425384155</v>
      </c>
      <c r="U8" s="11">
        <f>SUM(R8:T8)</f>
        <v>1873.7942274513782</v>
      </c>
      <c r="V8" s="11"/>
      <c r="W8" s="11">
        <v>1583.6836828919756</v>
      </c>
      <c r="X8" s="11">
        <v>166.26639623636129</v>
      </c>
      <c r="Y8" s="11">
        <v>348.51953166159308</v>
      </c>
      <c r="Z8" s="11">
        <f>SUM(W8:Y8)</f>
        <v>2098.4696107899299</v>
      </c>
      <c r="AA8" s="11"/>
      <c r="AB8" s="11">
        <v>1521.2286939949042</v>
      </c>
      <c r="AC8" s="11">
        <v>181.36514154861209</v>
      </c>
      <c r="AD8" s="11">
        <v>406.48948825100183</v>
      </c>
      <c r="AE8" s="11">
        <f>SUM(AB8:AD8)</f>
        <v>2109.083323794518</v>
      </c>
      <c r="AG8" s="10" t="str">
        <f>name!E4</f>
        <v>Managers, directors and senior officials</v>
      </c>
      <c r="AH8" s="11">
        <v>602.95588348402123</v>
      </c>
      <c r="AI8" s="11">
        <v>178.79212742982725</v>
      </c>
      <c r="AJ8" s="11">
        <v>167.41272825550104</v>
      </c>
      <c r="AK8" s="11">
        <f>SUM(AH8:AJ8)</f>
        <v>949.16073916934954</v>
      </c>
      <c r="AL8" s="11"/>
      <c r="AM8" s="11">
        <v>723.35574355280028</v>
      </c>
      <c r="AN8" s="11">
        <v>270.8522351172715</v>
      </c>
      <c r="AO8" s="11">
        <v>214.83617029107617</v>
      </c>
      <c r="AP8" s="11">
        <f>SUM(AM8:AO8)</f>
        <v>1209.0441489611478</v>
      </c>
      <c r="AQ8" s="11"/>
      <c r="AR8" s="11">
        <v>764.97295795614491</v>
      </c>
      <c r="AS8" s="11">
        <v>343.22447216786981</v>
      </c>
      <c r="AT8" s="11">
        <v>235.09246823550575</v>
      </c>
      <c r="AU8" s="11">
        <f>SUM(AR8:AT8)</f>
        <v>1343.2898983595205</v>
      </c>
    </row>
    <row r="9" spans="1:47">
      <c r="A9" t="str">
        <f>name!E5</f>
        <v>Professional occupations</v>
      </c>
      <c r="B9" s="11">
        <v>4123.1584970347039</v>
      </c>
      <c r="C9" s="11">
        <v>1074.9351653229644</v>
      </c>
      <c r="D9" s="11">
        <v>715.15011968548595</v>
      </c>
      <c r="E9" s="11">
        <f t="shared" ref="E9:E18" si="0">SUM(B9:D9)</f>
        <v>5913.2437820431542</v>
      </c>
      <c r="F9" s="11"/>
      <c r="G9" s="11">
        <v>4960.2820809264331</v>
      </c>
      <c r="H9" s="11">
        <v>1334.3806432547319</v>
      </c>
      <c r="I9" s="11">
        <v>757.71611180594448</v>
      </c>
      <c r="J9" s="11">
        <f t="shared" ref="J9:J16" si="1">SUM(G9:I9)</f>
        <v>7052.3788359871096</v>
      </c>
      <c r="K9" s="11"/>
      <c r="L9" s="11">
        <v>6017.0478366389862</v>
      </c>
      <c r="M9" s="11">
        <v>1602.3414150381016</v>
      </c>
      <c r="N9" s="11">
        <v>767.76931690296226</v>
      </c>
      <c r="O9" s="11">
        <f t="shared" ref="O9:O16" si="2">SUM(L9:N9)</f>
        <v>8387.1585685800492</v>
      </c>
      <c r="Q9" s="10" t="str">
        <f>name!E5</f>
        <v>Professional occupations</v>
      </c>
      <c r="R9" s="11">
        <v>2404.5746559651561</v>
      </c>
      <c r="S9" s="11">
        <v>212.66449840609158</v>
      </c>
      <c r="T9" s="11">
        <v>455.15008860605457</v>
      </c>
      <c r="U9" s="11">
        <f t="shared" ref="U9:U16" si="3">SUM(R9:T9)</f>
        <v>3072.3892429773023</v>
      </c>
      <c r="V9" s="11"/>
      <c r="W9" s="11">
        <v>2838.3092116140228</v>
      </c>
      <c r="X9" s="11">
        <v>318.08406638121704</v>
      </c>
      <c r="Y9" s="11">
        <v>428.86152596852452</v>
      </c>
      <c r="Z9" s="11">
        <f t="shared" ref="Z9:Z16" si="4">SUM(W9:Y9)</f>
        <v>3585.2548039637641</v>
      </c>
      <c r="AA9" s="11"/>
      <c r="AB9" s="11">
        <v>3493.651991281612</v>
      </c>
      <c r="AC9" s="11">
        <v>442.69580749065557</v>
      </c>
      <c r="AD9" s="11">
        <v>394.7354244681602</v>
      </c>
      <c r="AE9" s="11">
        <f t="shared" ref="AE9:AE16" si="5">SUM(AB9:AD9)</f>
        <v>4331.0832232404282</v>
      </c>
      <c r="AG9" s="10" t="str">
        <f>name!E5</f>
        <v>Professional occupations</v>
      </c>
      <c r="AH9" s="11">
        <v>1718.5838410695501</v>
      </c>
      <c r="AI9" s="11">
        <v>862.2706669168731</v>
      </c>
      <c r="AJ9" s="11">
        <v>260.00003107943081</v>
      </c>
      <c r="AK9" s="11">
        <f t="shared" ref="AK9:AK18" si="6">SUM(AH9:AJ9)</f>
        <v>2840.8545390658542</v>
      </c>
      <c r="AL9" s="11"/>
      <c r="AM9" s="11">
        <v>2121.9728693124084</v>
      </c>
      <c r="AN9" s="11">
        <v>1016.2965768735151</v>
      </c>
      <c r="AO9" s="11">
        <v>328.85458583741973</v>
      </c>
      <c r="AP9" s="11">
        <f t="shared" ref="AP9:AP18" si="7">SUM(AM9:AO9)</f>
        <v>3467.1240320233433</v>
      </c>
      <c r="AQ9" s="11"/>
      <c r="AR9" s="11">
        <v>2523.395845357375</v>
      </c>
      <c r="AS9" s="11">
        <v>1159.6456075474462</v>
      </c>
      <c r="AT9" s="11">
        <v>373.03389243480188</v>
      </c>
      <c r="AU9" s="11">
        <f t="shared" ref="AU9:AU18" si="8">SUM(AR9:AT9)</f>
        <v>4056.0753453396233</v>
      </c>
    </row>
    <row r="10" spans="1:47">
      <c r="A10" t="str">
        <f>name!E6</f>
        <v>Associate professional occupations</v>
      </c>
      <c r="B10" s="11">
        <v>2434.5962958748069</v>
      </c>
      <c r="C10" s="11">
        <v>667.45717460780054</v>
      </c>
      <c r="D10" s="11">
        <v>571.02539290509083</v>
      </c>
      <c r="E10" s="11">
        <f t="shared" si="0"/>
        <v>3673.0788633876982</v>
      </c>
      <c r="F10" s="11"/>
      <c r="G10" s="11">
        <v>2787.6072348872844</v>
      </c>
      <c r="H10" s="11">
        <v>786.94974912634552</v>
      </c>
      <c r="I10" s="11">
        <v>573.96293812207387</v>
      </c>
      <c r="J10" s="11">
        <f t="shared" si="1"/>
        <v>4148.5199221357034</v>
      </c>
      <c r="K10" s="11"/>
      <c r="L10" s="11">
        <v>3158.117214805347</v>
      </c>
      <c r="M10" s="11">
        <v>992.2296745963605</v>
      </c>
      <c r="N10" s="11">
        <v>622.78930575296044</v>
      </c>
      <c r="O10" s="11">
        <f t="shared" si="2"/>
        <v>4773.1361951546678</v>
      </c>
      <c r="Q10" s="10" t="str">
        <f>name!E6</f>
        <v>Associate professional occupations</v>
      </c>
      <c r="R10" s="11">
        <v>1521.5072897453051</v>
      </c>
      <c r="S10" s="11">
        <v>168.49491679458598</v>
      </c>
      <c r="T10" s="11">
        <v>302.8254983241863</v>
      </c>
      <c r="U10" s="11">
        <f t="shared" si="3"/>
        <v>1992.8277048640775</v>
      </c>
      <c r="V10" s="11"/>
      <c r="W10" s="11">
        <v>1687.9891309820866</v>
      </c>
      <c r="X10" s="11">
        <v>228.42510772738456</v>
      </c>
      <c r="Y10" s="11">
        <v>281.41967621160779</v>
      </c>
      <c r="Z10" s="11">
        <f t="shared" si="4"/>
        <v>2197.8339149210788</v>
      </c>
      <c r="AA10" s="11"/>
      <c r="AB10" s="11">
        <v>1655.7288767614803</v>
      </c>
      <c r="AC10" s="11">
        <v>246.30776336780607</v>
      </c>
      <c r="AD10" s="11">
        <v>305.79184427744963</v>
      </c>
      <c r="AE10" s="11">
        <f t="shared" si="5"/>
        <v>2207.8284844067357</v>
      </c>
      <c r="AG10" s="10" t="str">
        <f>name!E6</f>
        <v>Associate professional occupations</v>
      </c>
      <c r="AH10" s="11">
        <v>913.08900612949924</v>
      </c>
      <c r="AI10" s="11">
        <v>498.96225781321465</v>
      </c>
      <c r="AJ10" s="11">
        <v>268.19989458090453</v>
      </c>
      <c r="AK10" s="11">
        <f t="shared" si="6"/>
        <v>1680.2511585236184</v>
      </c>
      <c r="AL10" s="11"/>
      <c r="AM10" s="11">
        <v>1099.6181039051992</v>
      </c>
      <c r="AN10" s="11">
        <v>558.52464139896142</v>
      </c>
      <c r="AO10" s="11">
        <v>292.5432619104655</v>
      </c>
      <c r="AP10" s="11">
        <f t="shared" si="7"/>
        <v>1950.686007214626</v>
      </c>
      <c r="AQ10" s="11"/>
      <c r="AR10" s="11">
        <v>1502.3883380438667</v>
      </c>
      <c r="AS10" s="11">
        <v>745.92191122855434</v>
      </c>
      <c r="AT10" s="11">
        <v>316.99746147551105</v>
      </c>
      <c r="AU10" s="11">
        <f t="shared" si="8"/>
        <v>2565.3077107479321</v>
      </c>
    </row>
    <row r="11" spans="1:47">
      <c r="A11" t="str">
        <f>name!E7</f>
        <v>Administrative and secretarial occupations</v>
      </c>
      <c r="B11" s="11">
        <v>1782.1006477024632</v>
      </c>
      <c r="C11" s="11">
        <v>1227.7272050259817</v>
      </c>
      <c r="D11" s="11">
        <v>139.66590791834128</v>
      </c>
      <c r="E11" s="11">
        <f t="shared" si="0"/>
        <v>3149.4937606467861</v>
      </c>
      <c r="F11" s="11"/>
      <c r="G11" s="11">
        <v>1783.2474036576598</v>
      </c>
      <c r="H11" s="11">
        <v>1225.9787479466843</v>
      </c>
      <c r="I11" s="11">
        <v>130.38033702607436</v>
      </c>
      <c r="J11" s="11">
        <f t="shared" si="1"/>
        <v>3139.6064886304184</v>
      </c>
      <c r="K11" s="11"/>
      <c r="L11" s="11">
        <v>1771.359219157941</v>
      </c>
      <c r="M11" s="11">
        <v>1107.6941161225579</v>
      </c>
      <c r="N11" s="11">
        <v>127.27087803918214</v>
      </c>
      <c r="O11" s="11">
        <f t="shared" si="2"/>
        <v>3006.3242133196809</v>
      </c>
      <c r="Q11" s="10" t="str">
        <f>name!E7</f>
        <v>Administrative and secretarial occupations</v>
      </c>
      <c r="R11" s="11">
        <v>582.93244424718387</v>
      </c>
      <c r="S11" s="11">
        <v>151.9890701050312</v>
      </c>
      <c r="T11" s="11">
        <v>39.008513172991115</v>
      </c>
      <c r="U11" s="11">
        <f t="shared" si="3"/>
        <v>773.93002752520624</v>
      </c>
      <c r="V11" s="11"/>
      <c r="W11" s="11">
        <v>635.34195271513261</v>
      </c>
      <c r="X11" s="11">
        <v>187.70623188707361</v>
      </c>
      <c r="Y11" s="11">
        <v>31.1063956878704</v>
      </c>
      <c r="Z11" s="11">
        <f t="shared" si="4"/>
        <v>854.15458029007664</v>
      </c>
      <c r="AA11" s="11"/>
      <c r="AB11" s="11">
        <v>780.93348391328982</v>
      </c>
      <c r="AC11" s="11">
        <v>180.69126709458212</v>
      </c>
      <c r="AD11" s="11">
        <v>41.44690388745601</v>
      </c>
      <c r="AE11" s="11">
        <f t="shared" si="5"/>
        <v>1003.0716548953279</v>
      </c>
      <c r="AG11" s="10" t="str">
        <f>name!E7</f>
        <v>Administrative and secretarial occupations</v>
      </c>
      <c r="AH11" s="11">
        <v>1199.1682034552798</v>
      </c>
      <c r="AI11" s="11">
        <v>1075.7381349209504</v>
      </c>
      <c r="AJ11" s="11">
        <v>100.65739474535026</v>
      </c>
      <c r="AK11" s="11">
        <f t="shared" si="6"/>
        <v>2375.5637331215808</v>
      </c>
      <c r="AL11" s="11"/>
      <c r="AM11" s="11">
        <v>1147.9054509425273</v>
      </c>
      <c r="AN11" s="11">
        <v>1038.2725160596103</v>
      </c>
      <c r="AO11" s="11">
        <v>99.273941338204011</v>
      </c>
      <c r="AP11" s="11">
        <f t="shared" si="7"/>
        <v>2285.451908340342</v>
      </c>
      <c r="AQ11" s="11"/>
      <c r="AR11" s="11">
        <v>990.42573524465013</v>
      </c>
      <c r="AS11" s="11">
        <v>927.00284902797603</v>
      </c>
      <c r="AT11" s="11">
        <v>85.823974151726233</v>
      </c>
      <c r="AU11" s="11">
        <f t="shared" si="8"/>
        <v>2003.2525584243524</v>
      </c>
    </row>
    <row r="12" spans="1:47">
      <c r="A12" t="str">
        <f>name!E8</f>
        <v>Skilled trades occupations</v>
      </c>
      <c r="B12" s="11">
        <v>1686.4039679980388</v>
      </c>
      <c r="C12" s="11">
        <v>270.45964396681092</v>
      </c>
      <c r="D12" s="11">
        <v>932.82734433889289</v>
      </c>
      <c r="E12" s="11">
        <f t="shared" si="0"/>
        <v>2889.6909563037425</v>
      </c>
      <c r="F12" s="11"/>
      <c r="G12" s="11">
        <v>1437.2948851970662</v>
      </c>
      <c r="H12" s="11">
        <v>239.17772383976606</v>
      </c>
      <c r="I12" s="11">
        <v>830.85959188787149</v>
      </c>
      <c r="J12" s="11">
        <f t="shared" si="1"/>
        <v>2507.3322009247036</v>
      </c>
      <c r="K12" s="11"/>
      <c r="L12" s="11">
        <v>1241.0128280473607</v>
      </c>
      <c r="M12" s="11">
        <v>297.18078516299511</v>
      </c>
      <c r="N12" s="11">
        <v>931.56572628686672</v>
      </c>
      <c r="O12" s="11">
        <f t="shared" si="2"/>
        <v>2469.7593394972228</v>
      </c>
      <c r="Q12" s="10" t="str">
        <f>name!E8</f>
        <v>Skilled trades occupations</v>
      </c>
      <c r="R12" s="11">
        <v>1556.4679937327383</v>
      </c>
      <c r="S12" s="11">
        <v>176.77458494829969</v>
      </c>
      <c r="T12" s="11">
        <v>846.6894799880788</v>
      </c>
      <c r="U12" s="11">
        <f t="shared" si="3"/>
        <v>2579.9320586691165</v>
      </c>
      <c r="V12" s="11"/>
      <c r="W12" s="11">
        <v>1304.2120161457781</v>
      </c>
      <c r="X12" s="11">
        <v>150.50708495756638</v>
      </c>
      <c r="Y12" s="11">
        <v>730.39174292948121</v>
      </c>
      <c r="Z12" s="11">
        <f t="shared" si="4"/>
        <v>2185.1108440328258</v>
      </c>
      <c r="AA12" s="11"/>
      <c r="AB12" s="11">
        <v>1092.3187031797393</v>
      </c>
      <c r="AC12" s="11">
        <v>189.62823437904032</v>
      </c>
      <c r="AD12" s="11">
        <v>810.18665378437424</v>
      </c>
      <c r="AE12" s="11">
        <f t="shared" si="5"/>
        <v>2092.133591343154</v>
      </c>
      <c r="AG12" s="10" t="str">
        <f>name!E8</f>
        <v>Skilled trades occupations</v>
      </c>
      <c r="AH12" s="11">
        <v>129.93597426530036</v>
      </c>
      <c r="AI12" s="11">
        <v>93.685059018511637</v>
      </c>
      <c r="AJ12" s="11">
        <v>86.13786435081434</v>
      </c>
      <c r="AK12" s="11">
        <f t="shared" si="6"/>
        <v>309.75889763462635</v>
      </c>
      <c r="AL12" s="11"/>
      <c r="AM12" s="11">
        <v>133.08286905128722</v>
      </c>
      <c r="AN12" s="11">
        <v>88.670638882199796</v>
      </c>
      <c r="AO12" s="11">
        <v>100.46784895839049</v>
      </c>
      <c r="AP12" s="11">
        <f t="shared" si="7"/>
        <v>322.22135689187752</v>
      </c>
      <c r="AQ12" s="11"/>
      <c r="AR12" s="11">
        <v>148.69412486762175</v>
      </c>
      <c r="AS12" s="11">
        <v>107.55255078395459</v>
      </c>
      <c r="AT12" s="11">
        <v>121.37907250249263</v>
      </c>
      <c r="AU12" s="11">
        <f t="shared" si="8"/>
        <v>377.62574815406896</v>
      </c>
    </row>
    <row r="13" spans="1:47">
      <c r="A13" t="str">
        <f>name!E9</f>
        <v>Caring, leisure and other service occupations</v>
      </c>
      <c r="B13" s="11">
        <v>1258.4272347785188</v>
      </c>
      <c r="C13" s="11">
        <v>1161.0224353982612</v>
      </c>
      <c r="D13" s="11">
        <v>267.02727518948569</v>
      </c>
      <c r="E13" s="11">
        <f t="shared" si="0"/>
        <v>2686.4769453662661</v>
      </c>
      <c r="F13" s="11"/>
      <c r="G13" s="11">
        <v>1232.4581491823615</v>
      </c>
      <c r="H13" s="11">
        <v>1146.5522382644488</v>
      </c>
      <c r="I13" s="11">
        <v>299.49424069128429</v>
      </c>
      <c r="J13" s="11">
        <f t="shared" si="1"/>
        <v>2678.5046281380946</v>
      </c>
      <c r="K13" s="11"/>
      <c r="L13" s="11">
        <v>1413.5027814669604</v>
      </c>
      <c r="M13" s="11">
        <v>1151.7550169808178</v>
      </c>
      <c r="N13" s="11">
        <v>354.69955008867919</v>
      </c>
      <c r="O13" s="11">
        <f t="shared" si="2"/>
        <v>2919.9573485364576</v>
      </c>
      <c r="Q13" s="10" t="str">
        <f>name!E9</f>
        <v>Caring, leisure and other service occupations</v>
      </c>
      <c r="R13" s="11">
        <v>325.19754199723133</v>
      </c>
      <c r="S13" s="11">
        <v>149.39341432778639</v>
      </c>
      <c r="T13" s="11">
        <v>43.64075414393583</v>
      </c>
      <c r="U13" s="11">
        <f t="shared" si="3"/>
        <v>518.23171046895357</v>
      </c>
      <c r="V13" s="11"/>
      <c r="W13" s="11">
        <v>323.13556206207579</v>
      </c>
      <c r="X13" s="11">
        <v>167.57353795680706</v>
      </c>
      <c r="Y13" s="11">
        <v>43.511950491126939</v>
      </c>
      <c r="Z13" s="11">
        <f t="shared" si="4"/>
        <v>534.22105051000983</v>
      </c>
      <c r="AA13" s="11"/>
      <c r="AB13" s="11">
        <v>371.91164274377763</v>
      </c>
      <c r="AC13" s="11">
        <v>224.65350564094953</v>
      </c>
      <c r="AD13" s="11">
        <v>63.783510862731973</v>
      </c>
      <c r="AE13" s="11">
        <f t="shared" si="5"/>
        <v>660.34865924745918</v>
      </c>
      <c r="AG13" s="10" t="str">
        <f>name!E9</f>
        <v>Caring, leisure and other service occupations</v>
      </c>
      <c r="AH13" s="11">
        <v>933.22969278128721</v>
      </c>
      <c r="AI13" s="11">
        <v>1011.6290210704748</v>
      </c>
      <c r="AJ13" s="11">
        <v>223.38652104554984</v>
      </c>
      <c r="AK13" s="11">
        <f t="shared" si="6"/>
        <v>2168.2452348973115</v>
      </c>
      <c r="AL13" s="11"/>
      <c r="AM13" s="11">
        <v>909.32258712028556</v>
      </c>
      <c r="AN13" s="11">
        <v>978.97870030764113</v>
      </c>
      <c r="AO13" s="11">
        <v>255.98229020015739</v>
      </c>
      <c r="AP13" s="11">
        <f t="shared" si="7"/>
        <v>2144.283577628084</v>
      </c>
      <c r="AQ13" s="11"/>
      <c r="AR13" s="11">
        <v>1041.5911387231847</v>
      </c>
      <c r="AS13" s="11">
        <v>927.10151133986847</v>
      </c>
      <c r="AT13" s="11">
        <v>290.91603922594737</v>
      </c>
      <c r="AU13" s="11">
        <f t="shared" si="8"/>
        <v>2259.6086892890007</v>
      </c>
    </row>
    <row r="14" spans="1:47">
      <c r="A14" t="str">
        <f>name!E10</f>
        <v>Sales and customer service occupations</v>
      </c>
      <c r="B14" s="11">
        <v>905.4239826372177</v>
      </c>
      <c r="C14" s="11">
        <v>1380.2188956005582</v>
      </c>
      <c r="D14" s="11">
        <v>166.07178003324969</v>
      </c>
      <c r="E14" s="11">
        <f t="shared" si="0"/>
        <v>2451.7146582710257</v>
      </c>
      <c r="F14" s="11"/>
      <c r="G14" s="11">
        <v>860.1706615097936</v>
      </c>
      <c r="H14" s="11">
        <v>1385.6747046108994</v>
      </c>
      <c r="I14" s="11">
        <v>118.00342227361415</v>
      </c>
      <c r="J14" s="11">
        <f t="shared" si="1"/>
        <v>2363.8487883943071</v>
      </c>
      <c r="K14" s="11"/>
      <c r="L14" s="11">
        <v>859.29613828899437</v>
      </c>
      <c r="M14" s="11">
        <v>1452.095802449539</v>
      </c>
      <c r="N14" s="11">
        <v>96.854672642897143</v>
      </c>
      <c r="O14" s="11">
        <f t="shared" si="2"/>
        <v>2408.2466133814305</v>
      </c>
      <c r="Q14" s="10" t="str">
        <f>name!E10</f>
        <v>Sales and customer service occupations</v>
      </c>
      <c r="R14" s="11">
        <v>451.37059115272052</v>
      </c>
      <c r="S14" s="11">
        <v>427.65913368503971</v>
      </c>
      <c r="T14" s="11">
        <v>96.150742739133008</v>
      </c>
      <c r="U14" s="11">
        <f t="shared" si="3"/>
        <v>975.18046757689319</v>
      </c>
      <c r="V14" s="11"/>
      <c r="W14" s="11">
        <v>440.36159419093474</v>
      </c>
      <c r="X14" s="11">
        <v>462.97378978746679</v>
      </c>
      <c r="Y14" s="11">
        <v>68.304951996994575</v>
      </c>
      <c r="Z14" s="11">
        <f t="shared" si="4"/>
        <v>971.64033597539606</v>
      </c>
      <c r="AA14" s="11"/>
      <c r="AB14" s="11">
        <v>473.65433705436681</v>
      </c>
      <c r="AC14" s="11">
        <v>519.57575012558721</v>
      </c>
      <c r="AD14" s="11">
        <v>61.454877937186652</v>
      </c>
      <c r="AE14" s="11">
        <f t="shared" si="5"/>
        <v>1054.6849651171406</v>
      </c>
      <c r="AG14" s="10" t="str">
        <f>name!E10</f>
        <v>Sales and customer service occupations</v>
      </c>
      <c r="AH14" s="11">
        <v>454.05339148449724</v>
      </c>
      <c r="AI14" s="11">
        <v>952.55976191551929</v>
      </c>
      <c r="AJ14" s="11">
        <v>69.921037294116616</v>
      </c>
      <c r="AK14" s="11">
        <f t="shared" si="6"/>
        <v>1476.534190694133</v>
      </c>
      <c r="AL14" s="11"/>
      <c r="AM14" s="11">
        <v>419.80906731885983</v>
      </c>
      <c r="AN14" s="11">
        <v>922.70091482343446</v>
      </c>
      <c r="AO14" s="11">
        <v>49.698470276619581</v>
      </c>
      <c r="AP14" s="11">
        <f t="shared" si="7"/>
        <v>1392.208452418914</v>
      </c>
      <c r="AQ14" s="11"/>
      <c r="AR14" s="11">
        <v>385.64180123462711</v>
      </c>
      <c r="AS14" s="11">
        <v>932.52005232395004</v>
      </c>
      <c r="AT14" s="11">
        <v>35.39979470571059</v>
      </c>
      <c r="AU14" s="11">
        <f t="shared" si="8"/>
        <v>1353.5616482642877</v>
      </c>
    </row>
    <row r="15" spans="1:47">
      <c r="A15" t="str">
        <f>name!E11</f>
        <v>Process, plant and machine operatives</v>
      </c>
      <c r="B15" s="11">
        <v>1258.8497473739833</v>
      </c>
      <c r="C15" s="11">
        <v>232.12683497411263</v>
      </c>
      <c r="D15" s="11">
        <v>276.3491220160256</v>
      </c>
      <c r="E15" s="11">
        <f t="shared" si="0"/>
        <v>1767.3257043641215</v>
      </c>
      <c r="F15" s="11"/>
      <c r="G15" s="11">
        <v>1092.8556275549515</v>
      </c>
      <c r="H15" s="11">
        <v>276.26162923983384</v>
      </c>
      <c r="I15" s="11">
        <v>296.67204378362442</v>
      </c>
      <c r="J15" s="11">
        <f t="shared" si="1"/>
        <v>1665.7893005784099</v>
      </c>
      <c r="K15" s="11"/>
      <c r="L15" s="11">
        <v>956.08898264985112</v>
      </c>
      <c r="M15" s="11">
        <v>343.64599234544073</v>
      </c>
      <c r="N15" s="11">
        <v>365.23013543066696</v>
      </c>
      <c r="O15" s="11">
        <f t="shared" si="2"/>
        <v>1664.9651104259588</v>
      </c>
      <c r="Q15" s="10" t="str">
        <f>name!E11</f>
        <v>Process, plant and machine operatives</v>
      </c>
      <c r="R15" s="11">
        <v>1124.7546441078389</v>
      </c>
      <c r="S15" s="11">
        <v>172.18369778361398</v>
      </c>
      <c r="T15" s="11">
        <v>248.72049731182784</v>
      </c>
      <c r="U15" s="11">
        <f t="shared" si="3"/>
        <v>1545.6588392032806</v>
      </c>
      <c r="V15" s="11"/>
      <c r="W15" s="11">
        <v>982.22478413415172</v>
      </c>
      <c r="X15" s="11">
        <v>221.41483272203564</v>
      </c>
      <c r="Y15" s="11">
        <v>259.84912716419575</v>
      </c>
      <c r="Z15" s="11">
        <f t="shared" si="4"/>
        <v>1463.4887440203831</v>
      </c>
      <c r="AA15" s="11"/>
      <c r="AB15" s="11">
        <v>834.94282143621274</v>
      </c>
      <c r="AC15" s="11">
        <v>253.78595713294499</v>
      </c>
      <c r="AD15" s="11">
        <v>320.19575264157163</v>
      </c>
      <c r="AE15" s="11">
        <f t="shared" si="5"/>
        <v>1408.9245312107296</v>
      </c>
      <c r="AG15" s="10" t="str">
        <f>name!E11</f>
        <v>Process, plant and machine operatives</v>
      </c>
      <c r="AH15" s="11">
        <v>134.09510326614384</v>
      </c>
      <c r="AI15" s="11">
        <v>59.943137190498369</v>
      </c>
      <c r="AJ15" s="11">
        <v>27.628624704197378</v>
      </c>
      <c r="AK15" s="11">
        <f t="shared" si="6"/>
        <v>221.66686516083956</v>
      </c>
      <c r="AL15" s="11"/>
      <c r="AM15" s="11">
        <v>110.63084342080019</v>
      </c>
      <c r="AN15" s="11">
        <v>54.846796517798332</v>
      </c>
      <c r="AO15" s="11">
        <v>36.822916619428817</v>
      </c>
      <c r="AP15" s="11">
        <f t="shared" si="7"/>
        <v>202.30055655802732</v>
      </c>
      <c r="AQ15" s="11"/>
      <c r="AR15" s="11">
        <v>121.14616121363707</v>
      </c>
      <c r="AS15" s="11">
        <v>89.860035212495632</v>
      </c>
      <c r="AT15" s="11">
        <v>45.034382789095446</v>
      </c>
      <c r="AU15" s="11">
        <f t="shared" si="8"/>
        <v>256.04057921522815</v>
      </c>
    </row>
    <row r="16" spans="1:47">
      <c r="A16" t="str">
        <f>name!E12</f>
        <v>Elementary occupations</v>
      </c>
      <c r="B16" s="11">
        <v>1386.9090129201288</v>
      </c>
      <c r="C16" s="11">
        <v>1691.007964669745</v>
      </c>
      <c r="D16" s="11">
        <v>224.27538540436663</v>
      </c>
      <c r="E16" s="11">
        <f t="shared" si="0"/>
        <v>3302.1923629942403</v>
      </c>
      <c r="F16" s="11"/>
      <c r="G16" s="11">
        <v>1202.2745306265945</v>
      </c>
      <c r="H16" s="11">
        <v>1601.6509323726168</v>
      </c>
      <c r="I16" s="11">
        <v>192.26161245617078</v>
      </c>
      <c r="J16" s="11">
        <f t="shared" si="1"/>
        <v>2996.187075455382</v>
      </c>
      <c r="K16" s="11"/>
      <c r="L16" s="11">
        <v>1312.436347013663</v>
      </c>
      <c r="M16" s="11">
        <v>1413.356583571041</v>
      </c>
      <c r="N16" s="11">
        <v>262.37745837832284</v>
      </c>
      <c r="O16" s="11">
        <f t="shared" si="2"/>
        <v>2988.1703889630267</v>
      </c>
      <c r="Q16" s="10" t="str">
        <f>name!E12</f>
        <v>Elementary occupations</v>
      </c>
      <c r="R16" s="11">
        <v>1025.8651088763443</v>
      </c>
      <c r="S16" s="11">
        <v>622.43413092181424</v>
      </c>
      <c r="T16" s="11">
        <v>117.05048146673846</v>
      </c>
      <c r="U16" s="11">
        <f t="shared" si="3"/>
        <v>1765.3497212648967</v>
      </c>
      <c r="V16" s="11"/>
      <c r="W16" s="11">
        <v>879.71706525840727</v>
      </c>
      <c r="X16" s="11">
        <v>603.61195234588251</v>
      </c>
      <c r="Y16" s="11">
        <v>106.01309789250564</v>
      </c>
      <c r="Z16" s="11">
        <f t="shared" si="4"/>
        <v>1589.3421154967953</v>
      </c>
      <c r="AA16" s="11"/>
      <c r="AB16" s="11">
        <v>929.75244963190073</v>
      </c>
      <c r="AC16" s="11">
        <v>547.78057322138068</v>
      </c>
      <c r="AD16" s="11">
        <v>138.81554389310008</v>
      </c>
      <c r="AE16" s="11">
        <f t="shared" si="5"/>
        <v>1616.3485667463815</v>
      </c>
      <c r="AG16" s="10" t="str">
        <f>name!E12</f>
        <v>Elementary occupations</v>
      </c>
      <c r="AH16" s="11">
        <v>361.04390404378296</v>
      </c>
      <c r="AI16" s="11">
        <v>1068.5738337479313</v>
      </c>
      <c r="AJ16" s="11">
        <v>107.22490393762789</v>
      </c>
      <c r="AK16" s="11">
        <f t="shared" si="6"/>
        <v>1536.8426417293422</v>
      </c>
      <c r="AL16" s="11"/>
      <c r="AM16" s="11">
        <v>322.55746536818691</v>
      </c>
      <c r="AN16" s="11">
        <v>998.03898002673429</v>
      </c>
      <c r="AO16" s="11">
        <v>86.24851456366514</v>
      </c>
      <c r="AP16" s="11">
        <f t="shared" si="7"/>
        <v>1406.8449599585863</v>
      </c>
      <c r="AQ16" s="11"/>
      <c r="AR16" s="11">
        <v>382.68389738176086</v>
      </c>
      <c r="AS16" s="11">
        <v>865.57601034966183</v>
      </c>
      <c r="AT16" s="11">
        <v>123.56191448522272</v>
      </c>
      <c r="AU16" s="11">
        <f t="shared" si="8"/>
        <v>1371.8218222166454</v>
      </c>
    </row>
    <row r="17" spans="1:47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>
      <c r="A18" s="21" t="str">
        <f>name!E3</f>
        <v>All occupations</v>
      </c>
      <c r="B18" s="26">
        <f>SUM(B8:B16)</f>
        <v>16869.002999962038</v>
      </c>
      <c r="C18" s="26">
        <f t="shared" ref="C18:D18" si="9">SUM(C8:C16)</f>
        <v>7989.2350000354472</v>
      </c>
      <c r="D18" s="26">
        <f t="shared" si="9"/>
        <v>3797.9340000002812</v>
      </c>
      <c r="E18" s="26">
        <f t="shared" si="0"/>
        <v>28656.171999997769</v>
      </c>
      <c r="F18" s="26"/>
      <c r="G18" s="26">
        <f>SUM(G8:G16)</f>
        <v>17663.229999986917</v>
      </c>
      <c r="H18" s="26">
        <f t="shared" ref="H18:I18" si="10">SUM(H8:H16)</f>
        <v>8433.7450000089593</v>
      </c>
      <c r="I18" s="26">
        <f t="shared" si="10"/>
        <v>3762.7059999993267</v>
      </c>
      <c r="J18" s="26">
        <f t="shared" ref="J18" si="11">SUM(G18:I18)</f>
        <v>29859.680999995202</v>
      </c>
      <c r="K18" s="26"/>
      <c r="L18" s="26">
        <f>SUM(L8:L16)</f>
        <v>19015.063000020153</v>
      </c>
      <c r="M18" s="26">
        <f t="shared" ref="M18:N18" si="12">SUM(M8:M16)</f>
        <v>8884.8889999833373</v>
      </c>
      <c r="N18" s="26">
        <f t="shared" si="12"/>
        <v>4170.139000009045</v>
      </c>
      <c r="O18" s="26">
        <f t="shared" ref="O18" si="13">SUM(L18:N18)</f>
        <v>32070.091000012537</v>
      </c>
      <c r="Q18" s="208" t="str">
        <f>name!E3</f>
        <v>All occupations</v>
      </c>
      <c r="R18" s="26">
        <f>SUM(R8:R16)</f>
        <v>10422.84799998267</v>
      </c>
      <c r="S18" s="26">
        <f t="shared" ref="S18:T18" si="14">SUM(S8:S16)</f>
        <v>2187.081000011648</v>
      </c>
      <c r="T18" s="26">
        <f t="shared" si="14"/>
        <v>2487.3650000067873</v>
      </c>
      <c r="U18" s="26">
        <f t="shared" ref="U18" si="15">SUM(R18:T18)</f>
        <v>15097.294000001104</v>
      </c>
      <c r="V18" s="26"/>
      <c r="W18" s="26">
        <f>SUM(W8:W16)</f>
        <v>10674.974999994563</v>
      </c>
      <c r="X18" s="26">
        <f t="shared" ref="X18:Y18" si="16">SUM(X8:X16)</f>
        <v>2506.563000001795</v>
      </c>
      <c r="Y18" s="26">
        <f t="shared" si="16"/>
        <v>2297.9780000039</v>
      </c>
      <c r="Z18" s="26">
        <f t="shared" ref="Z18" si="17">SUM(W18:Y18)</f>
        <v>15479.516000000258</v>
      </c>
      <c r="AA18" s="26"/>
      <c r="AB18" s="26">
        <f>SUM(AB8:AB16)</f>
        <v>11154.122999997284</v>
      </c>
      <c r="AC18" s="26">
        <f t="shared" ref="AC18:AD18" si="18">SUM(AC8:AC16)</f>
        <v>2786.4840000015583</v>
      </c>
      <c r="AD18" s="26">
        <f t="shared" si="18"/>
        <v>2542.9000000030319</v>
      </c>
      <c r="AE18" s="26">
        <f t="shared" ref="AE18" si="19">SUM(AB18:AD18)</f>
        <v>16483.507000001875</v>
      </c>
      <c r="AG18" s="208" t="str">
        <f>name!E3</f>
        <v>All occupations</v>
      </c>
      <c r="AH18" s="26">
        <f>SUM(AH8:AH16)</f>
        <v>6446.1549999793624</v>
      </c>
      <c r="AI18" s="26">
        <f t="shared" ref="AI18:AJ18" si="20">SUM(AI8:AI16)</f>
        <v>5802.154000023801</v>
      </c>
      <c r="AJ18" s="26">
        <f t="shared" si="20"/>
        <v>1310.5689999934925</v>
      </c>
      <c r="AK18" s="26">
        <f t="shared" si="6"/>
        <v>13558.877999996655</v>
      </c>
      <c r="AL18" s="26"/>
      <c r="AM18" s="26">
        <f>SUM(AM8:AM16)</f>
        <v>6988.2549999923558</v>
      </c>
      <c r="AN18" s="26">
        <f t="shared" ref="AN18:AO18" si="21">SUM(AN8:AN16)</f>
        <v>5927.1820000071657</v>
      </c>
      <c r="AO18" s="26">
        <f t="shared" si="21"/>
        <v>1464.7279999954269</v>
      </c>
      <c r="AP18" s="26">
        <f t="shared" si="7"/>
        <v>14380.164999994948</v>
      </c>
      <c r="AQ18" s="26"/>
      <c r="AR18" s="26">
        <f>SUM(AR8:AR16)</f>
        <v>7860.9400000228688</v>
      </c>
      <c r="AS18" s="26">
        <f t="shared" ref="AS18:AT18" si="22">SUM(AS8:AS16)</f>
        <v>6098.404999981778</v>
      </c>
      <c r="AT18" s="26">
        <f t="shared" si="22"/>
        <v>1627.2390000060136</v>
      </c>
      <c r="AU18" s="26">
        <f t="shared" si="8"/>
        <v>15586.58400001066</v>
      </c>
    </row>
    <row r="19" spans="1:47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123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123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123</v>
      </c>
    </row>
    <row r="22" spans="1:47">
      <c r="A22" s="28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Q22" s="28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G22" s="28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</row>
    <row r="23" spans="1:47" ht="12.95">
      <c r="B23" s="370">
        <f>B5</f>
        <v>2015</v>
      </c>
      <c r="C23" s="370"/>
      <c r="D23" s="370"/>
      <c r="E23" s="370"/>
      <c r="F23" s="1"/>
      <c r="G23" s="370">
        <f>G5</f>
        <v>2020</v>
      </c>
      <c r="H23" s="370"/>
      <c r="I23" s="370"/>
      <c r="J23" s="370"/>
      <c r="K23" s="1"/>
      <c r="L23" s="370">
        <f>L5</f>
        <v>2035</v>
      </c>
      <c r="M23" s="370"/>
      <c r="N23" s="370"/>
      <c r="O23" s="370"/>
      <c r="R23" s="370">
        <f>R5</f>
        <v>2015</v>
      </c>
      <c r="S23" s="370"/>
      <c r="T23" s="370"/>
      <c r="U23" s="370"/>
      <c r="V23" s="1"/>
      <c r="W23" s="370">
        <f>W5</f>
        <v>2020</v>
      </c>
      <c r="X23" s="370"/>
      <c r="Y23" s="370"/>
      <c r="Z23" s="370"/>
      <c r="AA23" s="1"/>
      <c r="AB23" s="370">
        <f>AB5</f>
        <v>2035</v>
      </c>
      <c r="AC23" s="370"/>
      <c r="AD23" s="370"/>
      <c r="AE23" s="370"/>
      <c r="AH23" s="370">
        <f>AH5</f>
        <v>2015</v>
      </c>
      <c r="AI23" s="370"/>
      <c r="AJ23" s="370"/>
      <c r="AK23" s="370"/>
      <c r="AL23" s="1"/>
      <c r="AM23" s="370">
        <f>AM5</f>
        <v>2020</v>
      </c>
      <c r="AN23" s="370"/>
      <c r="AO23" s="370"/>
      <c r="AP23" s="370"/>
      <c r="AQ23" s="1"/>
      <c r="AR23" s="370">
        <f>AR5</f>
        <v>2035</v>
      </c>
      <c r="AS23" s="370"/>
      <c r="AT23" s="370"/>
      <c r="AU23" s="370"/>
    </row>
    <row r="24" spans="1:47" ht="12.95">
      <c r="A24" s="31" t="s">
        <v>124</v>
      </c>
      <c r="B24" s="308" t="s">
        <v>139</v>
      </c>
      <c r="C24" s="308" t="s">
        <v>140</v>
      </c>
      <c r="D24" s="308" t="s">
        <v>141</v>
      </c>
      <c r="E24" s="308" t="s">
        <v>119</v>
      </c>
      <c r="F24" s="309"/>
      <c r="G24" s="308" t="s">
        <v>139</v>
      </c>
      <c r="H24" s="308" t="s">
        <v>140</v>
      </c>
      <c r="I24" s="308" t="s">
        <v>141</v>
      </c>
      <c r="J24" s="308" t="s">
        <v>119</v>
      </c>
      <c r="K24" s="309"/>
      <c r="L24" s="308" t="s">
        <v>139</v>
      </c>
      <c r="M24" s="308" t="s">
        <v>140</v>
      </c>
      <c r="N24" s="308" t="s">
        <v>141</v>
      </c>
      <c r="O24" s="308" t="s">
        <v>119</v>
      </c>
      <c r="Q24" s="31" t="s">
        <v>124</v>
      </c>
      <c r="R24" s="308" t="s">
        <v>139</v>
      </c>
      <c r="S24" s="308" t="s">
        <v>140</v>
      </c>
      <c r="T24" s="308" t="s">
        <v>141</v>
      </c>
      <c r="U24" s="308" t="s">
        <v>119</v>
      </c>
      <c r="V24" s="309"/>
      <c r="W24" s="308" t="s">
        <v>139</v>
      </c>
      <c r="X24" s="308" t="s">
        <v>140</v>
      </c>
      <c r="Y24" s="308" t="s">
        <v>141</v>
      </c>
      <c r="Z24" s="308" t="s">
        <v>119</v>
      </c>
      <c r="AA24" s="309"/>
      <c r="AB24" s="308" t="s">
        <v>139</v>
      </c>
      <c r="AC24" s="308" t="s">
        <v>140</v>
      </c>
      <c r="AD24" s="308" t="s">
        <v>141</v>
      </c>
      <c r="AE24" s="308" t="s">
        <v>119</v>
      </c>
      <c r="AG24" s="31" t="s">
        <v>124</v>
      </c>
      <c r="AH24" s="308" t="s">
        <v>139</v>
      </c>
      <c r="AI24" s="308" t="s">
        <v>140</v>
      </c>
      <c r="AJ24" s="308" t="s">
        <v>141</v>
      </c>
      <c r="AK24" s="308" t="s">
        <v>119</v>
      </c>
      <c r="AL24" s="309"/>
      <c r="AM24" s="308" t="s">
        <v>139</v>
      </c>
      <c r="AN24" s="308" t="s">
        <v>140</v>
      </c>
      <c r="AO24" s="308" t="s">
        <v>141</v>
      </c>
      <c r="AP24" s="308" t="s">
        <v>119</v>
      </c>
      <c r="AQ24" s="309"/>
      <c r="AR24" s="308" t="s">
        <v>139</v>
      </c>
      <c r="AS24" s="308" t="s">
        <v>140</v>
      </c>
      <c r="AT24" s="308" t="s">
        <v>141</v>
      </c>
      <c r="AU24" s="308" t="s">
        <v>119</v>
      </c>
    </row>
    <row r="25" spans="1:47" ht="12.95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>
      <c r="A26" t="str">
        <f>$A$8</f>
        <v>Managers, directors and senior officials</v>
      </c>
      <c r="B26" s="335">
        <f>B8/B$18*100</f>
        <v>12.05248237638437</v>
      </c>
      <c r="C26" s="335">
        <f t="shared" ref="C26:O26" si="23">C8/C$18*100</f>
        <v>3.5582841219209524</v>
      </c>
      <c r="D26" s="335">
        <f t="shared" si="23"/>
        <v>13.310965185527335</v>
      </c>
      <c r="E26" s="335">
        <f t="shared" si="23"/>
        <v>9.8511237530991611</v>
      </c>
      <c r="F26" s="335"/>
      <c r="G26" s="335">
        <f t="shared" si="23"/>
        <v>13.061254518264681</v>
      </c>
      <c r="H26" s="335">
        <f t="shared" si="23"/>
        <v>5.1829718749282634</v>
      </c>
      <c r="I26" s="335">
        <f t="shared" si="23"/>
        <v>14.972089287676738</v>
      </c>
      <c r="J26" s="335">
        <f t="shared" si="23"/>
        <v>11.076855642736462</v>
      </c>
      <c r="K26" s="335"/>
      <c r="L26" s="335">
        <f t="shared" si="23"/>
        <v>12.023108479570265</v>
      </c>
      <c r="M26" s="335">
        <f t="shared" si="23"/>
        <v>5.9042900110228249</v>
      </c>
      <c r="N26" s="335">
        <f t="shared" si="23"/>
        <v>15.385145590713311</v>
      </c>
      <c r="O26" s="335">
        <f t="shared" si="23"/>
        <v>10.765087078027596</v>
      </c>
      <c r="Q26" t="str">
        <f>$A$8</f>
        <v>Managers, directors and senior officials</v>
      </c>
      <c r="R26" s="335">
        <f>R8/R$18*100</f>
        <v>13.721563723854835</v>
      </c>
      <c r="S26" s="335">
        <f t="shared" ref="S26:U26" si="24">S8/S$18*100</f>
        <v>4.8232119907229576</v>
      </c>
      <c r="T26" s="335">
        <f t="shared" si="24"/>
        <v>13.593861144340252</v>
      </c>
      <c r="U26" s="335">
        <f t="shared" si="24"/>
        <v>12.41145749331795</v>
      </c>
      <c r="V26" s="335"/>
      <c r="W26" s="335">
        <f t="shared" ref="W26:Z26" si="25">W8/W$18*100</f>
        <v>14.835479079742878</v>
      </c>
      <c r="X26" s="335">
        <f t="shared" si="25"/>
        <v>6.6332422618638436</v>
      </c>
      <c r="Y26" s="335">
        <f t="shared" si="25"/>
        <v>15.166356321122379</v>
      </c>
      <c r="Z26" s="335">
        <f t="shared" si="25"/>
        <v>13.556429095004619</v>
      </c>
      <c r="AA26" s="335"/>
      <c r="AB26" s="335">
        <f t="shared" ref="AB26:AE26" si="26">AB8/AB$18*100</f>
        <v>13.638263572987984</v>
      </c>
      <c r="AC26" s="335">
        <f t="shared" si="26"/>
        <v>6.5087451264213492</v>
      </c>
      <c r="AD26" s="335">
        <f t="shared" si="26"/>
        <v>15.98527225807217</v>
      </c>
      <c r="AE26" s="335">
        <f t="shared" si="26"/>
        <v>12.79511285914022</v>
      </c>
      <c r="AG26" t="str">
        <f>$A$8</f>
        <v>Managers, directors and senior officials</v>
      </c>
      <c r="AH26" s="335">
        <f>AH8/AH$18*100</f>
        <v>9.3537292151049982</v>
      </c>
      <c r="AI26" s="335">
        <f t="shared" ref="AI26:AK26" si="27">AI8/AI$18*100</f>
        <v>3.0814784893522962</v>
      </c>
      <c r="AJ26" s="335">
        <f t="shared" si="27"/>
        <v>12.774049153942471</v>
      </c>
      <c r="AK26" s="335">
        <f t="shared" si="27"/>
        <v>7.0002896933624132</v>
      </c>
      <c r="AL26" s="335"/>
      <c r="AM26" s="335">
        <f t="shared" ref="AM26:AP26" si="28">AM8/AM$18*100</f>
        <v>10.351021013881025</v>
      </c>
      <c r="AN26" s="335">
        <f t="shared" si="28"/>
        <v>4.5696628704322571</v>
      </c>
      <c r="AO26" s="335">
        <f t="shared" si="28"/>
        <v>14.667308216388772</v>
      </c>
      <c r="AP26" s="335">
        <f t="shared" si="28"/>
        <v>8.407720975117968</v>
      </c>
      <c r="AQ26" s="335"/>
      <c r="AR26" s="335">
        <f t="shared" ref="AR26:AU26" si="29">AR8/AR$18*100</f>
        <v>9.7313165849620962</v>
      </c>
      <c r="AS26" s="335">
        <f t="shared" si="29"/>
        <v>5.6281023016492897</v>
      </c>
      <c r="AT26" s="335">
        <f t="shared" si="29"/>
        <v>14.447322626524864</v>
      </c>
      <c r="AU26" s="335">
        <f t="shared" si="29"/>
        <v>8.6182443719457815</v>
      </c>
    </row>
    <row r="27" spans="1:47">
      <c r="A27" t="str">
        <f>$A$9</f>
        <v>Professional occupations</v>
      </c>
      <c r="B27" s="335">
        <f t="shared" ref="B27:B34" si="30">B9/B$18*100</f>
        <v>24.442218055471223</v>
      </c>
      <c r="C27" s="335">
        <f t="shared" ref="C27:O27" si="31">C9/C$18*100</f>
        <v>13.454794674561393</v>
      </c>
      <c r="D27" s="335">
        <f t="shared" si="31"/>
        <v>18.829977553202163</v>
      </c>
      <c r="E27" s="335">
        <f t="shared" si="31"/>
        <v>20.635148972596948</v>
      </c>
      <c r="F27" s="335"/>
      <c r="G27" s="335">
        <f t="shared" si="31"/>
        <v>28.082531229736052</v>
      </c>
      <c r="H27" s="335">
        <f t="shared" si="31"/>
        <v>15.821923039566816</v>
      </c>
      <c r="I27" s="335">
        <f t="shared" si="31"/>
        <v>20.137531654242455</v>
      </c>
      <c r="J27" s="335">
        <f t="shared" si="31"/>
        <v>23.618399794653676</v>
      </c>
      <c r="K27" s="335"/>
      <c r="L27" s="335">
        <f t="shared" si="31"/>
        <v>31.643586122394701</v>
      </c>
      <c r="M27" s="335">
        <f t="shared" si="31"/>
        <v>18.034456199071329</v>
      </c>
      <c r="N27" s="335">
        <f t="shared" si="31"/>
        <v>18.411120514239382</v>
      </c>
      <c r="O27" s="335">
        <f t="shared" si="31"/>
        <v>26.152587370509085</v>
      </c>
      <c r="Q27" t="str">
        <f>$A$9</f>
        <v>Professional occupations</v>
      </c>
      <c r="R27" s="335">
        <f t="shared" ref="R27:U27" si="32">R9/R$18*100</f>
        <v>23.07022664025374</v>
      </c>
      <c r="S27" s="335">
        <f t="shared" si="32"/>
        <v>9.7236681405471028</v>
      </c>
      <c r="T27" s="335">
        <f t="shared" si="32"/>
        <v>18.298484082746704</v>
      </c>
      <c r="U27" s="335">
        <f t="shared" si="32"/>
        <v>20.350595563529978</v>
      </c>
      <c r="V27" s="335"/>
      <c r="W27" s="335">
        <f t="shared" ref="W27:Z27" si="33">W9/W$18*100</f>
        <v>26.588438957613185</v>
      </c>
      <c r="X27" s="335">
        <f t="shared" si="33"/>
        <v>12.690048739289189</v>
      </c>
      <c r="Y27" s="335">
        <f t="shared" si="33"/>
        <v>18.662560127546769</v>
      </c>
      <c r="Z27" s="335">
        <f t="shared" si="33"/>
        <v>23.161284913324838</v>
      </c>
      <c r="AA27" s="335"/>
      <c r="AB27" s="335">
        <f t="shared" ref="AB27:AE27" si="34">AB9/AB$18*100</f>
        <v>31.321619739019042</v>
      </c>
      <c r="AC27" s="335">
        <f t="shared" si="34"/>
        <v>15.887254600794693</v>
      </c>
      <c r="AD27" s="335">
        <f t="shared" si="34"/>
        <v>15.523041585107144</v>
      </c>
      <c r="AE27" s="335">
        <f t="shared" si="34"/>
        <v>26.275253338018029</v>
      </c>
      <c r="AG27" t="str">
        <f>$A$9</f>
        <v>Professional occupations</v>
      </c>
      <c r="AH27" s="335">
        <f t="shared" ref="AH27:AK27" si="35">AH9/AH$18*100</f>
        <v>26.660603740913029</v>
      </c>
      <c r="AI27" s="335">
        <f t="shared" si="35"/>
        <v>14.861216488106589</v>
      </c>
      <c r="AJ27" s="335">
        <f t="shared" si="35"/>
        <v>19.838713648859528</v>
      </c>
      <c r="AK27" s="335">
        <f t="shared" si="35"/>
        <v>20.951988350854361</v>
      </c>
      <c r="AL27" s="335"/>
      <c r="AM27" s="335">
        <f t="shared" ref="AM27:AP27" si="36">AM9/AM$18*100</f>
        <v>30.364846006831886</v>
      </c>
      <c r="AN27" s="335">
        <f t="shared" si="36"/>
        <v>17.146370347195116</v>
      </c>
      <c r="AO27" s="335">
        <f t="shared" si="36"/>
        <v>22.451580487192601</v>
      </c>
      <c r="AP27" s="335">
        <f t="shared" si="36"/>
        <v>24.110460707680069</v>
      </c>
      <c r="AQ27" s="335"/>
      <c r="AR27" s="335">
        <f t="shared" ref="AR27:AU27" si="37">AR9/AR$18*100</f>
        <v>32.1004338584194</v>
      </c>
      <c r="AS27" s="335">
        <f t="shared" si="37"/>
        <v>19.015555830596874</v>
      </c>
      <c r="AT27" s="335">
        <f t="shared" si="37"/>
        <v>22.924345620614016</v>
      </c>
      <c r="AU27" s="335">
        <f t="shared" si="37"/>
        <v>26.022862644803052</v>
      </c>
    </row>
    <row r="28" spans="1:47">
      <c r="A28" t="str">
        <f>$A$10</f>
        <v>Associate professional occupations</v>
      </c>
      <c r="B28" s="335">
        <f t="shared" si="30"/>
        <v>14.432366251166625</v>
      </c>
      <c r="C28" s="335">
        <f t="shared" ref="C28:O28" si="38">C10/C$18*100</f>
        <v>8.354456648287842</v>
      </c>
      <c r="D28" s="335">
        <f t="shared" si="38"/>
        <v>15.03515840204302</v>
      </c>
      <c r="E28" s="335">
        <f t="shared" si="38"/>
        <v>12.817758294401585</v>
      </c>
      <c r="F28" s="335"/>
      <c r="G28" s="335">
        <f t="shared" si="38"/>
        <v>15.781978918291554</v>
      </c>
      <c r="H28" s="335">
        <f t="shared" si="38"/>
        <v>9.3309644662662858</v>
      </c>
      <c r="I28" s="335">
        <f t="shared" si="38"/>
        <v>15.253993751363423</v>
      </c>
      <c r="J28" s="335">
        <f t="shared" si="38"/>
        <v>13.893383261985853</v>
      </c>
      <c r="K28" s="335"/>
      <c r="L28" s="335">
        <f t="shared" si="38"/>
        <v>16.608502505629353</v>
      </c>
      <c r="M28" s="335">
        <f t="shared" si="38"/>
        <v>11.167609123740558</v>
      </c>
      <c r="N28" s="335">
        <f t="shared" si="38"/>
        <v>14.934497525181046</v>
      </c>
      <c r="O28" s="335">
        <f t="shared" si="38"/>
        <v>14.883450736553264</v>
      </c>
      <c r="Q28" t="str">
        <f>$A$10</f>
        <v>Associate professional occupations</v>
      </c>
      <c r="R28" s="335">
        <f t="shared" ref="R28:U28" si="39">R10/R$18*100</f>
        <v>14.597807525810937</v>
      </c>
      <c r="S28" s="335">
        <f t="shared" si="39"/>
        <v>7.7041004331201552</v>
      </c>
      <c r="T28" s="335">
        <f t="shared" si="39"/>
        <v>12.174550109186226</v>
      </c>
      <c r="U28" s="335">
        <f t="shared" si="39"/>
        <v>13.199899961303871</v>
      </c>
      <c r="V28" s="335"/>
      <c r="W28" s="335">
        <f t="shared" ref="W28:Z28" si="40">W10/W$18*100</f>
        <v>15.812581584340442</v>
      </c>
      <c r="X28" s="335">
        <f t="shared" si="40"/>
        <v>9.1130806497670704</v>
      </c>
      <c r="Y28" s="335">
        <f t="shared" si="40"/>
        <v>12.246404282857808</v>
      </c>
      <c r="Z28" s="335">
        <f t="shared" si="40"/>
        <v>14.198337434588021</v>
      </c>
      <c r="AA28" s="335"/>
      <c r="AB28" s="335">
        <f t="shared" ref="AB28:AE28" si="41">AB10/AB$18*100</f>
        <v>14.844097350924706</v>
      </c>
      <c r="AC28" s="335">
        <f t="shared" si="41"/>
        <v>8.8393747592905019</v>
      </c>
      <c r="AD28" s="335">
        <f t="shared" si="41"/>
        <v>12.02531929203213</v>
      </c>
      <c r="AE28" s="335">
        <f t="shared" si="41"/>
        <v>13.394167178176856</v>
      </c>
      <c r="AG28" t="str">
        <f>$A$10</f>
        <v>Associate professional occupations</v>
      </c>
      <c r="AH28" s="335">
        <f t="shared" ref="AH28:AK28" si="42">AH10/AH$18*100</f>
        <v>14.16486271478769</v>
      </c>
      <c r="AI28" s="335">
        <f t="shared" si="42"/>
        <v>8.5996038335274783</v>
      </c>
      <c r="AJ28" s="335">
        <f t="shared" si="42"/>
        <v>20.464385666243917</v>
      </c>
      <c r="AK28" s="335">
        <f t="shared" si="42"/>
        <v>12.392258109587186</v>
      </c>
      <c r="AL28" s="335"/>
      <c r="AM28" s="335">
        <f t="shared" ref="AM28:AP28" si="43">AM10/AM$18*100</f>
        <v>15.735231526416852</v>
      </c>
      <c r="AN28" s="335">
        <f t="shared" si="43"/>
        <v>9.4231059784951121</v>
      </c>
      <c r="AO28" s="335">
        <f t="shared" si="43"/>
        <v>19.972531549296445</v>
      </c>
      <c r="AP28" s="335">
        <f t="shared" si="43"/>
        <v>13.565115610393283</v>
      </c>
      <c r="AQ28" s="335"/>
      <c r="AR28" s="335">
        <f t="shared" ref="AR28:AU28" si="44">AR10/AR$18*100</f>
        <v>19.112069778417034</v>
      </c>
      <c r="AS28" s="335">
        <f t="shared" si="44"/>
        <v>12.231426270160528</v>
      </c>
      <c r="AT28" s="335">
        <f t="shared" si="44"/>
        <v>19.480694690475065</v>
      </c>
      <c r="AU28" s="335">
        <f t="shared" si="44"/>
        <v>16.458434450718499</v>
      </c>
    </row>
    <row r="29" spans="1:47">
      <c r="A29" t="str">
        <f>$A$11</f>
        <v>Administrative and secretarial occupations</v>
      </c>
      <c r="B29" s="335">
        <f t="shared" si="30"/>
        <v>10.564350766352188</v>
      </c>
      <c r="C29" s="335">
        <f t="shared" ref="C29:O29" si="45">C11/C$18*100</f>
        <v>15.367268643625259</v>
      </c>
      <c r="D29" s="335">
        <f t="shared" si="45"/>
        <v>3.6774179835229086</v>
      </c>
      <c r="E29" s="335">
        <f t="shared" si="45"/>
        <v>10.990629734659016</v>
      </c>
      <c r="F29" s="335"/>
      <c r="G29" s="335">
        <f t="shared" si="45"/>
        <v>10.095817150424812</v>
      </c>
      <c r="H29" s="335">
        <f t="shared" si="45"/>
        <v>14.536587814136922</v>
      </c>
      <c r="I29" s="335">
        <f t="shared" si="45"/>
        <v>3.4650684115659769</v>
      </c>
      <c r="J29" s="335">
        <f t="shared" si="45"/>
        <v>10.514534594763163</v>
      </c>
      <c r="K29" s="335"/>
      <c r="L29" s="335">
        <f t="shared" si="45"/>
        <v>9.3155579824061778</v>
      </c>
      <c r="M29" s="335">
        <f t="shared" si="45"/>
        <v>12.467168876556988</v>
      </c>
      <c r="N29" s="335">
        <f t="shared" si="45"/>
        <v>3.0519576934703156</v>
      </c>
      <c r="O29" s="335">
        <f t="shared" si="45"/>
        <v>9.3742303796970994</v>
      </c>
      <c r="Q29" t="str">
        <f>$A$11</f>
        <v>Administrative and secretarial occupations</v>
      </c>
      <c r="R29" s="335">
        <f t="shared" ref="R29:U29" si="46">R11/R$18*100</f>
        <v>5.5928326331550942</v>
      </c>
      <c r="S29" s="335">
        <f t="shared" si="46"/>
        <v>6.9494028846769611</v>
      </c>
      <c r="T29" s="335">
        <f t="shared" si="46"/>
        <v>1.5682665460390681</v>
      </c>
      <c r="U29" s="335">
        <f t="shared" si="46"/>
        <v>5.1262830777830093</v>
      </c>
      <c r="V29" s="335"/>
      <c r="W29" s="335">
        <f t="shared" ref="W29:Z29" si="47">W11/W$18*100</f>
        <v>5.951694994278264</v>
      </c>
      <c r="X29" s="335">
        <f t="shared" si="47"/>
        <v>7.4885902284099455</v>
      </c>
      <c r="Y29" s="335">
        <f t="shared" si="47"/>
        <v>1.3536420143194412</v>
      </c>
      <c r="Z29" s="335">
        <f t="shared" si="47"/>
        <v>5.5179669719005586</v>
      </c>
      <c r="AA29" s="335"/>
      <c r="AB29" s="335">
        <f t="shared" ref="AB29:AE29" si="48">AB11/AB$18*100</f>
        <v>7.0012988373310918</v>
      </c>
      <c r="AC29" s="335">
        <f t="shared" si="48"/>
        <v>6.4845614435425096</v>
      </c>
      <c r="AD29" s="335">
        <f t="shared" si="48"/>
        <v>1.6299069521965706</v>
      </c>
      <c r="AE29" s="335">
        <f t="shared" si="48"/>
        <v>6.0853048741097018</v>
      </c>
      <c r="AG29" t="str">
        <f>$A$11</f>
        <v>Administrative and secretarial occupations</v>
      </c>
      <c r="AH29" s="335">
        <f t="shared" ref="AH29:AK29" si="49">AH11/AH$18*100</f>
        <v>18.60284469515733</v>
      </c>
      <c r="AI29" s="335">
        <f t="shared" si="49"/>
        <v>18.540323730058486</v>
      </c>
      <c r="AJ29" s="335">
        <f t="shared" si="49"/>
        <v>7.6804345857295617</v>
      </c>
      <c r="AK29" s="335">
        <f t="shared" si="49"/>
        <v>17.520356279643249</v>
      </c>
      <c r="AL29" s="335"/>
      <c r="AM29" s="335">
        <f t="shared" ref="AM29:AP29" si="50">AM11/AM$18*100</f>
        <v>16.426210133198961</v>
      </c>
      <c r="AN29" s="335">
        <f t="shared" si="50"/>
        <v>17.517135732602021</v>
      </c>
      <c r="AO29" s="335">
        <f t="shared" si="50"/>
        <v>6.7776366218515625</v>
      </c>
      <c r="AP29" s="335">
        <f t="shared" si="50"/>
        <v>15.893085429417154</v>
      </c>
      <c r="AQ29" s="335"/>
      <c r="AR29" s="335">
        <f t="shared" ref="AR29:AU29" si="51">AR11/AR$18*100</f>
        <v>12.599329536184841</v>
      </c>
      <c r="AS29" s="335">
        <f t="shared" si="51"/>
        <v>15.200742637308377</v>
      </c>
      <c r="AT29" s="335">
        <f t="shared" si="51"/>
        <v>5.2742082847946161</v>
      </c>
      <c r="AU29" s="335">
        <f t="shared" si="51"/>
        <v>12.852415631436513</v>
      </c>
    </row>
    <row r="30" spans="1:47">
      <c r="A30" t="str">
        <f>$A$12</f>
        <v>Skilled trades occupations</v>
      </c>
      <c r="B30" s="335">
        <f t="shared" si="30"/>
        <v>9.997057727726018</v>
      </c>
      <c r="C30" s="335">
        <f t="shared" ref="C30:O30" si="52">C12/C$18*100</f>
        <v>3.385300895087088</v>
      </c>
      <c r="D30" s="335">
        <f t="shared" si="52"/>
        <v>24.561441676943936</v>
      </c>
      <c r="E30" s="335">
        <f t="shared" si="52"/>
        <v>10.084008974764554</v>
      </c>
      <c r="F30" s="335"/>
      <c r="G30" s="335">
        <f t="shared" si="52"/>
        <v>8.1372143441382505</v>
      </c>
      <c r="H30" s="335">
        <f t="shared" si="52"/>
        <v>2.8359610569149525</v>
      </c>
      <c r="I30" s="335">
        <f t="shared" si="52"/>
        <v>22.081437983409284</v>
      </c>
      <c r="J30" s="335">
        <f t="shared" si="52"/>
        <v>8.3970495228167596</v>
      </c>
      <c r="K30" s="335"/>
      <c r="L30" s="335">
        <f t="shared" si="52"/>
        <v>6.5264723448249713</v>
      </c>
      <c r="M30" s="335">
        <f t="shared" si="52"/>
        <v>3.3447889463059406</v>
      </c>
      <c r="N30" s="335">
        <f t="shared" si="52"/>
        <v>22.338961034268788</v>
      </c>
      <c r="O30" s="335">
        <f t="shared" si="52"/>
        <v>7.7011298143689624</v>
      </c>
      <c r="Q30" t="str">
        <f>$A$12</f>
        <v>Skilled trades occupations</v>
      </c>
      <c r="R30" s="335">
        <f t="shared" ref="R30:U30" si="53">R12/R$18*100</f>
        <v>14.933231240974887</v>
      </c>
      <c r="S30" s="335">
        <f t="shared" si="53"/>
        <v>8.0826720614077949</v>
      </c>
      <c r="T30" s="335">
        <f t="shared" si="53"/>
        <v>34.039615415741899</v>
      </c>
      <c r="U30" s="335">
        <f t="shared" si="53"/>
        <v>17.088705159142613</v>
      </c>
      <c r="V30" s="335"/>
      <c r="W30" s="335">
        <f t="shared" ref="W30:Z30" si="54">W12/W$18*100</f>
        <v>12.217471386550717</v>
      </c>
      <c r="X30" s="335">
        <f t="shared" si="54"/>
        <v>6.0045203315240272</v>
      </c>
      <c r="Y30" s="335">
        <f t="shared" si="54"/>
        <v>31.784105110155174</v>
      </c>
      <c r="Z30" s="335">
        <f t="shared" si="54"/>
        <v>14.116144484315848</v>
      </c>
      <c r="AA30" s="335"/>
      <c r="AB30" s="335">
        <f t="shared" ref="AB30:AE30" si="55">AB12/AB$18*100</f>
        <v>9.7929590984428376</v>
      </c>
      <c r="AC30" s="335">
        <f t="shared" si="55"/>
        <v>6.805287034805664</v>
      </c>
      <c r="AD30" s="335">
        <f t="shared" si="55"/>
        <v>31.860735922899373</v>
      </c>
      <c r="AE30" s="335">
        <f t="shared" si="55"/>
        <v>12.692284423107994</v>
      </c>
      <c r="AG30" t="str">
        <f>$A$12</f>
        <v>Skilled trades occupations</v>
      </c>
      <c r="AH30" s="335">
        <f t="shared" ref="AH30:AK30" si="56">AH12/AH$18*100</f>
        <v>2.0157128437916301</v>
      </c>
      <c r="AI30" s="335">
        <f t="shared" si="56"/>
        <v>1.6146599869311866</v>
      </c>
      <c r="AJ30" s="335">
        <f t="shared" si="56"/>
        <v>6.5725546958032774</v>
      </c>
      <c r="AK30" s="335">
        <f t="shared" si="56"/>
        <v>2.2845466832484425</v>
      </c>
      <c r="AL30" s="335"/>
      <c r="AM30" s="335">
        <f t="shared" ref="AM30:AP30" si="57">AM12/AM$18*100</f>
        <v>1.9043791197005948</v>
      </c>
      <c r="AN30" s="335">
        <f t="shared" si="57"/>
        <v>1.4959999352490374</v>
      </c>
      <c r="AO30" s="335">
        <f t="shared" si="57"/>
        <v>6.8591471562436279</v>
      </c>
      <c r="AP30" s="335">
        <f t="shared" si="57"/>
        <v>2.2407347682866696</v>
      </c>
      <c r="AQ30" s="335"/>
      <c r="AR30" s="335">
        <f t="shared" ref="AR30:AU30" si="58">AR12/AR$18*100</f>
        <v>1.8915565424388072</v>
      </c>
      <c r="AS30" s="335">
        <f t="shared" si="58"/>
        <v>1.7636177128983064</v>
      </c>
      <c r="AT30" s="335">
        <f t="shared" si="58"/>
        <v>7.459203749544109</v>
      </c>
      <c r="AU30" s="335">
        <f t="shared" si="58"/>
        <v>2.4227614476257959</v>
      </c>
    </row>
    <row r="31" spans="1:47">
      <c r="A31" t="str">
        <f>$A$13</f>
        <v>Caring, leisure and other service occupations</v>
      </c>
      <c r="B31" s="335">
        <f t="shared" si="30"/>
        <v>7.4599976938847581</v>
      </c>
      <c r="C31" s="335">
        <f t="shared" ref="C31:O31" si="59">C13/C$18*100</f>
        <v>14.532335516393122</v>
      </c>
      <c r="D31" s="335">
        <f t="shared" si="59"/>
        <v>7.0308561230781246</v>
      </c>
      <c r="E31" s="335">
        <f t="shared" si="59"/>
        <v>9.3748632768063906</v>
      </c>
      <c r="F31" s="335"/>
      <c r="G31" s="335">
        <f t="shared" si="59"/>
        <v>6.9775355310624061</v>
      </c>
      <c r="H31" s="335">
        <f t="shared" si="59"/>
        <v>13.594817465588902</v>
      </c>
      <c r="I31" s="335">
        <f t="shared" si="59"/>
        <v>7.9595440273924636</v>
      </c>
      <c r="J31" s="335">
        <f t="shared" si="59"/>
        <v>8.9703055707076214</v>
      </c>
      <c r="K31" s="335"/>
      <c r="L31" s="335">
        <f t="shared" si="59"/>
        <v>7.433595047597068</v>
      </c>
      <c r="M31" s="335">
        <f t="shared" si="59"/>
        <v>12.963077163743719</v>
      </c>
      <c r="N31" s="335">
        <f t="shared" si="59"/>
        <v>8.5057008912151328</v>
      </c>
      <c r="O31" s="335">
        <f t="shared" si="59"/>
        <v>9.104923801230612</v>
      </c>
      <c r="Q31" t="str">
        <f>$A$13</f>
        <v>Caring, leisure and other service occupations</v>
      </c>
      <c r="R31" s="335">
        <f t="shared" ref="R31:U31" si="60">R13/R$18*100</f>
        <v>3.1200449435487498</v>
      </c>
      <c r="S31" s="335">
        <f t="shared" si="60"/>
        <v>6.8307216023087731</v>
      </c>
      <c r="T31" s="335">
        <f t="shared" si="60"/>
        <v>1.7544973955899816</v>
      </c>
      <c r="U31" s="335">
        <f t="shared" si="60"/>
        <v>3.4326132250515604</v>
      </c>
      <c r="V31" s="335"/>
      <c r="W31" s="335">
        <f t="shared" ref="W31:Z31" si="61">W13/W$18*100</f>
        <v>3.0270381154264094</v>
      </c>
      <c r="X31" s="335">
        <f t="shared" si="61"/>
        <v>6.6853910297362189</v>
      </c>
      <c r="Y31" s="335">
        <f t="shared" si="61"/>
        <v>1.8934885578126985</v>
      </c>
      <c r="Z31" s="335">
        <f t="shared" si="61"/>
        <v>3.4511482820909962</v>
      </c>
      <c r="AA31" s="335"/>
      <c r="AB31" s="335">
        <f t="shared" ref="AB31:AE31" si="62">AB13/AB$18*100</f>
        <v>3.3342974857267413</v>
      </c>
      <c r="AC31" s="335">
        <f t="shared" si="62"/>
        <v>8.0622571542066588</v>
      </c>
      <c r="AD31" s="335">
        <f t="shared" si="62"/>
        <v>2.5082980401374777</v>
      </c>
      <c r="AE31" s="335">
        <f t="shared" si="62"/>
        <v>4.0061175042870678</v>
      </c>
      <c r="AG31" t="str">
        <f>$A$13</f>
        <v>Caring, leisure and other service occupations</v>
      </c>
      <c r="AH31" s="335">
        <f t="shared" ref="AH31:AK31" si="63">AH13/AH$18*100</f>
        <v>14.477307678519599</v>
      </c>
      <c r="AI31" s="335">
        <f t="shared" si="63"/>
        <v>17.435404525049229</v>
      </c>
      <c r="AJ31" s="335">
        <f t="shared" si="63"/>
        <v>17.045002670340825</v>
      </c>
      <c r="AK31" s="335">
        <f t="shared" si="63"/>
        <v>15.991332283525573</v>
      </c>
      <c r="AL31" s="335"/>
      <c r="AM31" s="335">
        <f t="shared" ref="AM31:AP31" si="64">AM13/AM$18*100</f>
        <v>13.012155210725428</v>
      </c>
      <c r="AN31" s="335">
        <f t="shared" si="64"/>
        <v>16.516764632947961</v>
      </c>
      <c r="AO31" s="335">
        <f t="shared" si="64"/>
        <v>17.476438642598257</v>
      </c>
      <c r="AP31" s="335">
        <f t="shared" si="64"/>
        <v>14.911397592648187</v>
      </c>
      <c r="AQ31" s="335"/>
      <c r="AR31" s="335">
        <f t="shared" ref="AR31:AU31" si="65">AR13/AR$18*100</f>
        <v>13.250211027181921</v>
      </c>
      <c r="AS31" s="335">
        <f t="shared" si="65"/>
        <v>15.202360475282283</v>
      </c>
      <c r="AT31" s="335">
        <f t="shared" si="65"/>
        <v>17.877892505334021</v>
      </c>
      <c r="AU31" s="335">
        <f t="shared" si="65"/>
        <v>14.497138624392974</v>
      </c>
    </row>
    <row r="32" spans="1:47">
      <c r="A32" t="str">
        <f>$A$14</f>
        <v>Sales and customer service occupations</v>
      </c>
      <c r="B32" s="335">
        <f t="shared" si="30"/>
        <v>5.3673829012850094</v>
      </c>
      <c r="C32" s="335">
        <f t="shared" ref="C32:O32" si="66">C14/C$18*100</f>
        <v>17.275983189810219</v>
      </c>
      <c r="D32" s="335">
        <f t="shared" si="66"/>
        <v>4.3726873619509288</v>
      </c>
      <c r="E32" s="335">
        <f t="shared" si="66"/>
        <v>8.5556251486458716</v>
      </c>
      <c r="F32" s="335"/>
      <c r="G32" s="335">
        <f t="shared" si="66"/>
        <v>4.8698378581405031</v>
      </c>
      <c r="H32" s="335">
        <f t="shared" si="66"/>
        <v>16.430123327293241</v>
      </c>
      <c r="I32" s="335">
        <f t="shared" si="66"/>
        <v>3.1361318761985459</v>
      </c>
      <c r="J32" s="335">
        <f t="shared" si="66"/>
        <v>7.9165239186402792</v>
      </c>
      <c r="K32" s="335"/>
      <c r="L32" s="335">
        <f t="shared" si="66"/>
        <v>4.5190286158299013</v>
      </c>
      <c r="M32" s="335">
        <f t="shared" si="66"/>
        <v>16.343432117748037</v>
      </c>
      <c r="N32" s="335">
        <f t="shared" si="66"/>
        <v>2.32257660098829</v>
      </c>
      <c r="O32" s="335">
        <f t="shared" si="66"/>
        <v>7.5093226688396015</v>
      </c>
      <c r="Q32" t="str">
        <f>$A$14</f>
        <v>Sales and customer service occupations</v>
      </c>
      <c r="R32" s="335">
        <f t="shared" ref="R32:U32" si="67">R14/R$18*100</f>
        <v>4.3305878695868056</v>
      </c>
      <c r="S32" s="335">
        <f t="shared" si="67"/>
        <v>19.553877231010745</v>
      </c>
      <c r="T32" s="335">
        <f t="shared" si="67"/>
        <v>3.8655662815417373</v>
      </c>
      <c r="U32" s="335">
        <f t="shared" si="67"/>
        <v>6.4593063338159933</v>
      </c>
      <c r="V32" s="335"/>
      <c r="W32" s="335">
        <f t="shared" ref="W32:Z32" si="68">W14/W$18*100</f>
        <v>4.1251768195350245</v>
      </c>
      <c r="X32" s="335">
        <f t="shared" si="68"/>
        <v>18.470462932195808</v>
      </c>
      <c r="Y32" s="335">
        <f t="shared" si="68"/>
        <v>2.9723936433194162</v>
      </c>
      <c r="Z32" s="335">
        <f t="shared" si="68"/>
        <v>6.276942612258547</v>
      </c>
      <c r="AA32" s="335"/>
      <c r="AB32" s="335">
        <f t="shared" ref="AB32:AE32" si="69">AB14/AB$18*100</f>
        <v>4.2464507254804538</v>
      </c>
      <c r="AC32" s="335">
        <f t="shared" si="69"/>
        <v>18.646285071986654</v>
      </c>
      <c r="AD32" s="335">
        <f t="shared" si="69"/>
        <v>2.4167241313898846</v>
      </c>
      <c r="AE32" s="335">
        <f t="shared" si="69"/>
        <v>6.3984258029375702</v>
      </c>
      <c r="AG32" t="str">
        <f>$A$14</f>
        <v>Sales and customer service occupations</v>
      </c>
      <c r="AH32" s="335">
        <f t="shared" ref="AH32:AK32" si="70">AH14/AH$18*100</f>
        <v>7.0437864352618087</v>
      </c>
      <c r="AI32" s="335">
        <f t="shared" si="70"/>
        <v>16.417347107843256</v>
      </c>
      <c r="AJ32" s="335">
        <f t="shared" si="70"/>
        <v>5.3351664272895052</v>
      </c>
      <c r="AK32" s="335">
        <f t="shared" si="70"/>
        <v>10.889796269975269</v>
      </c>
      <c r="AL32" s="335"/>
      <c r="AM32" s="335">
        <f t="shared" ref="AM32:AP32" si="71">AM14/AM$18*100</f>
        <v>6.0073518685182359</v>
      </c>
      <c r="AN32" s="335">
        <f t="shared" si="71"/>
        <v>15.567278258408784</v>
      </c>
      <c r="AO32" s="335">
        <f t="shared" si="71"/>
        <v>3.3930170159083972</v>
      </c>
      <c r="AP32" s="335">
        <f t="shared" si="71"/>
        <v>9.6814497776583455</v>
      </c>
      <c r="AQ32" s="335"/>
      <c r="AR32" s="335">
        <f t="shared" ref="AR32:AU32" si="72">AR14/AR$18*100</f>
        <v>4.9057975411783481</v>
      </c>
      <c r="AS32" s="335">
        <f t="shared" si="72"/>
        <v>15.291212248559031</v>
      </c>
      <c r="AT32" s="335">
        <f t="shared" si="72"/>
        <v>2.1754514675213517</v>
      </c>
      <c r="AU32" s="335">
        <f t="shared" si="72"/>
        <v>8.6841455976714457</v>
      </c>
    </row>
    <row r="33" spans="1:47">
      <c r="A33" t="str">
        <f>$A$15</f>
        <v>Process, plant and machine operatives</v>
      </c>
      <c r="B33" s="335">
        <f t="shared" si="30"/>
        <v>7.4625023623317643</v>
      </c>
      <c r="C33" s="335">
        <f t="shared" ref="C33:O33" si="73">C15/C$18*100</f>
        <v>2.9054951440667685</v>
      </c>
      <c r="D33" s="335">
        <f t="shared" si="73"/>
        <v>7.2763013263528311</v>
      </c>
      <c r="E33" s="335">
        <f t="shared" si="73"/>
        <v>6.1673474892747677</v>
      </c>
      <c r="F33" s="335"/>
      <c r="G33" s="335">
        <f t="shared" si="73"/>
        <v>6.1871788317072305</v>
      </c>
      <c r="H33" s="335">
        <f t="shared" si="73"/>
        <v>3.2756696964342691</v>
      </c>
      <c r="I33" s="335">
        <f t="shared" si="73"/>
        <v>7.8845395782630234</v>
      </c>
      <c r="J33" s="335">
        <f t="shared" si="73"/>
        <v>5.578724369422023</v>
      </c>
      <c r="K33" s="335"/>
      <c r="L33" s="335">
        <f t="shared" si="73"/>
        <v>5.0280610831993453</v>
      </c>
      <c r="M33" s="335">
        <f t="shared" si="73"/>
        <v>3.8677578565819473</v>
      </c>
      <c r="N33" s="335">
        <f t="shared" si="73"/>
        <v>8.7582244963507154</v>
      </c>
      <c r="O33" s="335">
        <f t="shared" si="73"/>
        <v>5.1916444840312677</v>
      </c>
      <c r="Q33" t="str">
        <f>$A$15</f>
        <v>Process, plant and machine operatives</v>
      </c>
      <c r="R33" s="335">
        <f t="shared" ref="R33:U33" si="74">R15/R$18*100</f>
        <v>10.791240974728874</v>
      </c>
      <c r="S33" s="335">
        <f t="shared" si="74"/>
        <v>7.8727627272468164</v>
      </c>
      <c r="T33" s="335">
        <f t="shared" si="74"/>
        <v>9.9993566409091219</v>
      </c>
      <c r="U33" s="335">
        <f t="shared" si="74"/>
        <v>10.23798595432511</v>
      </c>
      <c r="V33" s="335"/>
      <c r="W33" s="335">
        <f t="shared" ref="W33:Z33" si="75">W15/W$18*100</f>
        <v>9.2011904864849985</v>
      </c>
      <c r="X33" s="335">
        <f t="shared" si="75"/>
        <v>8.8334038570695057</v>
      </c>
      <c r="Y33" s="335">
        <f t="shared" si="75"/>
        <v>11.307729106360233</v>
      </c>
      <c r="Z33" s="335">
        <f t="shared" si="75"/>
        <v>9.4543572552291604</v>
      </c>
      <c r="AA33" s="335"/>
      <c r="AB33" s="335">
        <f t="shared" ref="AB33:AE33" si="76">AB15/AB$18*100</f>
        <v>7.485508465671538</v>
      </c>
      <c r="AC33" s="335">
        <f t="shared" si="76"/>
        <v>9.1077485868500609</v>
      </c>
      <c r="AD33" s="335">
        <f t="shared" si="76"/>
        <v>12.591755579896569</v>
      </c>
      <c r="AE33" s="335">
        <f t="shared" si="76"/>
        <v>8.5474804069945147</v>
      </c>
      <c r="AG33" t="str">
        <f>$A$15</f>
        <v>Process, plant and machine operatives</v>
      </c>
      <c r="AH33" s="335">
        <f t="shared" ref="AH33:AK33" si="77">AH15/AH$18*100</f>
        <v>2.0802339265278782</v>
      </c>
      <c r="AI33" s="335">
        <f t="shared" si="77"/>
        <v>1.0331186864439048</v>
      </c>
      <c r="AJ33" s="335">
        <f t="shared" si="77"/>
        <v>2.1081396480715298</v>
      </c>
      <c r="AK33" s="335">
        <f t="shared" si="77"/>
        <v>1.6348466677028457</v>
      </c>
      <c r="AL33" s="335"/>
      <c r="AM33" s="335">
        <f t="shared" ref="AM33:AP33" si="78">AM15/AM$18*100</f>
        <v>1.5830968306239712</v>
      </c>
      <c r="AN33" s="335">
        <f t="shared" si="78"/>
        <v>0.92534355310385319</v>
      </c>
      <c r="AO33" s="335">
        <f t="shared" si="78"/>
        <v>2.5139764256260402</v>
      </c>
      <c r="AP33" s="335">
        <f t="shared" si="78"/>
        <v>1.4068027491902799</v>
      </c>
      <c r="AQ33" s="335"/>
      <c r="AR33" s="335">
        <f t="shared" ref="AR33:AU33" si="79">AR15/AR$18*100</f>
        <v>1.5411154545548578</v>
      </c>
      <c r="AS33" s="335">
        <f t="shared" si="79"/>
        <v>1.4735006155341295</v>
      </c>
      <c r="AT33" s="335">
        <f t="shared" si="79"/>
        <v>2.7675333979169019</v>
      </c>
      <c r="AU33" s="335">
        <f t="shared" si="79"/>
        <v>1.6426984848960684</v>
      </c>
    </row>
    <row r="34" spans="1:47">
      <c r="A34" t="str">
        <f>$A$16</f>
        <v>Elementary occupations</v>
      </c>
      <c r="B34" s="335">
        <f t="shared" si="30"/>
        <v>8.2216418653980305</v>
      </c>
      <c r="C34" s="335">
        <f t="shared" ref="C34:O34" si="80">C16/C$18*100</f>
        <v>21.166081166247359</v>
      </c>
      <c r="D34" s="335">
        <f t="shared" si="80"/>
        <v>5.9051943873787707</v>
      </c>
      <c r="E34" s="335">
        <f t="shared" si="80"/>
        <v>11.523494355751694</v>
      </c>
      <c r="F34" s="335"/>
      <c r="G34" s="335">
        <f t="shared" si="80"/>
        <v>6.8066516182345191</v>
      </c>
      <c r="H34" s="335">
        <f t="shared" si="80"/>
        <v>18.990981258870352</v>
      </c>
      <c r="I34" s="335">
        <f t="shared" si="80"/>
        <v>5.1096634298880961</v>
      </c>
      <c r="J34" s="335">
        <f t="shared" si="80"/>
        <v>10.034223324274173</v>
      </c>
      <c r="K34" s="335"/>
      <c r="L34" s="335">
        <f t="shared" si="80"/>
        <v>6.9020878185482317</v>
      </c>
      <c r="M34" s="335">
        <f t="shared" si="80"/>
        <v>15.907419705228637</v>
      </c>
      <c r="N34" s="335">
        <f t="shared" si="80"/>
        <v>6.2918156535730283</v>
      </c>
      <c r="O34" s="335">
        <f t="shared" si="80"/>
        <v>9.3176236667425076</v>
      </c>
      <c r="Q34" t="str">
        <f>$A$16</f>
        <v>Elementary occupations</v>
      </c>
      <c r="R34" s="335">
        <f t="shared" ref="R34:U34" si="81">R16/R$18*100</f>
        <v>9.8424644480860692</v>
      </c>
      <c r="S34" s="335">
        <f t="shared" si="81"/>
        <v>28.459582928958703</v>
      </c>
      <c r="T34" s="335">
        <f t="shared" si="81"/>
        <v>4.7058023839050183</v>
      </c>
      <c r="U34" s="335">
        <f t="shared" si="81"/>
        <v>11.693153231729921</v>
      </c>
      <c r="V34" s="335"/>
      <c r="W34" s="335">
        <f t="shared" ref="W34:Z34" si="82">W16/W$18*100</f>
        <v>8.2409285760280966</v>
      </c>
      <c r="X34" s="335">
        <f t="shared" si="82"/>
        <v>24.081259970144387</v>
      </c>
      <c r="Y34" s="335">
        <f t="shared" si="82"/>
        <v>4.613320836506082</v>
      </c>
      <c r="Z34" s="335">
        <f t="shared" si="82"/>
        <v>10.267388951287423</v>
      </c>
      <c r="AA34" s="335"/>
      <c r="AB34" s="335">
        <f t="shared" ref="AB34:AE34" si="83">AB16/AB$18*100</f>
        <v>8.3355047244155998</v>
      </c>
      <c r="AC34" s="335">
        <f t="shared" si="83"/>
        <v>19.658486222101914</v>
      </c>
      <c r="AD34" s="335">
        <f t="shared" si="83"/>
        <v>5.458946238268692</v>
      </c>
      <c r="AE34" s="335">
        <f t="shared" si="83"/>
        <v>9.8058536132280434</v>
      </c>
      <c r="AG34" t="str">
        <f>$A$16</f>
        <v>Elementary occupations</v>
      </c>
      <c r="AH34" s="335">
        <f t="shared" ref="AH34:AK34" si="84">AH16/AH$18*100</f>
        <v>5.6009187499360289</v>
      </c>
      <c r="AI34" s="335">
        <f t="shared" si="84"/>
        <v>18.41684715268757</v>
      </c>
      <c r="AJ34" s="335">
        <f t="shared" si="84"/>
        <v>8.1815535037193996</v>
      </c>
      <c r="AK34" s="335">
        <f t="shared" si="84"/>
        <v>11.334585662100665</v>
      </c>
      <c r="AL34" s="335"/>
      <c r="AM34" s="335">
        <f t="shared" ref="AM34:AP34" si="85">AM16/AM$18*100</f>
        <v>4.6157082901030337</v>
      </c>
      <c r="AN34" s="335">
        <f t="shared" si="85"/>
        <v>16.83833869156587</v>
      </c>
      <c r="AO34" s="335">
        <f t="shared" si="85"/>
        <v>5.8883638848942894</v>
      </c>
      <c r="AP34" s="335">
        <f t="shared" si="85"/>
        <v>9.7832323896080506</v>
      </c>
      <c r="AQ34" s="335"/>
      <c r="AR34" s="335">
        <f t="shared" ref="AR34:AU34" si="86">AR16/AR$18*100</f>
        <v>4.8681696766626832</v>
      </c>
      <c r="AS34" s="335">
        <f t="shared" si="86"/>
        <v>14.193481908011163</v>
      </c>
      <c r="AT34" s="335">
        <f t="shared" si="86"/>
        <v>7.593347657275058</v>
      </c>
      <c r="AU34" s="335">
        <f t="shared" si="86"/>
        <v>8.8012987465098647</v>
      </c>
    </row>
    <row r="35" spans="1:47"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5"/>
      <c r="AC35" s="335"/>
      <c r="AD35" s="335"/>
      <c r="AE35" s="335"/>
      <c r="AH35" s="335"/>
      <c r="AI35" s="335"/>
      <c r="AJ35" s="335"/>
      <c r="AK35" s="335"/>
      <c r="AL35" s="335"/>
      <c r="AM35" s="335"/>
      <c r="AN35" s="335"/>
      <c r="AO35" s="335"/>
      <c r="AP35" s="335"/>
      <c r="AQ35" s="335"/>
      <c r="AR35" s="335"/>
      <c r="AS35" s="335"/>
      <c r="AT35" s="335"/>
      <c r="AU35" s="335"/>
    </row>
    <row r="36" spans="1:47">
      <c r="A36" s="21" t="str">
        <f>$A$18</f>
        <v>All occupations</v>
      </c>
      <c r="B36" s="336">
        <f>B18/B$18*100</f>
        <v>100</v>
      </c>
      <c r="C36" s="336">
        <f t="shared" ref="C36:O36" si="87">C18/C$18*100</f>
        <v>100</v>
      </c>
      <c r="D36" s="336">
        <f t="shared" si="87"/>
        <v>100</v>
      </c>
      <c r="E36" s="336">
        <f t="shared" si="87"/>
        <v>100</v>
      </c>
      <c r="F36" s="336"/>
      <c r="G36" s="336">
        <f t="shared" si="87"/>
        <v>100</v>
      </c>
      <c r="H36" s="336">
        <f t="shared" si="87"/>
        <v>100</v>
      </c>
      <c r="I36" s="336">
        <f t="shared" si="87"/>
        <v>100</v>
      </c>
      <c r="J36" s="336">
        <f t="shared" si="87"/>
        <v>100</v>
      </c>
      <c r="K36" s="336"/>
      <c r="L36" s="336">
        <f t="shared" si="87"/>
        <v>100</v>
      </c>
      <c r="M36" s="336">
        <f t="shared" si="87"/>
        <v>100</v>
      </c>
      <c r="N36" s="336">
        <f t="shared" si="87"/>
        <v>100</v>
      </c>
      <c r="O36" s="336">
        <f t="shared" si="87"/>
        <v>100</v>
      </c>
      <c r="Q36" s="21" t="str">
        <f>$A$18</f>
        <v>All occupations</v>
      </c>
      <c r="R36" s="336">
        <f>R18/R$18*100</f>
        <v>100</v>
      </c>
      <c r="S36" s="336">
        <f t="shared" ref="S36:U36" si="88">S18/S$18*100</f>
        <v>100</v>
      </c>
      <c r="T36" s="336">
        <f t="shared" si="88"/>
        <v>100</v>
      </c>
      <c r="U36" s="336">
        <f t="shared" si="88"/>
        <v>100</v>
      </c>
      <c r="V36" s="336"/>
      <c r="W36" s="336">
        <f t="shared" ref="W36:Z36" si="89">W18/W$18*100</f>
        <v>100</v>
      </c>
      <c r="X36" s="336">
        <f t="shared" si="89"/>
        <v>100</v>
      </c>
      <c r="Y36" s="336">
        <f t="shared" si="89"/>
        <v>100</v>
      </c>
      <c r="Z36" s="336">
        <f t="shared" si="89"/>
        <v>100</v>
      </c>
      <c r="AA36" s="336"/>
      <c r="AB36" s="336">
        <f t="shared" ref="AB36:AE36" si="90">AB18/AB$18*100</f>
        <v>100</v>
      </c>
      <c r="AC36" s="336">
        <f t="shared" si="90"/>
        <v>100</v>
      </c>
      <c r="AD36" s="336">
        <f t="shared" si="90"/>
        <v>100</v>
      </c>
      <c r="AE36" s="336">
        <f t="shared" si="90"/>
        <v>100</v>
      </c>
      <c r="AG36" s="21" t="str">
        <f>$A$18</f>
        <v>All occupations</v>
      </c>
      <c r="AH36" s="336">
        <f>AH18/AH$18*100</f>
        <v>100</v>
      </c>
      <c r="AI36" s="336">
        <f t="shared" ref="AI36:AK36" si="91">AI18/AI$18*100</f>
        <v>100</v>
      </c>
      <c r="AJ36" s="336">
        <f t="shared" si="91"/>
        <v>100</v>
      </c>
      <c r="AK36" s="336">
        <f t="shared" si="91"/>
        <v>100</v>
      </c>
      <c r="AL36" s="336"/>
      <c r="AM36" s="336">
        <f t="shared" ref="AM36:AP36" si="92">AM18/AM$18*100</f>
        <v>100</v>
      </c>
      <c r="AN36" s="336">
        <f t="shared" si="92"/>
        <v>100</v>
      </c>
      <c r="AO36" s="336">
        <f t="shared" si="92"/>
        <v>100</v>
      </c>
      <c r="AP36" s="336">
        <f t="shared" si="92"/>
        <v>100</v>
      </c>
      <c r="AQ36" s="336"/>
      <c r="AR36" s="336">
        <f t="shared" ref="AR36:AU36" si="93">AR18/AR$18*100</f>
        <v>100</v>
      </c>
      <c r="AS36" s="336">
        <f t="shared" si="93"/>
        <v>100</v>
      </c>
      <c r="AT36" s="336">
        <f t="shared" si="93"/>
        <v>100</v>
      </c>
      <c r="AU36" s="336">
        <f t="shared" si="93"/>
        <v>100</v>
      </c>
    </row>
    <row r="37" spans="1:47">
      <c r="B37" s="335"/>
      <c r="C37" s="335"/>
      <c r="D37" s="335"/>
      <c r="E37" s="335"/>
      <c r="F37" s="335"/>
      <c r="G37" s="335"/>
      <c r="H37" s="335"/>
      <c r="I37" s="335"/>
      <c r="J37" s="335"/>
      <c r="K37" s="335"/>
      <c r="L37" s="335"/>
      <c r="M37" s="335"/>
      <c r="N37" s="335"/>
      <c r="O37" s="335"/>
      <c r="R37" s="335"/>
      <c r="S37" s="335"/>
      <c r="T37" s="335"/>
      <c r="U37" s="335"/>
      <c r="V37" s="335"/>
      <c r="W37" s="335"/>
      <c r="X37" s="335"/>
      <c r="Y37" s="335"/>
      <c r="Z37" s="335"/>
      <c r="AA37" s="335"/>
      <c r="AB37" s="335"/>
      <c r="AC37" s="335"/>
      <c r="AD37" s="335"/>
      <c r="AE37" s="335"/>
      <c r="AH37" s="335"/>
      <c r="AI37" s="335"/>
      <c r="AJ37" s="335"/>
      <c r="AK37" s="335"/>
      <c r="AL37" s="335"/>
      <c r="AM37" s="335"/>
      <c r="AN37" s="335"/>
      <c r="AO37" s="335"/>
      <c r="AP37" s="335"/>
      <c r="AQ37" s="335"/>
      <c r="AR37" s="335"/>
      <c r="AS37" s="335"/>
      <c r="AT37" s="335"/>
      <c r="AU37" s="335"/>
    </row>
    <row r="38" spans="1:47">
      <c r="B38" s="335"/>
      <c r="C38" s="335"/>
      <c r="D38" s="335"/>
      <c r="E38" s="335"/>
      <c r="F38" s="335"/>
      <c r="G38" s="335"/>
      <c r="H38" s="335"/>
      <c r="I38" s="335"/>
      <c r="J38" s="335"/>
      <c r="K38" s="335"/>
      <c r="L38" s="335"/>
      <c r="M38" s="335"/>
      <c r="N38" s="335"/>
      <c r="O38" s="335"/>
      <c r="R38" s="335"/>
      <c r="S38" s="335"/>
      <c r="T38" s="335"/>
      <c r="U38" s="335"/>
      <c r="V38" s="335"/>
      <c r="W38" s="335"/>
      <c r="X38" s="335"/>
      <c r="Y38" s="335"/>
      <c r="Z38" s="335"/>
      <c r="AA38" s="335"/>
      <c r="AB38" s="335"/>
      <c r="AC38" s="335"/>
      <c r="AD38" s="335"/>
      <c r="AE38" s="335"/>
      <c r="AH38" s="335"/>
      <c r="AI38" s="335"/>
      <c r="AJ38" s="335"/>
      <c r="AK38" s="335"/>
      <c r="AL38" s="335"/>
      <c r="AM38" s="335"/>
      <c r="AN38" s="335"/>
      <c r="AO38" s="335"/>
      <c r="AP38" s="335"/>
      <c r="AQ38" s="335"/>
      <c r="AR38" s="335"/>
      <c r="AS38" s="335"/>
      <c r="AT38" s="335"/>
      <c r="AU38" s="335"/>
    </row>
    <row r="39" spans="1:47">
      <c r="B39" s="335"/>
      <c r="C39" s="335"/>
      <c r="D39" s="335"/>
      <c r="E39" s="335"/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R39" s="335"/>
      <c r="S39" s="335"/>
      <c r="T39" s="335"/>
      <c r="U39" s="335"/>
      <c r="V39" s="335"/>
      <c r="W39" s="335"/>
      <c r="X39" s="335"/>
      <c r="Y39" s="335"/>
      <c r="Z39" s="335"/>
      <c r="AA39" s="335"/>
      <c r="AB39" s="335"/>
      <c r="AC39" s="335"/>
      <c r="AD39" s="335"/>
      <c r="AE39" s="335"/>
      <c r="AH39" s="335"/>
      <c r="AI39" s="335"/>
      <c r="AJ39" s="335"/>
      <c r="AK39" s="335"/>
      <c r="AL39" s="335"/>
      <c r="AM39" s="335"/>
      <c r="AN39" s="335"/>
      <c r="AO39" s="335"/>
      <c r="AP39" s="335"/>
      <c r="AQ39" s="335"/>
      <c r="AR39" s="335"/>
      <c r="AS39" s="335"/>
      <c r="AT39" s="335"/>
      <c r="AU39" s="335"/>
    </row>
    <row r="40" spans="1:47">
      <c r="A40" s="28"/>
      <c r="B40" s="342"/>
      <c r="C40" s="342"/>
      <c r="D40" s="342"/>
      <c r="E40" s="342"/>
      <c r="F40" s="342"/>
      <c r="G40" s="342"/>
      <c r="H40" s="342"/>
      <c r="I40" s="342"/>
      <c r="J40" s="342"/>
      <c r="K40" s="342"/>
      <c r="L40" s="342"/>
      <c r="M40" s="342"/>
      <c r="N40" s="342"/>
      <c r="O40" s="342"/>
      <c r="Q40" s="28"/>
      <c r="R40" s="342"/>
      <c r="S40" s="342"/>
      <c r="T40" s="342"/>
      <c r="U40" s="342"/>
      <c r="V40" s="342"/>
      <c r="W40" s="342"/>
      <c r="X40" s="342"/>
      <c r="Y40" s="342"/>
      <c r="Z40" s="342"/>
      <c r="AA40" s="342"/>
      <c r="AB40" s="342"/>
      <c r="AC40" s="342"/>
      <c r="AD40" s="342"/>
      <c r="AE40" s="342"/>
      <c r="AG40" s="28"/>
      <c r="AH40" s="342"/>
      <c r="AI40" s="342"/>
      <c r="AJ40" s="342"/>
      <c r="AK40" s="342"/>
      <c r="AL40" s="342"/>
      <c r="AM40" s="342"/>
      <c r="AN40" s="342"/>
      <c r="AO40" s="342"/>
      <c r="AP40" s="342"/>
      <c r="AQ40" s="342"/>
      <c r="AR40" s="342"/>
      <c r="AS40" s="342"/>
      <c r="AT40" s="342"/>
      <c r="AU40" s="342"/>
    </row>
    <row r="41" spans="1:47" ht="12.95">
      <c r="B41" s="370" t="str">
        <f>B5&amp;"-"&amp;G5</f>
        <v>2015-2020</v>
      </c>
      <c r="C41" s="370"/>
      <c r="D41" s="370"/>
      <c r="E41" s="370"/>
      <c r="F41" s="1"/>
      <c r="G41" s="370" t="str">
        <f>G5&amp;"-"&amp;L5</f>
        <v>2020-2035</v>
      </c>
      <c r="H41" s="370"/>
      <c r="I41" s="370"/>
      <c r="J41" s="370"/>
      <c r="K41" s="1"/>
      <c r="L41" s="370" t="str">
        <f>B5&amp;"-"&amp;L5</f>
        <v>2015-2035</v>
      </c>
      <c r="M41" s="370"/>
      <c r="N41" s="370"/>
      <c r="O41" s="370"/>
      <c r="R41" s="370" t="str">
        <f>R5&amp;"-"&amp;W5</f>
        <v>2015-2020</v>
      </c>
      <c r="S41" s="370"/>
      <c r="T41" s="370"/>
      <c r="U41" s="370"/>
      <c r="V41" s="1"/>
      <c r="W41" s="370" t="str">
        <f>W5&amp;"-"&amp;AB5</f>
        <v>2020-2035</v>
      </c>
      <c r="X41" s="370"/>
      <c r="Y41" s="370"/>
      <c r="Z41" s="370"/>
      <c r="AA41" s="1"/>
      <c r="AB41" s="370" t="str">
        <f>R5&amp;"-"&amp;AB5</f>
        <v>2015-2035</v>
      </c>
      <c r="AC41" s="370"/>
      <c r="AD41" s="370"/>
      <c r="AE41" s="370"/>
      <c r="AH41" s="370" t="str">
        <f>AH5&amp;"-"&amp;AM5</f>
        <v>2015-2020</v>
      </c>
      <c r="AI41" s="370"/>
      <c r="AJ41" s="370"/>
      <c r="AK41" s="370"/>
      <c r="AL41" s="1"/>
      <c r="AM41" s="370" t="str">
        <f>AM5&amp;"-"&amp;AR5</f>
        <v>2020-2035</v>
      </c>
      <c r="AN41" s="370"/>
      <c r="AO41" s="370"/>
      <c r="AP41" s="370"/>
      <c r="AQ41" s="1"/>
      <c r="AR41" s="370" t="str">
        <f>AH5&amp;"-"&amp;AR5</f>
        <v>2015-2035</v>
      </c>
      <c r="AS41" s="370"/>
      <c r="AT41" s="370"/>
      <c r="AU41" s="370"/>
    </row>
    <row r="42" spans="1:47" ht="12.95">
      <c r="A42" s="31" t="s">
        <v>126</v>
      </c>
      <c r="B42" s="308" t="s">
        <v>139</v>
      </c>
      <c r="C42" s="308" t="s">
        <v>140</v>
      </c>
      <c r="D42" s="308" t="s">
        <v>141</v>
      </c>
      <c r="E42" s="308" t="s">
        <v>119</v>
      </c>
      <c r="F42" s="309"/>
      <c r="G42" s="308" t="s">
        <v>139</v>
      </c>
      <c r="H42" s="308" t="s">
        <v>140</v>
      </c>
      <c r="I42" s="308" t="s">
        <v>141</v>
      </c>
      <c r="J42" s="308" t="s">
        <v>119</v>
      </c>
      <c r="K42" s="309"/>
      <c r="L42" s="308" t="s">
        <v>139</v>
      </c>
      <c r="M42" s="308" t="s">
        <v>140</v>
      </c>
      <c r="N42" s="308" t="s">
        <v>141</v>
      </c>
      <c r="O42" s="308" t="s">
        <v>119</v>
      </c>
      <c r="Q42" s="31" t="s">
        <v>126</v>
      </c>
      <c r="R42" s="308" t="s">
        <v>139</v>
      </c>
      <c r="S42" s="308" t="s">
        <v>140</v>
      </c>
      <c r="T42" s="308" t="s">
        <v>141</v>
      </c>
      <c r="U42" s="308" t="s">
        <v>119</v>
      </c>
      <c r="V42" s="309"/>
      <c r="W42" s="308" t="s">
        <v>139</v>
      </c>
      <c r="X42" s="308" t="s">
        <v>140</v>
      </c>
      <c r="Y42" s="308" t="s">
        <v>141</v>
      </c>
      <c r="Z42" s="308" t="s">
        <v>119</v>
      </c>
      <c r="AA42" s="309"/>
      <c r="AB42" s="308" t="s">
        <v>139</v>
      </c>
      <c r="AC42" s="308" t="s">
        <v>140</v>
      </c>
      <c r="AD42" s="308" t="s">
        <v>141</v>
      </c>
      <c r="AE42" s="308" t="s">
        <v>119</v>
      </c>
      <c r="AG42" s="31" t="s">
        <v>126</v>
      </c>
      <c r="AH42" s="308" t="s">
        <v>139</v>
      </c>
      <c r="AI42" s="308" t="s">
        <v>140</v>
      </c>
      <c r="AJ42" s="308" t="s">
        <v>141</v>
      </c>
      <c r="AK42" s="308" t="s">
        <v>119</v>
      </c>
      <c r="AL42" s="309"/>
      <c r="AM42" s="308" t="s">
        <v>139</v>
      </c>
      <c r="AN42" s="308" t="s">
        <v>140</v>
      </c>
      <c r="AO42" s="308" t="s">
        <v>141</v>
      </c>
      <c r="AP42" s="308" t="s">
        <v>119</v>
      </c>
      <c r="AQ42" s="309"/>
      <c r="AR42" s="308" t="s">
        <v>139</v>
      </c>
      <c r="AS42" s="308" t="s">
        <v>140</v>
      </c>
      <c r="AT42" s="308" t="s">
        <v>141</v>
      </c>
      <c r="AU42" s="308" t="s">
        <v>119</v>
      </c>
    </row>
    <row r="43" spans="1:47" ht="12.95">
      <c r="A43" s="1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Q43" s="1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G43" s="1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</row>
    <row r="44" spans="1:47">
      <c r="A44" t="str">
        <f>$A$8</f>
        <v>Managers, directors and senior officials</v>
      </c>
      <c r="B44" s="225">
        <f>G8-B8</f>
        <v>273.90581280259835</v>
      </c>
      <c r="C44" s="225">
        <f t="shared" ref="C44:E44" si="94">H8-C8</f>
        <v>152.83895088442034</v>
      </c>
      <c r="D44" s="225">
        <f t="shared" si="94"/>
        <v>57.814029443325921</v>
      </c>
      <c r="E44" s="225">
        <f t="shared" si="94"/>
        <v>484.55879313034438</v>
      </c>
      <c r="F44" s="225"/>
      <c r="G44" s="225">
        <f>L8-G8</f>
        <v>-20.837774493722463</v>
      </c>
      <c r="H44" s="225">
        <f t="shared" ref="H44:J44" si="95">M8-H8</f>
        <v>87.470982362848929</v>
      </c>
      <c r="I44" s="225">
        <f t="shared" si="95"/>
        <v>78.226254533838755</v>
      </c>
      <c r="J44" s="225">
        <f t="shared" si="95"/>
        <v>144.85946240296516</v>
      </c>
      <c r="K44" s="225"/>
      <c r="L44" s="225">
        <f>L8-B8</f>
        <v>253.06803830887588</v>
      </c>
      <c r="M44" s="225">
        <f t="shared" ref="M44:O44" si="96">M8-C8</f>
        <v>240.30993324726927</v>
      </c>
      <c r="N44" s="225">
        <f t="shared" si="96"/>
        <v>136.04028397716468</v>
      </c>
      <c r="O44" s="225">
        <f t="shared" si="96"/>
        <v>629.41825553330955</v>
      </c>
      <c r="Q44" t="str">
        <f>$A$8</f>
        <v>Managers, directors and senior officials</v>
      </c>
      <c r="R44" s="225">
        <f>W8-R8</f>
        <v>153.50595273382442</v>
      </c>
      <c r="S44" s="225">
        <f t="shared" ref="S44:S52" si="97">X8-S8</f>
        <v>60.778843196975899</v>
      </c>
      <c r="T44" s="225">
        <f t="shared" ref="T44:T52" si="98">Y8-T8</f>
        <v>10.390587407751525</v>
      </c>
      <c r="U44" s="225">
        <f t="shared" ref="U44:U52" si="99">Z8-U8</f>
        <v>224.67538333855168</v>
      </c>
      <c r="V44" s="225"/>
      <c r="W44" s="225">
        <f>AB8-W8</f>
        <v>-62.454988897071416</v>
      </c>
      <c r="X44" s="225">
        <f t="shared" ref="X44:X52" si="100">AC8-X8</f>
        <v>15.098745312250799</v>
      </c>
      <c r="Y44" s="225">
        <f t="shared" ref="Y44:Y52" si="101">AD8-Y8</f>
        <v>57.969956589408753</v>
      </c>
      <c r="Z44" s="225">
        <f t="shared" ref="Z44:Z52" si="102">AE8-Z8</f>
        <v>10.613713004588135</v>
      </c>
      <c r="AA44" s="225"/>
      <c r="AB44" s="225">
        <f>AB8-R8</f>
        <v>91.050963836752999</v>
      </c>
      <c r="AC44" s="225">
        <f t="shared" ref="AC44:AC52" si="103">AC8-S8</f>
        <v>75.877588509226698</v>
      </c>
      <c r="AD44" s="225">
        <f t="shared" ref="AD44:AD52" si="104">AD8-T8</f>
        <v>68.360543997160278</v>
      </c>
      <c r="AE44" s="225">
        <f t="shared" ref="AE44:AE52" si="105">AE8-U8</f>
        <v>235.28909634313982</v>
      </c>
      <c r="AG44" t="str">
        <f>$A$8</f>
        <v>Managers, directors and senior officials</v>
      </c>
      <c r="AH44" s="225">
        <f>AM8-AH8</f>
        <v>120.39986006877905</v>
      </c>
      <c r="AI44" s="225">
        <f t="shared" ref="AI44:AI52" si="106">AN8-AI8</f>
        <v>92.060107687444258</v>
      </c>
      <c r="AJ44" s="225">
        <f t="shared" ref="AJ44:AJ52" si="107">AO8-AJ8</f>
        <v>47.423442035575135</v>
      </c>
      <c r="AK44" s="225">
        <f t="shared" ref="AK44:AK52" si="108">AP8-AK8</f>
        <v>259.88340979179827</v>
      </c>
      <c r="AL44" s="225"/>
      <c r="AM44" s="225">
        <f>AR8-AM8</f>
        <v>41.617214403344633</v>
      </c>
      <c r="AN44" s="225">
        <f t="shared" ref="AN44:AN52" si="109">AS8-AN8</f>
        <v>72.372237050598301</v>
      </c>
      <c r="AO44" s="225">
        <f t="shared" ref="AO44:AO52" si="110">AT8-AO8</f>
        <v>20.256297944429576</v>
      </c>
      <c r="AP44" s="225">
        <f t="shared" ref="AP44:AP52" si="111">AU8-AP8</f>
        <v>134.24574939837271</v>
      </c>
      <c r="AQ44" s="225"/>
      <c r="AR44" s="225">
        <f>AR8-AH8</f>
        <v>162.01707447212368</v>
      </c>
      <c r="AS44" s="225">
        <f t="shared" ref="AS44:AS52" si="112">AS8-AI8</f>
        <v>164.43234473804256</v>
      </c>
      <c r="AT44" s="225">
        <f t="shared" ref="AT44:AT52" si="113">AT8-AJ8</f>
        <v>67.679739980004712</v>
      </c>
      <c r="AU44" s="225">
        <f t="shared" ref="AU44:AU52" si="114">AU8-AK8</f>
        <v>394.12915919017098</v>
      </c>
    </row>
    <row r="45" spans="1:47">
      <c r="A45" t="str">
        <f>$A$9</f>
        <v>Professional occupations</v>
      </c>
      <c r="B45" s="225">
        <f t="shared" ref="B45:B54" si="115">G9-B9</f>
        <v>837.12358389172914</v>
      </c>
      <c r="C45" s="225">
        <f t="shared" ref="C45:C54" si="116">H9-C9</f>
        <v>259.44547793176753</v>
      </c>
      <c r="D45" s="225">
        <f t="shared" ref="D45:D54" si="117">I9-D9</f>
        <v>42.565992120458532</v>
      </c>
      <c r="E45" s="225">
        <f t="shared" ref="E45:E54" si="118">J9-E9</f>
        <v>1139.1350539439554</v>
      </c>
      <c r="F45" s="225"/>
      <c r="G45" s="225">
        <f t="shared" ref="G45:G54" si="119">L9-G9</f>
        <v>1056.7657557125531</v>
      </c>
      <c r="H45" s="225">
        <f t="shared" ref="H45:H54" si="120">M9-H9</f>
        <v>267.96077178336964</v>
      </c>
      <c r="I45" s="225">
        <f t="shared" ref="I45:I54" si="121">N9-I9</f>
        <v>10.053205097017781</v>
      </c>
      <c r="J45" s="225">
        <f t="shared" ref="J45:J54" si="122">O9-J9</f>
        <v>1334.7797325929396</v>
      </c>
      <c r="K45" s="225"/>
      <c r="L45" s="225">
        <f t="shared" ref="L45:L54" si="123">L9-B9</f>
        <v>1893.8893396042822</v>
      </c>
      <c r="M45" s="225">
        <f t="shared" ref="M45:M54" si="124">M9-C9</f>
        <v>527.40624971513716</v>
      </c>
      <c r="N45" s="225">
        <f t="shared" ref="N45:N54" si="125">N9-D9</f>
        <v>52.619197217476312</v>
      </c>
      <c r="O45" s="225">
        <f t="shared" ref="O45:O54" si="126">O9-E9</f>
        <v>2473.914786536895</v>
      </c>
      <c r="Q45" t="str">
        <f>$A$9</f>
        <v>Professional occupations</v>
      </c>
      <c r="R45" s="225">
        <f t="shared" ref="R45:R52" si="127">W9-R9</f>
        <v>433.73455564886672</v>
      </c>
      <c r="S45" s="225">
        <f t="shared" si="97"/>
        <v>105.41956797512546</v>
      </c>
      <c r="T45" s="225">
        <f t="shared" si="98"/>
        <v>-26.288562637530049</v>
      </c>
      <c r="U45" s="225">
        <f t="shared" si="99"/>
        <v>512.86556098646179</v>
      </c>
      <c r="V45" s="225"/>
      <c r="W45" s="225">
        <f t="shared" ref="W45:W52" si="128">AB9-W9</f>
        <v>655.34277966758918</v>
      </c>
      <c r="X45" s="225">
        <f t="shared" si="100"/>
        <v>124.61174110943853</v>
      </c>
      <c r="Y45" s="225">
        <f t="shared" si="101"/>
        <v>-34.126101500364314</v>
      </c>
      <c r="Z45" s="225">
        <f t="shared" si="102"/>
        <v>745.82841927666414</v>
      </c>
      <c r="AA45" s="225"/>
      <c r="AB45" s="225">
        <f t="shared" ref="AB45:AB52" si="129">AB9-R9</f>
        <v>1089.0773353164559</v>
      </c>
      <c r="AC45" s="225">
        <f t="shared" si="103"/>
        <v>230.03130908456399</v>
      </c>
      <c r="AD45" s="225">
        <f t="shared" si="104"/>
        <v>-60.414664137894363</v>
      </c>
      <c r="AE45" s="225">
        <f t="shared" si="105"/>
        <v>1258.6939802631259</v>
      </c>
      <c r="AG45" t="str">
        <f>$A$9</f>
        <v>Professional occupations</v>
      </c>
      <c r="AH45" s="225">
        <f t="shared" ref="AH45:AH52" si="130">AM9-AH9</f>
        <v>403.38902824285833</v>
      </c>
      <c r="AI45" s="225">
        <f t="shared" si="106"/>
        <v>154.02590995664195</v>
      </c>
      <c r="AJ45" s="225">
        <f t="shared" si="107"/>
        <v>68.854554757988922</v>
      </c>
      <c r="AK45" s="225">
        <f t="shared" si="108"/>
        <v>626.26949295748909</v>
      </c>
      <c r="AL45" s="225"/>
      <c r="AM45" s="225">
        <f t="shared" ref="AM45:AM52" si="131">AR9-AM9</f>
        <v>401.42297604496662</v>
      </c>
      <c r="AN45" s="225">
        <f t="shared" si="109"/>
        <v>143.34903067393111</v>
      </c>
      <c r="AO45" s="225">
        <f t="shared" si="110"/>
        <v>44.179306597382151</v>
      </c>
      <c r="AP45" s="225">
        <f t="shared" si="111"/>
        <v>588.95131331627999</v>
      </c>
      <c r="AQ45" s="225"/>
      <c r="AR45" s="225">
        <f t="shared" ref="AR45:AR52" si="132">AR9-AH9</f>
        <v>804.81200428782495</v>
      </c>
      <c r="AS45" s="225">
        <f t="shared" si="112"/>
        <v>297.37494063057306</v>
      </c>
      <c r="AT45" s="225">
        <f t="shared" si="113"/>
        <v>113.03386135537107</v>
      </c>
      <c r="AU45" s="225">
        <f t="shared" si="114"/>
        <v>1215.2208062737691</v>
      </c>
    </row>
    <row r="46" spans="1:47">
      <c r="A46" t="str">
        <f>$A$10</f>
        <v>Associate professional occupations</v>
      </c>
      <c r="B46" s="225">
        <f t="shared" si="115"/>
        <v>353.01093901247759</v>
      </c>
      <c r="C46" s="225">
        <f t="shared" si="116"/>
        <v>119.49257451854498</v>
      </c>
      <c r="D46" s="225">
        <f t="shared" si="117"/>
        <v>2.9375452169830396</v>
      </c>
      <c r="E46" s="225">
        <f t="shared" si="118"/>
        <v>475.44105874800516</v>
      </c>
      <c r="F46" s="225"/>
      <c r="G46" s="225">
        <f t="shared" si="119"/>
        <v>370.50997991806253</v>
      </c>
      <c r="H46" s="225">
        <f t="shared" si="120"/>
        <v>205.27992547001497</v>
      </c>
      <c r="I46" s="225">
        <f t="shared" si="121"/>
        <v>48.82636763088658</v>
      </c>
      <c r="J46" s="225">
        <f t="shared" si="122"/>
        <v>624.61627301896442</v>
      </c>
      <c r="K46" s="225"/>
      <c r="L46" s="225">
        <f t="shared" si="123"/>
        <v>723.52091893054012</v>
      </c>
      <c r="M46" s="225">
        <f t="shared" si="124"/>
        <v>324.77249998855996</v>
      </c>
      <c r="N46" s="225">
        <f t="shared" si="125"/>
        <v>51.763912847869619</v>
      </c>
      <c r="O46" s="225">
        <f t="shared" si="126"/>
        <v>1100.0573317669696</v>
      </c>
      <c r="Q46" t="str">
        <f>$A$10</f>
        <v>Associate professional occupations</v>
      </c>
      <c r="R46" s="225">
        <f t="shared" si="127"/>
        <v>166.48184123678152</v>
      </c>
      <c r="S46" s="225">
        <f t="shared" si="97"/>
        <v>59.930190932798581</v>
      </c>
      <c r="T46" s="225">
        <f t="shared" si="98"/>
        <v>-21.405822112578505</v>
      </c>
      <c r="U46" s="225">
        <f t="shared" si="99"/>
        <v>205.00621005700123</v>
      </c>
      <c r="V46" s="225"/>
      <c r="W46" s="225">
        <f t="shared" si="128"/>
        <v>-32.260254220606384</v>
      </c>
      <c r="X46" s="225">
        <f t="shared" si="100"/>
        <v>17.882655640421518</v>
      </c>
      <c r="Y46" s="225">
        <f t="shared" si="101"/>
        <v>24.372168065841834</v>
      </c>
      <c r="Z46" s="225">
        <f t="shared" si="102"/>
        <v>9.9945694856569389</v>
      </c>
      <c r="AA46" s="225"/>
      <c r="AB46" s="225">
        <f t="shared" si="129"/>
        <v>134.22158701617514</v>
      </c>
      <c r="AC46" s="225">
        <f t="shared" si="103"/>
        <v>77.812846573220099</v>
      </c>
      <c r="AD46" s="225">
        <f t="shared" si="104"/>
        <v>2.9663459532633283</v>
      </c>
      <c r="AE46" s="225">
        <f t="shared" si="105"/>
        <v>215.00077954265817</v>
      </c>
      <c r="AG46" t="str">
        <f>$A$10</f>
        <v>Associate professional occupations</v>
      </c>
      <c r="AH46" s="225">
        <f t="shared" si="130"/>
        <v>186.52909777569994</v>
      </c>
      <c r="AI46" s="225">
        <f t="shared" si="106"/>
        <v>59.562383585746772</v>
      </c>
      <c r="AJ46" s="225">
        <f t="shared" si="107"/>
        <v>24.343367329560976</v>
      </c>
      <c r="AK46" s="225">
        <f t="shared" si="108"/>
        <v>270.43484869100757</v>
      </c>
      <c r="AL46" s="225"/>
      <c r="AM46" s="225">
        <f t="shared" si="131"/>
        <v>402.77023413866755</v>
      </c>
      <c r="AN46" s="225">
        <f t="shared" si="109"/>
        <v>187.39726982959291</v>
      </c>
      <c r="AO46" s="225">
        <f t="shared" si="110"/>
        <v>24.454199565045542</v>
      </c>
      <c r="AP46" s="225">
        <f t="shared" si="111"/>
        <v>614.62170353330612</v>
      </c>
      <c r="AQ46" s="225"/>
      <c r="AR46" s="225">
        <f t="shared" si="132"/>
        <v>589.29933191436749</v>
      </c>
      <c r="AS46" s="225">
        <f t="shared" si="112"/>
        <v>246.95965341533969</v>
      </c>
      <c r="AT46" s="225">
        <f t="shared" si="113"/>
        <v>48.797566894606518</v>
      </c>
      <c r="AU46" s="225">
        <f t="shared" si="114"/>
        <v>885.05655222431369</v>
      </c>
    </row>
    <row r="47" spans="1:47">
      <c r="A47" t="str">
        <f>$A$11</f>
        <v>Administrative and secretarial occupations</v>
      </c>
      <c r="B47" s="225">
        <f t="shared" si="115"/>
        <v>1.1467559551965678</v>
      </c>
      <c r="C47" s="225">
        <f t="shared" si="116"/>
        <v>-1.7484570792973955</v>
      </c>
      <c r="D47" s="225">
        <f t="shared" si="117"/>
        <v>-9.285570892266918</v>
      </c>
      <c r="E47" s="225">
        <f t="shared" si="118"/>
        <v>-9.8872720163676604</v>
      </c>
      <c r="F47" s="225"/>
      <c r="G47" s="225">
        <f t="shared" si="119"/>
        <v>-11.888184499718818</v>
      </c>
      <c r="H47" s="225">
        <f t="shared" si="120"/>
        <v>-118.28463182412634</v>
      </c>
      <c r="I47" s="225">
        <f t="shared" si="121"/>
        <v>-3.1094589868922213</v>
      </c>
      <c r="J47" s="225">
        <f t="shared" si="122"/>
        <v>-133.28227531073753</v>
      </c>
      <c r="K47" s="225"/>
      <c r="L47" s="225">
        <f t="shared" si="123"/>
        <v>-10.74142854452225</v>
      </c>
      <c r="M47" s="225">
        <f t="shared" si="124"/>
        <v>-120.03308890342373</v>
      </c>
      <c r="N47" s="225">
        <f t="shared" si="125"/>
        <v>-12.395029879159139</v>
      </c>
      <c r="O47" s="225">
        <f t="shared" si="126"/>
        <v>-143.16954732710519</v>
      </c>
      <c r="Q47" t="str">
        <f>$A$11</f>
        <v>Administrative and secretarial occupations</v>
      </c>
      <c r="R47" s="225">
        <f t="shared" si="127"/>
        <v>52.40950846794874</v>
      </c>
      <c r="S47" s="225">
        <f t="shared" si="97"/>
        <v>35.71716178204241</v>
      </c>
      <c r="T47" s="225">
        <f t="shared" si="98"/>
        <v>-7.9021174851207157</v>
      </c>
      <c r="U47" s="225">
        <f t="shared" si="99"/>
        <v>80.224552764870396</v>
      </c>
      <c r="V47" s="225"/>
      <c r="W47" s="225">
        <f t="shared" si="128"/>
        <v>145.59153119815721</v>
      </c>
      <c r="X47" s="225">
        <f t="shared" si="100"/>
        <v>-7.0149647924914973</v>
      </c>
      <c r="Y47" s="225">
        <f t="shared" si="101"/>
        <v>10.34050819958561</v>
      </c>
      <c r="Z47" s="225">
        <f t="shared" si="102"/>
        <v>148.91707460525129</v>
      </c>
      <c r="AA47" s="225"/>
      <c r="AB47" s="225">
        <f t="shared" si="129"/>
        <v>198.00103966610595</v>
      </c>
      <c r="AC47" s="225">
        <f t="shared" si="103"/>
        <v>28.702196989550913</v>
      </c>
      <c r="AD47" s="225">
        <f t="shared" si="104"/>
        <v>2.4383907144648944</v>
      </c>
      <c r="AE47" s="225">
        <f t="shared" si="105"/>
        <v>229.14162737012168</v>
      </c>
      <c r="AG47" t="str">
        <f>$A$11</f>
        <v>Administrative and secretarial occupations</v>
      </c>
      <c r="AH47" s="225">
        <f t="shared" si="130"/>
        <v>-51.262752512752513</v>
      </c>
      <c r="AI47" s="225">
        <f t="shared" si="106"/>
        <v>-37.46561886134009</v>
      </c>
      <c r="AJ47" s="225">
        <f t="shared" si="107"/>
        <v>-1.3834534071462485</v>
      </c>
      <c r="AK47" s="225">
        <f t="shared" si="108"/>
        <v>-90.111824781238738</v>
      </c>
      <c r="AL47" s="225"/>
      <c r="AM47" s="225">
        <f t="shared" si="131"/>
        <v>-157.47971569787717</v>
      </c>
      <c r="AN47" s="225">
        <f t="shared" si="109"/>
        <v>-111.2696670316343</v>
      </c>
      <c r="AO47" s="225">
        <f t="shared" si="110"/>
        <v>-13.449967186477778</v>
      </c>
      <c r="AP47" s="225">
        <f t="shared" si="111"/>
        <v>-282.19934991598961</v>
      </c>
      <c r="AQ47" s="225"/>
      <c r="AR47" s="225">
        <f t="shared" si="132"/>
        <v>-208.74246821062968</v>
      </c>
      <c r="AS47" s="225">
        <f t="shared" si="112"/>
        <v>-148.73528589297439</v>
      </c>
      <c r="AT47" s="225">
        <f t="shared" si="113"/>
        <v>-14.833420593624027</v>
      </c>
      <c r="AU47" s="225">
        <f t="shared" si="114"/>
        <v>-372.31117469722835</v>
      </c>
    </row>
    <row r="48" spans="1:47">
      <c r="A48" t="str">
        <f>$A$12</f>
        <v>Skilled trades occupations</v>
      </c>
      <c r="B48" s="225">
        <f t="shared" si="115"/>
        <v>-249.1090828009726</v>
      </c>
      <c r="C48" s="225">
        <f t="shared" si="116"/>
        <v>-31.281920127044856</v>
      </c>
      <c r="D48" s="225">
        <f t="shared" si="117"/>
        <v>-101.9677524510214</v>
      </c>
      <c r="E48" s="225">
        <f t="shared" si="118"/>
        <v>-382.35875537903894</v>
      </c>
      <c r="F48" s="225"/>
      <c r="G48" s="225">
        <f t="shared" si="119"/>
        <v>-196.28205714970545</v>
      </c>
      <c r="H48" s="225">
        <f t="shared" si="120"/>
        <v>58.003061323229048</v>
      </c>
      <c r="I48" s="225">
        <f t="shared" si="121"/>
        <v>100.70613439899523</v>
      </c>
      <c r="J48" s="225">
        <f t="shared" si="122"/>
        <v>-37.572861427480802</v>
      </c>
      <c r="K48" s="225"/>
      <c r="L48" s="225">
        <f t="shared" si="123"/>
        <v>-445.39113995067805</v>
      </c>
      <c r="M48" s="225">
        <f t="shared" si="124"/>
        <v>26.721141196184192</v>
      </c>
      <c r="N48" s="225">
        <f t="shared" si="125"/>
        <v>-1.2616180520261651</v>
      </c>
      <c r="O48" s="225">
        <f t="shared" si="126"/>
        <v>-419.93161680651974</v>
      </c>
      <c r="Q48" t="str">
        <f>$A$12</f>
        <v>Skilled trades occupations</v>
      </c>
      <c r="R48" s="225">
        <f t="shared" si="127"/>
        <v>-252.25597758696017</v>
      </c>
      <c r="S48" s="225">
        <f t="shared" si="97"/>
        <v>-26.267499990733313</v>
      </c>
      <c r="T48" s="225">
        <f t="shared" si="98"/>
        <v>-116.29773705859759</v>
      </c>
      <c r="U48" s="225">
        <f t="shared" si="99"/>
        <v>-394.82121463629073</v>
      </c>
      <c r="V48" s="225"/>
      <c r="W48" s="225">
        <f t="shared" si="128"/>
        <v>-211.89331296603882</v>
      </c>
      <c r="X48" s="225">
        <f t="shared" si="100"/>
        <v>39.121149421473945</v>
      </c>
      <c r="Y48" s="225">
        <f t="shared" si="101"/>
        <v>79.794910854893033</v>
      </c>
      <c r="Z48" s="225">
        <f t="shared" si="102"/>
        <v>-92.977252689671786</v>
      </c>
      <c r="AA48" s="225"/>
      <c r="AB48" s="225">
        <f t="shared" si="129"/>
        <v>-464.14929055299899</v>
      </c>
      <c r="AC48" s="225">
        <f t="shared" si="103"/>
        <v>12.853649430740631</v>
      </c>
      <c r="AD48" s="225">
        <f t="shared" si="104"/>
        <v>-36.502826203704558</v>
      </c>
      <c r="AE48" s="225">
        <f t="shared" si="105"/>
        <v>-487.79846732596252</v>
      </c>
      <c r="AG48" t="str">
        <f>$A$12</f>
        <v>Skilled trades occupations</v>
      </c>
      <c r="AH48" s="225">
        <f t="shared" si="130"/>
        <v>3.1468947859868592</v>
      </c>
      <c r="AI48" s="225">
        <f t="shared" si="106"/>
        <v>-5.0144201363118412</v>
      </c>
      <c r="AJ48" s="225">
        <f t="shared" si="107"/>
        <v>14.329984607576151</v>
      </c>
      <c r="AK48" s="225">
        <f t="shared" si="108"/>
        <v>12.462459257251169</v>
      </c>
      <c r="AL48" s="225"/>
      <c r="AM48" s="225">
        <f t="shared" si="131"/>
        <v>15.611255816334534</v>
      </c>
      <c r="AN48" s="225">
        <f t="shared" si="109"/>
        <v>18.881911901754791</v>
      </c>
      <c r="AO48" s="225">
        <f t="shared" si="110"/>
        <v>20.911223544102143</v>
      </c>
      <c r="AP48" s="225">
        <f t="shared" si="111"/>
        <v>55.404391262191439</v>
      </c>
      <c r="AQ48" s="225"/>
      <c r="AR48" s="225">
        <f t="shared" si="132"/>
        <v>18.758150602321393</v>
      </c>
      <c r="AS48" s="225">
        <f t="shared" si="112"/>
        <v>13.867491765442949</v>
      </c>
      <c r="AT48" s="225">
        <f t="shared" si="113"/>
        <v>35.241208151678293</v>
      </c>
      <c r="AU48" s="225">
        <f t="shared" si="114"/>
        <v>67.866850519442607</v>
      </c>
    </row>
    <row r="49" spans="1:47">
      <c r="A49" t="str">
        <f>$A$13</f>
        <v>Caring, leisure and other service occupations</v>
      </c>
      <c r="B49" s="225">
        <f t="shared" si="115"/>
        <v>-25.969085596157356</v>
      </c>
      <c r="C49" s="225">
        <f t="shared" si="116"/>
        <v>-14.470197133812462</v>
      </c>
      <c r="D49" s="225">
        <f t="shared" si="117"/>
        <v>32.466965501798597</v>
      </c>
      <c r="E49" s="225">
        <f t="shared" si="118"/>
        <v>-7.9723172281715051</v>
      </c>
      <c r="F49" s="225"/>
      <c r="G49" s="225">
        <f t="shared" si="119"/>
        <v>181.04463228459895</v>
      </c>
      <c r="H49" s="225">
        <f t="shared" si="120"/>
        <v>5.2027787163690391</v>
      </c>
      <c r="I49" s="225">
        <f t="shared" si="121"/>
        <v>55.205309397394899</v>
      </c>
      <c r="J49" s="225">
        <f t="shared" si="122"/>
        <v>241.452720398363</v>
      </c>
      <c r="K49" s="225"/>
      <c r="L49" s="225">
        <f t="shared" si="123"/>
        <v>155.07554668844159</v>
      </c>
      <c r="M49" s="225">
        <f t="shared" si="124"/>
        <v>-9.2674184174434231</v>
      </c>
      <c r="N49" s="225">
        <f t="shared" si="125"/>
        <v>87.672274899193496</v>
      </c>
      <c r="O49" s="225">
        <f t="shared" si="126"/>
        <v>233.48040317019149</v>
      </c>
      <c r="Q49" t="str">
        <f>$A$13</f>
        <v>Caring, leisure and other service occupations</v>
      </c>
      <c r="R49" s="225">
        <f t="shared" si="127"/>
        <v>-2.0619799351555343</v>
      </c>
      <c r="S49" s="225">
        <f t="shared" si="97"/>
        <v>18.18012362902067</v>
      </c>
      <c r="T49" s="225">
        <f t="shared" si="98"/>
        <v>-0.12880365280889094</v>
      </c>
      <c r="U49" s="225">
        <f t="shared" si="99"/>
        <v>15.989340041056266</v>
      </c>
      <c r="V49" s="225"/>
      <c r="W49" s="225">
        <f t="shared" si="128"/>
        <v>48.776080681701842</v>
      </c>
      <c r="X49" s="225">
        <f t="shared" si="100"/>
        <v>57.079967684142474</v>
      </c>
      <c r="Y49" s="225">
        <f t="shared" si="101"/>
        <v>20.271560371605034</v>
      </c>
      <c r="Z49" s="225">
        <f t="shared" si="102"/>
        <v>126.12760873744935</v>
      </c>
      <c r="AA49" s="225"/>
      <c r="AB49" s="225">
        <f t="shared" si="129"/>
        <v>46.714100746546308</v>
      </c>
      <c r="AC49" s="225">
        <f t="shared" si="103"/>
        <v>75.260091313163144</v>
      </c>
      <c r="AD49" s="225">
        <f t="shared" si="104"/>
        <v>20.142756718796143</v>
      </c>
      <c r="AE49" s="225">
        <f t="shared" si="105"/>
        <v>142.11694877850562</v>
      </c>
      <c r="AG49" t="str">
        <f>$A$13</f>
        <v>Caring, leisure and other service occupations</v>
      </c>
      <c r="AH49" s="225">
        <f t="shared" si="130"/>
        <v>-23.907105661001651</v>
      </c>
      <c r="AI49" s="225">
        <f t="shared" si="106"/>
        <v>-32.650320762833644</v>
      </c>
      <c r="AJ49" s="225">
        <f t="shared" si="107"/>
        <v>32.595769154607552</v>
      </c>
      <c r="AK49" s="225">
        <f t="shared" si="108"/>
        <v>-23.961657269227544</v>
      </c>
      <c r="AL49" s="225"/>
      <c r="AM49" s="225">
        <f t="shared" si="131"/>
        <v>132.26855160289915</v>
      </c>
      <c r="AN49" s="225">
        <f t="shared" si="109"/>
        <v>-51.877188967772668</v>
      </c>
      <c r="AO49" s="225">
        <f t="shared" si="110"/>
        <v>34.933749025789979</v>
      </c>
      <c r="AP49" s="225">
        <f t="shared" si="111"/>
        <v>115.32511166091672</v>
      </c>
      <c r="AQ49" s="225"/>
      <c r="AR49" s="225">
        <f t="shared" si="132"/>
        <v>108.3614459418975</v>
      </c>
      <c r="AS49" s="225">
        <f t="shared" si="112"/>
        <v>-84.527509730606312</v>
      </c>
      <c r="AT49" s="225">
        <f t="shared" si="113"/>
        <v>67.529518180397531</v>
      </c>
      <c r="AU49" s="225">
        <f t="shared" si="114"/>
        <v>91.363454391689174</v>
      </c>
    </row>
    <row r="50" spans="1:47">
      <c r="A50" t="str">
        <f>$A$14</f>
        <v>Sales and customer service occupations</v>
      </c>
      <c r="B50" s="225">
        <f t="shared" si="115"/>
        <v>-45.253321127424101</v>
      </c>
      <c r="C50" s="225">
        <f t="shared" si="116"/>
        <v>5.4558090103412269</v>
      </c>
      <c r="D50" s="225">
        <f t="shared" si="117"/>
        <v>-48.068357759635546</v>
      </c>
      <c r="E50" s="225">
        <f t="shared" si="118"/>
        <v>-87.865869876718534</v>
      </c>
      <c r="F50" s="225"/>
      <c r="G50" s="225">
        <f t="shared" si="119"/>
        <v>-0.87452322079923306</v>
      </c>
      <c r="H50" s="225">
        <f t="shared" si="120"/>
        <v>66.421097838639525</v>
      </c>
      <c r="I50" s="225">
        <f t="shared" si="121"/>
        <v>-21.148749630717006</v>
      </c>
      <c r="J50" s="225">
        <f t="shared" si="122"/>
        <v>44.397824987123386</v>
      </c>
      <c r="K50" s="225"/>
      <c r="L50" s="225">
        <f t="shared" si="123"/>
        <v>-46.127844348223334</v>
      </c>
      <c r="M50" s="225">
        <f t="shared" si="124"/>
        <v>71.876906848980752</v>
      </c>
      <c r="N50" s="225">
        <f t="shared" si="125"/>
        <v>-69.217107390352552</v>
      </c>
      <c r="O50" s="225">
        <f t="shared" si="126"/>
        <v>-43.468044889595149</v>
      </c>
      <c r="Q50" t="str">
        <f>$A$14</f>
        <v>Sales and customer service occupations</v>
      </c>
      <c r="R50" s="225">
        <f t="shared" si="127"/>
        <v>-11.008996961785783</v>
      </c>
      <c r="S50" s="225">
        <f t="shared" si="97"/>
        <v>35.31465610242708</v>
      </c>
      <c r="T50" s="225">
        <f t="shared" si="98"/>
        <v>-27.845790742138433</v>
      </c>
      <c r="U50" s="225">
        <f t="shared" si="99"/>
        <v>-3.5401316014971371</v>
      </c>
      <c r="V50" s="225"/>
      <c r="W50" s="225">
        <f t="shared" si="128"/>
        <v>33.292742863432068</v>
      </c>
      <c r="X50" s="225">
        <f t="shared" si="100"/>
        <v>56.601960338120421</v>
      </c>
      <c r="Y50" s="225">
        <f t="shared" si="101"/>
        <v>-6.8500740598079233</v>
      </c>
      <c r="Z50" s="225">
        <f t="shared" si="102"/>
        <v>83.044629141744508</v>
      </c>
      <c r="AA50" s="225"/>
      <c r="AB50" s="225">
        <f t="shared" si="129"/>
        <v>22.283745901646284</v>
      </c>
      <c r="AC50" s="225">
        <f t="shared" si="103"/>
        <v>91.9166164405475</v>
      </c>
      <c r="AD50" s="225">
        <f t="shared" si="104"/>
        <v>-34.695864801946357</v>
      </c>
      <c r="AE50" s="225">
        <f t="shared" si="105"/>
        <v>79.504497540247371</v>
      </c>
      <c r="AG50" t="str">
        <f>$A$14</f>
        <v>Sales and customer service occupations</v>
      </c>
      <c r="AH50" s="225">
        <f t="shared" si="130"/>
        <v>-34.244324165637408</v>
      </c>
      <c r="AI50" s="225">
        <f t="shared" si="106"/>
        <v>-29.858847092084829</v>
      </c>
      <c r="AJ50" s="225">
        <f t="shared" si="107"/>
        <v>-20.222567017497035</v>
      </c>
      <c r="AK50" s="225">
        <f t="shared" si="108"/>
        <v>-84.32573827521901</v>
      </c>
      <c r="AL50" s="225"/>
      <c r="AM50" s="225">
        <f t="shared" si="131"/>
        <v>-34.167266084232722</v>
      </c>
      <c r="AN50" s="225">
        <f t="shared" si="109"/>
        <v>9.8191375005155805</v>
      </c>
      <c r="AO50" s="225">
        <f t="shared" si="110"/>
        <v>-14.298675570908991</v>
      </c>
      <c r="AP50" s="225">
        <f t="shared" si="111"/>
        <v>-38.646804154626352</v>
      </c>
      <c r="AQ50" s="225"/>
      <c r="AR50" s="225">
        <f t="shared" si="132"/>
        <v>-68.41159024987013</v>
      </c>
      <c r="AS50" s="225">
        <f t="shared" si="112"/>
        <v>-20.039709591569249</v>
      </c>
      <c r="AT50" s="225">
        <f t="shared" si="113"/>
        <v>-34.521242588406025</v>
      </c>
      <c r="AU50" s="225">
        <f t="shared" si="114"/>
        <v>-122.97254242984536</v>
      </c>
    </row>
    <row r="51" spans="1:47">
      <c r="A51" t="str">
        <f>$A$15</f>
        <v>Process, plant and machine operatives</v>
      </c>
      <c r="B51" s="225">
        <f t="shared" si="115"/>
        <v>-165.99411981903177</v>
      </c>
      <c r="C51" s="225">
        <f t="shared" si="116"/>
        <v>44.134794265721212</v>
      </c>
      <c r="D51" s="225">
        <f t="shared" si="117"/>
        <v>20.322921767598814</v>
      </c>
      <c r="E51" s="225">
        <f t="shared" si="118"/>
        <v>-101.53640378571163</v>
      </c>
      <c r="F51" s="225"/>
      <c r="G51" s="225">
        <f t="shared" si="119"/>
        <v>-136.76664490510041</v>
      </c>
      <c r="H51" s="225">
        <f t="shared" si="120"/>
        <v>67.384363105606894</v>
      </c>
      <c r="I51" s="225">
        <f t="shared" si="121"/>
        <v>68.558091647042545</v>
      </c>
      <c r="J51" s="225">
        <f t="shared" si="122"/>
        <v>-0.82419015245113769</v>
      </c>
      <c r="K51" s="225"/>
      <c r="L51" s="225">
        <f t="shared" si="123"/>
        <v>-302.76076472413217</v>
      </c>
      <c r="M51" s="225">
        <f t="shared" si="124"/>
        <v>111.51915737132811</v>
      </c>
      <c r="N51" s="225">
        <f t="shared" si="125"/>
        <v>88.881013414641359</v>
      </c>
      <c r="O51" s="225">
        <f t="shared" si="126"/>
        <v>-102.36059393816276</v>
      </c>
      <c r="Q51" t="str">
        <f>$A$15</f>
        <v>Process, plant and machine operatives</v>
      </c>
      <c r="R51" s="225">
        <f t="shared" si="127"/>
        <v>-142.52985997368717</v>
      </c>
      <c r="S51" s="225">
        <f t="shared" si="97"/>
        <v>49.231134938421661</v>
      </c>
      <c r="T51" s="225">
        <f t="shared" si="98"/>
        <v>11.128629852367908</v>
      </c>
      <c r="U51" s="225">
        <f t="shared" si="99"/>
        <v>-82.170095182897512</v>
      </c>
      <c r="V51" s="225"/>
      <c r="W51" s="225">
        <f t="shared" si="128"/>
        <v>-147.28196269793898</v>
      </c>
      <c r="X51" s="225">
        <f t="shared" si="100"/>
        <v>32.371124410909346</v>
      </c>
      <c r="Y51" s="225">
        <f t="shared" si="101"/>
        <v>60.346625477375881</v>
      </c>
      <c r="Z51" s="225">
        <f t="shared" si="102"/>
        <v>-54.564212809653554</v>
      </c>
      <c r="AA51" s="225"/>
      <c r="AB51" s="225">
        <f t="shared" si="129"/>
        <v>-289.81182267162615</v>
      </c>
      <c r="AC51" s="225">
        <f t="shared" si="103"/>
        <v>81.602259349331007</v>
      </c>
      <c r="AD51" s="225">
        <f t="shared" si="104"/>
        <v>71.475255329743788</v>
      </c>
      <c r="AE51" s="225">
        <f t="shared" si="105"/>
        <v>-136.73430799255107</v>
      </c>
      <c r="AG51" t="str">
        <f>$A$15</f>
        <v>Process, plant and machine operatives</v>
      </c>
      <c r="AH51" s="225">
        <f t="shared" si="130"/>
        <v>-23.464259845343648</v>
      </c>
      <c r="AI51" s="225">
        <f t="shared" si="106"/>
        <v>-5.0963406727000375</v>
      </c>
      <c r="AJ51" s="225">
        <f t="shared" si="107"/>
        <v>9.1942919152314388</v>
      </c>
      <c r="AK51" s="225">
        <f t="shared" si="108"/>
        <v>-19.366308602812239</v>
      </c>
      <c r="AL51" s="225"/>
      <c r="AM51" s="225">
        <f t="shared" si="131"/>
        <v>10.515317792836882</v>
      </c>
      <c r="AN51" s="225">
        <f t="shared" si="109"/>
        <v>35.0132386946973</v>
      </c>
      <c r="AO51" s="225">
        <f t="shared" si="110"/>
        <v>8.2114661696666289</v>
      </c>
      <c r="AP51" s="225">
        <f t="shared" si="111"/>
        <v>53.740022657200825</v>
      </c>
      <c r="AQ51" s="225"/>
      <c r="AR51" s="225">
        <f t="shared" si="132"/>
        <v>-12.948942052506766</v>
      </c>
      <c r="AS51" s="225">
        <f t="shared" si="112"/>
        <v>29.916898021997262</v>
      </c>
      <c r="AT51" s="225">
        <f t="shared" si="113"/>
        <v>17.405758084898068</v>
      </c>
      <c r="AU51" s="225">
        <f t="shared" si="114"/>
        <v>34.373714054388586</v>
      </c>
    </row>
    <row r="52" spans="1:47">
      <c r="A52" t="str">
        <f>$A$16</f>
        <v>Elementary occupations</v>
      </c>
      <c r="B52" s="225">
        <f t="shared" si="115"/>
        <v>-184.63448229353435</v>
      </c>
      <c r="C52" s="225">
        <f t="shared" si="116"/>
        <v>-89.357032297128171</v>
      </c>
      <c r="D52" s="225">
        <f t="shared" si="117"/>
        <v>-32.01377294819585</v>
      </c>
      <c r="E52" s="225">
        <f t="shared" si="118"/>
        <v>-306.00528753885828</v>
      </c>
      <c r="F52" s="225"/>
      <c r="G52" s="225">
        <f t="shared" si="119"/>
        <v>110.16181638706848</v>
      </c>
      <c r="H52" s="225">
        <f t="shared" si="120"/>
        <v>-188.29434880157578</v>
      </c>
      <c r="I52" s="225">
        <f t="shared" si="121"/>
        <v>70.115845922152062</v>
      </c>
      <c r="J52" s="225">
        <f t="shared" si="122"/>
        <v>-8.0166864923553476</v>
      </c>
      <c r="K52" s="225"/>
      <c r="L52" s="225">
        <f t="shared" si="123"/>
        <v>-74.472665906465863</v>
      </c>
      <c r="M52" s="225">
        <f t="shared" si="124"/>
        <v>-277.65138109870395</v>
      </c>
      <c r="N52" s="225">
        <f t="shared" si="125"/>
        <v>38.102072973956211</v>
      </c>
      <c r="O52" s="225">
        <f t="shared" si="126"/>
        <v>-314.02197403121363</v>
      </c>
      <c r="Q52" t="str">
        <f>$A$16</f>
        <v>Elementary occupations</v>
      </c>
      <c r="R52" s="225">
        <f t="shared" si="127"/>
        <v>-146.14804361793699</v>
      </c>
      <c r="S52" s="225">
        <f t="shared" si="97"/>
        <v>-18.82217857593173</v>
      </c>
      <c r="T52" s="225">
        <f t="shared" si="98"/>
        <v>-11.03738357423282</v>
      </c>
      <c r="U52" s="225">
        <f t="shared" si="99"/>
        <v>-176.00760576810148</v>
      </c>
      <c r="V52" s="225"/>
      <c r="W52" s="225">
        <f t="shared" si="128"/>
        <v>50.035384373493457</v>
      </c>
      <c r="X52" s="225">
        <f t="shared" si="100"/>
        <v>-55.831379124501836</v>
      </c>
      <c r="Y52" s="225">
        <f t="shared" si="101"/>
        <v>32.802446000594443</v>
      </c>
      <c r="Z52" s="225">
        <f t="shared" si="102"/>
        <v>27.006451249586235</v>
      </c>
      <c r="AA52" s="225"/>
      <c r="AB52" s="225">
        <f t="shared" si="129"/>
        <v>-96.112659244443535</v>
      </c>
      <c r="AC52" s="225">
        <f t="shared" si="103"/>
        <v>-74.653557700433566</v>
      </c>
      <c r="AD52" s="225">
        <f t="shared" si="104"/>
        <v>21.765062426361624</v>
      </c>
      <c r="AE52" s="225">
        <f t="shared" si="105"/>
        <v>-149.00115451851525</v>
      </c>
      <c r="AG52" t="str">
        <f>$A$16</f>
        <v>Elementary occupations</v>
      </c>
      <c r="AH52" s="225">
        <f t="shared" si="130"/>
        <v>-38.486438675596048</v>
      </c>
      <c r="AI52" s="225">
        <f t="shared" si="106"/>
        <v>-70.53485372119701</v>
      </c>
      <c r="AJ52" s="225">
        <f t="shared" si="107"/>
        <v>-20.976389373962746</v>
      </c>
      <c r="AK52" s="225">
        <f t="shared" si="108"/>
        <v>-129.99768177075589</v>
      </c>
      <c r="AL52" s="225"/>
      <c r="AM52" s="225">
        <f t="shared" si="131"/>
        <v>60.126432013573947</v>
      </c>
      <c r="AN52" s="225">
        <f t="shared" si="109"/>
        <v>-132.46296967707246</v>
      </c>
      <c r="AO52" s="225">
        <f t="shared" si="110"/>
        <v>37.313399921557576</v>
      </c>
      <c r="AP52" s="225">
        <f t="shared" si="111"/>
        <v>-35.0231377419409</v>
      </c>
      <c r="AQ52" s="225"/>
      <c r="AR52" s="225">
        <f t="shared" si="132"/>
        <v>21.639993337977899</v>
      </c>
      <c r="AS52" s="225">
        <f t="shared" si="112"/>
        <v>-202.99782339826947</v>
      </c>
      <c r="AT52" s="225">
        <f t="shared" si="113"/>
        <v>16.337010547594829</v>
      </c>
      <c r="AU52" s="225">
        <f t="shared" si="114"/>
        <v>-165.02081951269679</v>
      </c>
    </row>
    <row r="53" spans="1:47"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</row>
    <row r="54" spans="1:47">
      <c r="A54" s="21" t="str">
        <f>$A$18</f>
        <v>All occupations</v>
      </c>
      <c r="B54" s="337">
        <f t="shared" si="115"/>
        <v>794.22700002487909</v>
      </c>
      <c r="C54" s="337">
        <f t="shared" si="116"/>
        <v>444.50999997351209</v>
      </c>
      <c r="D54" s="337">
        <f t="shared" si="117"/>
        <v>-35.22800000095458</v>
      </c>
      <c r="E54" s="337">
        <f t="shared" si="118"/>
        <v>1203.5089999974334</v>
      </c>
      <c r="F54" s="337"/>
      <c r="G54" s="337">
        <f t="shared" si="119"/>
        <v>1351.8330000332353</v>
      </c>
      <c r="H54" s="337">
        <f t="shared" si="120"/>
        <v>451.14399997437795</v>
      </c>
      <c r="I54" s="337">
        <f t="shared" si="121"/>
        <v>407.4330000097184</v>
      </c>
      <c r="J54" s="337">
        <f t="shared" si="122"/>
        <v>2210.4100000173348</v>
      </c>
      <c r="K54" s="337"/>
      <c r="L54" s="337">
        <f t="shared" si="123"/>
        <v>2146.0600000581144</v>
      </c>
      <c r="M54" s="337">
        <f t="shared" si="124"/>
        <v>895.65399994789004</v>
      </c>
      <c r="N54" s="337">
        <f t="shared" si="125"/>
        <v>372.20500000876382</v>
      </c>
      <c r="O54" s="337">
        <f t="shared" si="126"/>
        <v>3413.9190000147682</v>
      </c>
      <c r="Q54" s="21" t="str">
        <f>$A$18</f>
        <v>All occupations</v>
      </c>
      <c r="R54" s="337">
        <f t="shared" ref="R54" si="133">W18-R18</f>
        <v>252.12700001189296</v>
      </c>
      <c r="S54" s="337">
        <f t="shared" ref="S54" si="134">X18-S18</f>
        <v>319.48199999014696</v>
      </c>
      <c r="T54" s="337">
        <f t="shared" ref="T54" si="135">Y18-T18</f>
        <v>-189.38700000288736</v>
      </c>
      <c r="U54" s="337">
        <f t="shared" ref="U54" si="136">Z18-U18</f>
        <v>382.22199999915392</v>
      </c>
      <c r="V54" s="337"/>
      <c r="W54" s="337">
        <f t="shared" ref="W54" si="137">AB18-W18</f>
        <v>479.14800000272044</v>
      </c>
      <c r="X54" s="337">
        <f t="shared" ref="X54" si="138">AC18-X18</f>
        <v>279.92099999976335</v>
      </c>
      <c r="Y54" s="337">
        <f t="shared" ref="Y54" si="139">AD18-Y18</f>
        <v>244.92199999913191</v>
      </c>
      <c r="Z54" s="337">
        <f t="shared" ref="Z54" si="140">AE18-Z18</f>
        <v>1003.9910000016171</v>
      </c>
      <c r="AA54" s="337"/>
      <c r="AB54" s="337">
        <f t="shared" ref="AB54" si="141">AB18-R18</f>
        <v>731.2750000146134</v>
      </c>
      <c r="AC54" s="337">
        <f t="shared" ref="AC54" si="142">AC18-S18</f>
        <v>599.40299998991031</v>
      </c>
      <c r="AD54" s="337">
        <f t="shared" ref="AD54" si="143">AD18-T18</f>
        <v>55.534999996244551</v>
      </c>
      <c r="AE54" s="337">
        <f t="shared" ref="AE54" si="144">AE18-U18</f>
        <v>1386.213000000771</v>
      </c>
      <c r="AG54" s="21" t="str">
        <f>$A$18</f>
        <v>All occupations</v>
      </c>
      <c r="AH54" s="337">
        <f t="shared" ref="AH54" si="145">AM18-AH18</f>
        <v>542.10000001299341</v>
      </c>
      <c r="AI54" s="337">
        <f t="shared" ref="AI54" si="146">AN18-AI18</f>
        <v>125.02799998336468</v>
      </c>
      <c r="AJ54" s="337">
        <f t="shared" ref="AJ54" si="147">AO18-AJ18</f>
        <v>154.15900000193437</v>
      </c>
      <c r="AK54" s="337">
        <f t="shared" ref="AK54" si="148">AP18-AK18</f>
        <v>821.28699999829223</v>
      </c>
      <c r="AL54" s="337"/>
      <c r="AM54" s="337">
        <f t="shared" ref="AM54" si="149">AR18-AM18</f>
        <v>872.68500003051304</v>
      </c>
      <c r="AN54" s="337">
        <f t="shared" ref="AN54" si="150">AS18-AN18</f>
        <v>171.22299997461232</v>
      </c>
      <c r="AO54" s="337">
        <f t="shared" ref="AO54" si="151">AT18-AO18</f>
        <v>162.51100001058671</v>
      </c>
      <c r="AP54" s="337">
        <f t="shared" ref="AP54" si="152">AU18-AP18</f>
        <v>1206.4190000157123</v>
      </c>
      <c r="AQ54" s="337"/>
      <c r="AR54" s="337">
        <f t="shared" ref="AR54" si="153">AR18-AH18</f>
        <v>1414.7850000435064</v>
      </c>
      <c r="AS54" s="337">
        <f t="shared" ref="AS54" si="154">AS18-AI18</f>
        <v>296.250999957977</v>
      </c>
      <c r="AT54" s="337">
        <f t="shared" ref="AT54" si="155">AT18-AJ18</f>
        <v>316.67000001252109</v>
      </c>
      <c r="AU54" s="337">
        <f t="shared" ref="AU54" si="156">AU18-AK18</f>
        <v>2027.7060000140045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6"/>
  <cols>
    <col min="1" max="1" width="11" style="137" bestFit="1" customWidth="1"/>
    <col min="2" max="9" width="9.140625" style="137"/>
    <col min="10" max="10" width="17.5703125" style="137" customWidth="1"/>
    <col min="11" max="11" width="8.28515625" style="137" customWidth="1"/>
    <col min="12" max="12" width="52.7109375" style="72" customWidth="1"/>
    <col min="13" max="13" width="12.42578125" style="72" customWidth="1"/>
    <col min="14" max="14" width="10.140625" style="72" customWidth="1"/>
    <col min="15" max="16384" width="9.140625" style="72"/>
  </cols>
  <sheetData>
    <row r="1" spans="1:14" ht="15.6">
      <c r="A1" s="136" t="str">
        <f>CONCATENATE("Occupation Figure 1  Growth in Employment by Occupation (SOC 2020), ",M6," and ",N6,", ",Info!B5)</f>
        <v>Occupation Figure 1  Growth in Employment by Occupation (SOC 2020), 2015-2020 and 2020-2035, England</v>
      </c>
    </row>
    <row r="2" spans="1:14" ht="12.95">
      <c r="A2" s="158" t="s">
        <v>180</v>
      </c>
    </row>
    <row r="3" spans="1:14" ht="12.95">
      <c r="L3" s="138" t="s">
        <v>183</v>
      </c>
    </row>
    <row r="5" spans="1:14" ht="12.95">
      <c r="L5" s="103" t="s">
        <v>184</v>
      </c>
    </row>
    <row r="6" spans="1:14">
      <c r="M6" s="154" t="str">
        <f>'Occ T2'!H151</f>
        <v>2015-2020</v>
      </c>
      <c r="N6" s="154" t="str">
        <f>'Occ T2'!I151</f>
        <v>2020-2035</v>
      </c>
    </row>
    <row r="7" spans="1:14" ht="12.95">
      <c r="L7" s="95" t="str">
        <f>'Occ T3'!A51</f>
        <v>All occupations</v>
      </c>
      <c r="M7" s="72">
        <f>'Occ T2'!H180</f>
        <v>0.82619957207437089</v>
      </c>
      <c r="N7" s="72">
        <f>'Occ T2'!I180</f>
        <v>0.47723343115717576</v>
      </c>
    </row>
    <row r="8" spans="1:14" ht="12.95">
      <c r="L8" s="95"/>
    </row>
    <row r="9" spans="1:14">
      <c r="L9" s="72" t="str">
        <f>'Occ T3'!A49</f>
        <v>92 Elementary administration and service occupations</v>
      </c>
      <c r="M9" s="72">
        <f>'Occ T2'!H178</f>
        <v>-1.5275400347385948</v>
      </c>
      <c r="N9" s="72">
        <f>'Occ T2'!I178</f>
        <v>-1.1188527477296928</v>
      </c>
    </row>
    <row r="10" spans="1:14">
      <c r="L10" s="72" t="str">
        <f>'Occ T3'!A48</f>
        <v>91 Elementary trades and related occupations</v>
      </c>
      <c r="M10" s="72">
        <f>'Occ T2'!H177</f>
        <v>-4.4379725977855333</v>
      </c>
      <c r="N10" s="72">
        <f>'Occ T2'!I177</f>
        <v>4.9033521437371386</v>
      </c>
    </row>
    <row r="11" spans="1:14" ht="12.95">
      <c r="L11" s="95" t="str">
        <f>"["&amp;'Occ T3'!A47&amp;"]"</f>
        <v>[Elementary occupations]</v>
      </c>
      <c r="M11" s="72">
        <f>'Occ T1'!H88</f>
        <v>-1.9261303157432796</v>
      </c>
      <c r="N11" s="72">
        <f>'Occ T1'!I88</f>
        <v>-1.7859840826728313E-2</v>
      </c>
    </row>
    <row r="12" spans="1:14" ht="12.95">
      <c r="L12" s="95"/>
    </row>
    <row r="13" spans="1:14">
      <c r="L13" s="72" t="str">
        <f>'Occ T3'!A45</f>
        <v>82 Transport and mobile machine drivers and operatives</v>
      </c>
      <c r="M13" s="72">
        <f>'Occ T2'!H176</f>
        <v>3.9026588927892902E-2</v>
      </c>
      <c r="N13" s="72">
        <f>'Occ T2'!I176</f>
        <v>6.6016875276408982E-2</v>
      </c>
    </row>
    <row r="14" spans="1:14">
      <c r="L14" s="72" t="str">
        <f>'Occ T3'!A44</f>
        <v>81 Process, plant and machine operatives</v>
      </c>
      <c r="M14" s="72">
        <f>'Occ T2'!H175</f>
        <v>-3.0897263215582615</v>
      </c>
      <c r="N14" s="72">
        <f>'Occ T2'!I175</f>
        <v>-0.12497438125811389</v>
      </c>
    </row>
    <row r="15" spans="1:14" ht="12.95">
      <c r="L15" s="95" t="str">
        <f>"["&amp;'Occ T3'!A43&amp;"]"</f>
        <v>[Process, plant and machine operatives]</v>
      </c>
      <c r="M15" s="72">
        <f>'Occ T1'!H87</f>
        <v>-1.1763944702381846</v>
      </c>
      <c r="N15" s="72">
        <f>'Occ T1'!I87</f>
        <v>-3.2992588521629784E-3</v>
      </c>
    </row>
    <row r="16" spans="1:14" ht="12.95">
      <c r="L16" s="95"/>
    </row>
    <row r="17" spans="12:14">
      <c r="L17" s="72" t="str">
        <f>'Occ T3'!A41</f>
        <v>72 Customer service occupations</v>
      </c>
      <c r="M17" s="72">
        <f>'Occ T2'!H174</f>
        <v>2.0289831609051623</v>
      </c>
      <c r="N17" s="72">
        <f>'Occ T2'!I174</f>
        <v>1.4625845924234326</v>
      </c>
    </row>
    <row r="18" spans="12:14">
      <c r="L18" s="72" t="str">
        <f>'Occ T3'!A40</f>
        <v>71 Sales occupations</v>
      </c>
      <c r="M18" s="72">
        <f>'Occ T2'!H173</f>
        <v>-1.4087567049916094</v>
      </c>
      <c r="N18" s="72">
        <f>'Occ T2'!I173</f>
        <v>-0.29056047198369184</v>
      </c>
    </row>
    <row r="19" spans="12:14" ht="12.95">
      <c r="L19" s="95" t="str">
        <f>"["&amp;'Occ T3'!A39&amp;"]"</f>
        <v>[Sales and customer service occupations]</v>
      </c>
      <c r="M19" s="72">
        <f>'Occ T1'!H86</f>
        <v>-0.7272726216735137</v>
      </c>
      <c r="N19" s="72">
        <f>'Occ T1'!I86</f>
        <v>0.12412899767830776</v>
      </c>
    </row>
    <row r="20" spans="12:14" ht="12.95">
      <c r="L20" s="95"/>
    </row>
    <row r="21" spans="12:14">
      <c r="L21" s="88" t="str">
        <f>'Occ T3'!A37</f>
        <v>63 Community and civil enforcement occupations</v>
      </c>
      <c r="M21" s="72">
        <f>'Occ T2'!H172</f>
        <v>1.456733615913075</v>
      </c>
      <c r="N21" s="72">
        <f>'Occ T2'!I172</f>
        <v>-1.3952298324035661</v>
      </c>
    </row>
    <row r="22" spans="12:14">
      <c r="L22" s="72" t="str">
        <f>'Occ T3'!A36</f>
        <v>62 Leisure, travel and related personal service occupations</v>
      </c>
      <c r="M22" s="72">
        <f>'Occ T2'!H171</f>
        <v>8.8532174563393795E-3</v>
      </c>
      <c r="N22" s="72">
        <f>'Occ T2'!I171</f>
        <v>-0.26919628087314074</v>
      </c>
    </row>
    <row r="23" spans="12:14">
      <c r="L23" s="72" t="str">
        <f>'Occ T3'!A35</f>
        <v>61 Caring personal service occupations</v>
      </c>
      <c r="M23" s="72">
        <f>'Occ T2'!H170</f>
        <v>-0.10278790615287914</v>
      </c>
      <c r="N23" s="72">
        <f>'Occ T2'!I170</f>
        <v>0.84644040874675142</v>
      </c>
    </row>
    <row r="24" spans="12:14" ht="12.95">
      <c r="L24" s="95" t="str">
        <f>"["&amp;'Occ T3'!A34&amp;"]"</f>
        <v>[Caring, leisure and other service occupations]</v>
      </c>
      <c r="M24" s="72">
        <f>'Occ T1'!H85</f>
        <v>-5.9422043440582328E-2</v>
      </c>
      <c r="N24" s="72">
        <f>'Occ T1'!I85</f>
        <v>0.5770609206709354</v>
      </c>
    </row>
    <row r="25" spans="12:14" ht="12.95">
      <c r="L25" s="95"/>
    </row>
    <row r="26" spans="12:14">
      <c r="L26" s="72" t="str">
        <f>'Occ T3'!A32</f>
        <v>54 Textiles, printing and other skilled trades</v>
      </c>
      <c r="M26" s="72">
        <f>'Occ T2'!H169</f>
        <v>-2.9152294191995609</v>
      </c>
      <c r="N26" s="72">
        <f>'Occ T2'!I169</f>
        <v>0.51772579254762974</v>
      </c>
    </row>
    <row r="27" spans="12:14">
      <c r="L27" s="72" t="str">
        <f>'Occ T3'!A31</f>
        <v>53 Skilled construction and building trades</v>
      </c>
      <c r="M27" s="72">
        <f>'Occ T2'!H168</f>
        <v>-3.4695338426076749</v>
      </c>
      <c r="N27" s="72">
        <f>'Occ T2'!I168</f>
        <v>-0.45526506581279325</v>
      </c>
    </row>
    <row r="28" spans="12:14">
      <c r="L28" s="72" t="str">
        <f>'Occ T3'!A30</f>
        <v>52 Skilled metal, electrical and electronic trades</v>
      </c>
      <c r="M28" s="72">
        <f>'Occ T2'!H167</f>
        <v>-2.4207430055063761</v>
      </c>
      <c r="N28" s="72">
        <f>'Occ T2'!I167</f>
        <v>-0.42073602765486662</v>
      </c>
    </row>
    <row r="29" spans="12:14">
      <c r="L29" s="72" t="str">
        <f>'Occ T3'!A29</f>
        <v>51 Skilled agricultural and related trades</v>
      </c>
      <c r="M29" s="72">
        <f>'Occ T2'!H166</f>
        <v>-1.8668141374120428</v>
      </c>
      <c r="N29" s="72">
        <f>'Occ T2'!I166</f>
        <v>0.61168251002796659</v>
      </c>
    </row>
    <row r="30" spans="12:14" ht="12.95">
      <c r="L30" s="95" t="str">
        <f>"["&amp;'Occ T3'!A28&amp;"]"</f>
        <v>[Skilled trades occupations]</v>
      </c>
      <c r="M30" s="72">
        <f>'Occ T1'!H84</f>
        <v>-2.7986949552972873</v>
      </c>
      <c r="N30" s="72">
        <f>'Occ T1'!I84</f>
        <v>-0.10060673911935769</v>
      </c>
    </row>
    <row r="31" spans="12:14" ht="12.95">
      <c r="L31" s="95"/>
    </row>
    <row r="32" spans="12:14">
      <c r="L32" s="72" t="str">
        <f>'Occ T3'!A26</f>
        <v>42 Secretarial and related occupations</v>
      </c>
      <c r="M32" s="72">
        <f>'Occ T2'!H165</f>
        <v>-2.2324015539863074</v>
      </c>
      <c r="N32" s="72">
        <f>'Occ T2'!I165</f>
        <v>-2.3818774306827328</v>
      </c>
    </row>
    <row r="33" spans="12:14">
      <c r="L33" s="72" t="str">
        <f>'Occ T3'!A25</f>
        <v>41 Administrative occupations</v>
      </c>
      <c r="M33" s="72">
        <f>'Occ T2'!H164</f>
        <v>0.46158537009362011</v>
      </c>
      <c r="N33" s="72">
        <f>'Occ T2'!I164</f>
        <v>0.10371994793105799</v>
      </c>
    </row>
    <row r="34" spans="12:14" ht="12.95">
      <c r="L34" s="95" t="str">
        <f>"["&amp;'Occ T3'!A24&amp;"]"</f>
        <v>[Administrative and secretarial occupations]</v>
      </c>
      <c r="M34" s="72">
        <f>'Occ T1'!H83</f>
        <v>-6.2865412252421926E-2</v>
      </c>
      <c r="N34" s="72">
        <f>'Occ T1'!I83</f>
        <v>-0.28877775964678554</v>
      </c>
    </row>
    <row r="35" spans="12:14" ht="12.95">
      <c r="L35" s="95"/>
    </row>
    <row r="36" spans="12:14">
      <c r="L36" s="72" t="str">
        <f>'Occ T3'!A22</f>
        <v>35 Business and public service associate professionals</v>
      </c>
      <c r="M36" s="72">
        <f>'Occ T2'!H163</f>
        <v>2.0966473648973638</v>
      </c>
      <c r="N36" s="72">
        <f>'Occ T2'!I163</f>
        <v>0.48485786703520439</v>
      </c>
    </row>
    <row r="37" spans="12:14">
      <c r="L37" s="72" t="str">
        <f>'Occ T3'!A21</f>
        <v>34 Culture, media and sports occupations</v>
      </c>
      <c r="M37" s="72">
        <f>'Occ T2'!H162</f>
        <v>1.6531064594082379</v>
      </c>
      <c r="N37" s="72">
        <f>'Occ T2'!I162</f>
        <v>-2.3056564612755626E-2</v>
      </c>
    </row>
    <row r="38" spans="12:14">
      <c r="L38" s="72" t="str">
        <f>'Occ T3'!A20</f>
        <v>33 Protective service occupations</v>
      </c>
      <c r="M38" s="72">
        <f>'Occ T2'!H161</f>
        <v>1.7267994882371518</v>
      </c>
      <c r="N38" s="72">
        <f>'Occ T2'!I161</f>
        <v>-0.58014851394102562</v>
      </c>
    </row>
    <row r="39" spans="12:14">
      <c r="L39" s="72" t="str">
        <f>'Occ T3'!A19</f>
        <v>32 Health and social care associate professionals</v>
      </c>
      <c r="M39" s="72">
        <f>'Occ T2'!H160</f>
        <v>2.8427966602561971</v>
      </c>
      <c r="N39" s="72">
        <f>'Occ T2'!I160</f>
        <v>4.225637366043733</v>
      </c>
    </row>
    <row r="40" spans="12:14">
      <c r="L40" s="72" t="str">
        <f>'Occ T3'!A18</f>
        <v>31 Science, engineering and technology associate professionals</v>
      </c>
      <c r="M40" s="72">
        <f>'Occ T2'!H159</f>
        <v>4.8978056206913756</v>
      </c>
      <c r="N40" s="72">
        <f>'Occ T2'!I159</f>
        <v>0.17819116067332441</v>
      </c>
    </row>
    <row r="41" spans="12:14" ht="12.95">
      <c r="L41" s="95" t="str">
        <f>"["&amp;'Occ T3'!A17&amp;"]"</f>
        <v>[Associate professional occupations]</v>
      </c>
      <c r="M41" s="72">
        <f>'Occ T1'!H82</f>
        <v>2.4643018740011069</v>
      </c>
      <c r="N41" s="72">
        <f>'Occ T1'!I82</f>
        <v>0.93939788051264905</v>
      </c>
    </row>
    <row r="42" spans="12:14" ht="12.95">
      <c r="L42" s="95"/>
    </row>
    <row r="43" spans="12:14">
      <c r="L43" s="72" t="str">
        <f>'Occ T3'!A15</f>
        <v>24 Business, media and public service professionals</v>
      </c>
      <c r="M43" s="72">
        <f>'Occ T2'!H158</f>
        <v>5.0118899529674854</v>
      </c>
      <c r="N43" s="72">
        <f>'Occ T2'!I158</f>
        <v>1.0464811508875016</v>
      </c>
    </row>
    <row r="44" spans="12:14">
      <c r="L44" s="72" t="str">
        <f>'Occ T3'!A14</f>
        <v>23 Teaching and other educational professionals</v>
      </c>
      <c r="M44" s="72">
        <f>'Occ T2'!H157</f>
        <v>2.0020620393283561</v>
      </c>
      <c r="N44" s="72">
        <f>'Occ T2'!I157</f>
        <v>0.3579481614985669</v>
      </c>
    </row>
    <row r="45" spans="12:14">
      <c r="L45" s="72" t="str">
        <f>'Occ T3'!A13</f>
        <v>22 Health professionals</v>
      </c>
      <c r="M45" s="72">
        <f>'Occ T2'!H156</f>
        <v>3.0034650595811785</v>
      </c>
      <c r="N45" s="72">
        <f>'Occ T2'!I156</f>
        <v>0.38688981041488102</v>
      </c>
    </row>
    <row r="46" spans="12:14">
      <c r="L46" s="72" t="str">
        <f>'Occ T3'!A12</f>
        <v>21 Science, research, engineering and technology professionals</v>
      </c>
      <c r="M46" s="72">
        <f>'Occ T2'!H155</f>
        <v>3.6698109281631419</v>
      </c>
      <c r="N46" s="72">
        <f>'Occ T2'!I155</f>
        <v>2.3300034935685332</v>
      </c>
    </row>
    <row r="47" spans="12:14" ht="12.95">
      <c r="L47" s="95" t="str">
        <f>"["&amp;'Occ T3'!A11&amp;"]"</f>
        <v>[Professional occupations]</v>
      </c>
      <c r="M47" s="72">
        <f>'Occ T1'!H81</f>
        <v>3.5862163181135776</v>
      </c>
      <c r="N47" s="72">
        <f>'Occ T1'!I81</f>
        <v>1.1622813431281021</v>
      </c>
    </row>
    <row r="49" spans="12:14">
      <c r="L49" s="88" t="str">
        <f>'Occ T3'!A9</f>
        <v>12 Other managers and proprietors</v>
      </c>
      <c r="M49" s="72">
        <f>'Occ T2'!H154</f>
        <v>1.5993552333908534</v>
      </c>
      <c r="N49" s="72">
        <f>'Occ T2'!I154</f>
        <v>1.0459197464713021</v>
      </c>
    </row>
    <row r="50" spans="12:14">
      <c r="L50" s="88" t="str">
        <f>'Occ T3'!A8</f>
        <v>11 Corporate managers and directors</v>
      </c>
      <c r="M50" s="72">
        <f>'Occ T2'!H153</f>
        <v>3.9710798144611203</v>
      </c>
      <c r="N50" s="72">
        <f>'Occ T2'!I153</f>
        <v>-6.9711619613654907E-2</v>
      </c>
    </row>
    <row r="51" spans="12:14" ht="12.95">
      <c r="L51" s="95" t="str">
        <f>"["&amp;'Occ T3'!A7&amp;"]"</f>
        <v>[Managers, directors and senior officials]</v>
      </c>
      <c r="M51" s="72">
        <f>'Occ T1'!H80</f>
        <v>3.2189749617711483</v>
      </c>
      <c r="N51" s="72">
        <f>'Occ T1'!I80</f>
        <v>0.28617609001266864</v>
      </c>
    </row>
    <row r="80" spans="1:1" ht="15.6">
      <c r="A80" s="136" t="str">
        <f>CONCATENATE("Occupation Figure 1.1  Change in Employment by Occupation (SOC 2020), ",M81," and ",N81,", ",Info!B5)</f>
        <v>Occupation Figure 1.1  Change in Employment by Occupation (SOC 2020), 2015-2020 and 2020-2035, England</v>
      </c>
    </row>
    <row r="81" spans="12:14">
      <c r="M81" s="88" t="str">
        <f>'Occ F1'!M6</f>
        <v>2015-2020</v>
      </c>
      <c r="N81" s="88" t="str">
        <f>'Occ F1'!N6</f>
        <v>2020-2035</v>
      </c>
    </row>
    <row r="82" spans="12:14">
      <c r="L82" s="10" t="str">
        <f>name!D4</f>
        <v>11 Corporate managers and directors</v>
      </c>
      <c r="M82" s="75">
        <f>'Occ T2'!D8-'Occ T2'!B8</f>
        <v>408.30646536490326</v>
      </c>
      <c r="N82" s="75">
        <f>'Occ T2'!F119</f>
        <v>-24.014043082148874</v>
      </c>
    </row>
    <row r="83" spans="12:14">
      <c r="L83" s="10" t="str">
        <f>name!D5</f>
        <v>12 Other managers and proprietors</v>
      </c>
      <c r="M83" s="75">
        <f>'Occ T2'!D9-'Occ T2'!B9</f>
        <v>76.252327765452037</v>
      </c>
      <c r="N83" s="75">
        <f>'Occ T2'!F120</f>
        <v>168.87350548510506</v>
      </c>
    </row>
    <row r="84" spans="12:14">
      <c r="L84" s="10" t="str">
        <f>name!D6</f>
        <v>21 Science, research, engineering and technology professionals</v>
      </c>
      <c r="M84" s="75">
        <f>'Occ T2'!D10-'Occ T2'!B10</f>
        <v>312.99213703539908</v>
      </c>
      <c r="N84" s="75">
        <f>'Occ T2'!F121</f>
        <v>783.3027734084435</v>
      </c>
    </row>
    <row r="85" spans="12:14">
      <c r="L85" s="10" t="str">
        <f>name!D7</f>
        <v>22 Health professionals</v>
      </c>
      <c r="M85" s="75">
        <f>'Occ T2'!D11-'Occ T2'!B11</f>
        <v>186.48997671112124</v>
      </c>
      <c r="N85" s="75">
        <f>'Occ T2'!F122</f>
        <v>80.856725137882677</v>
      </c>
    </row>
    <row r="86" spans="12:14">
      <c r="L86" s="10" t="str">
        <f>name!D8</f>
        <v>23 Teaching and other educational professionals</v>
      </c>
      <c r="M86" s="75">
        <f>'Occ T2'!D12-'Occ T2'!B12</f>
        <v>141.88392750613957</v>
      </c>
      <c r="N86" s="75">
        <f>'Occ T2'!F123</f>
        <v>82.788009215527154</v>
      </c>
    </row>
    <row r="87" spans="12:14">
      <c r="L87" s="10" t="str">
        <f>name!D9</f>
        <v>24 Business, media and public service professionals</v>
      </c>
      <c r="M87" s="75">
        <f>'Occ T2'!D13-'Occ T2'!B13</f>
        <v>497.76901269129939</v>
      </c>
      <c r="N87" s="75">
        <f>'Occ T2'!F124</f>
        <v>387.83222483108693</v>
      </c>
    </row>
    <row r="88" spans="12:14">
      <c r="L88" s="10" t="str">
        <f>name!D10</f>
        <v>31 Science, engineering and technology associate professionals</v>
      </c>
      <c r="M88" s="75">
        <f>'Occ T2'!D14-'Occ T2'!B14</f>
        <v>125.1246749917849</v>
      </c>
      <c r="N88" s="75">
        <f>'Occ T2'!F125</f>
        <v>15.925046244282839</v>
      </c>
    </row>
    <row r="89" spans="12:14">
      <c r="L89" s="10" t="str">
        <f>name!D11</f>
        <v>32 Health and social care associate professionals</v>
      </c>
      <c r="M89" s="75">
        <f>'Occ T2'!D15-'Occ T2'!B15</f>
        <v>74.174298630444127</v>
      </c>
      <c r="N89" s="75">
        <f>'Occ T2'!F126</f>
        <v>488.02781484177399</v>
      </c>
    </row>
    <row r="90" spans="12:14">
      <c r="L90" s="10" t="str">
        <f>name!D12</f>
        <v>33 Protective service occupations</v>
      </c>
      <c r="M90" s="75">
        <f>'Occ T2'!D16-'Occ T2'!B16</f>
        <v>26.323552083401012</v>
      </c>
      <c r="N90" s="75">
        <f>'Occ T2'!F127</f>
        <v>-26.815806114484417</v>
      </c>
    </row>
    <row r="91" spans="12:14">
      <c r="L91" s="10" t="str">
        <f>name!D13</f>
        <v>34 Culture, media and sports occupations</v>
      </c>
      <c r="M91" s="75">
        <f>'Occ T2'!D17-'Occ T2'!B17</f>
        <v>53.598486268548299</v>
      </c>
      <c r="N91" s="75">
        <f>'Occ T2'!F128</f>
        <v>-2.3513213001396025</v>
      </c>
    </row>
    <row r="92" spans="12:14">
      <c r="L92" s="10" t="str">
        <f>name!D14</f>
        <v>35 Business and public service associate professionals</v>
      </c>
      <c r="M92" s="75">
        <f>'Occ T2'!D18-'Occ T2'!B18</f>
        <v>196.2200467738312</v>
      </c>
      <c r="N92" s="75">
        <f>'Occ T2'!F129</f>
        <v>149.83053934752138</v>
      </c>
    </row>
    <row r="93" spans="12:14">
      <c r="L93" s="10" t="str">
        <f>name!D15</f>
        <v>41 Administrative occupations</v>
      </c>
      <c r="M93" s="75">
        <f>'Occ T2'!D19-'Occ T2'!B19</f>
        <v>58.450138490650261</v>
      </c>
      <c r="N93" s="75">
        <f>'Occ T2'!F130</f>
        <v>40.24053977710264</v>
      </c>
    </row>
    <row r="94" spans="12:14">
      <c r="L94" s="10" t="str">
        <f>name!D16</f>
        <v>42 Secretarial and related occupations</v>
      </c>
      <c r="M94" s="75">
        <f>'Occ T2'!D20-'Occ T2'!B20</f>
        <v>-68.337410507023606</v>
      </c>
      <c r="N94" s="75">
        <f>'Occ T2'!F131</f>
        <v>-173.5228150878371</v>
      </c>
    </row>
    <row r="95" spans="12:14">
      <c r="L95" s="10" t="str">
        <f>name!D17</f>
        <v>51 Skilled agricultural and related trades</v>
      </c>
      <c r="M95" s="75">
        <f>'Occ T2'!D21-'Occ T2'!B21</f>
        <v>-26.87162043394153</v>
      </c>
      <c r="N95" s="75">
        <f>'Occ T2'!F132</f>
        <v>26.050927064713676</v>
      </c>
    </row>
    <row r="96" spans="12:14">
      <c r="L96" s="10" t="str">
        <f>name!D18</f>
        <v>52 Skilled metal, electrical and electronic trades</v>
      </c>
      <c r="M96" s="75">
        <f>'Occ T2'!D22-'Occ T2'!B22</f>
        <v>-120.1787855196111</v>
      </c>
      <c r="N96" s="75">
        <f>'Occ T2'!F133</f>
        <v>-56.503620593207415</v>
      </c>
    </row>
    <row r="97" spans="12:14">
      <c r="L97" s="10" t="str">
        <f>name!D19</f>
        <v>53 Skilled construction and building trades</v>
      </c>
      <c r="M97" s="75">
        <f>'Occ T2'!D23-'Occ T2'!B23</f>
        <v>-148.61455038044528</v>
      </c>
      <c r="N97" s="75">
        <f>'Occ T2'!F134</f>
        <v>-50.914334851973422</v>
      </c>
    </row>
    <row r="98" spans="12:14">
      <c r="L98" s="10" t="str">
        <f>name!D20</f>
        <v>54 Textiles, printing and other skilled trades</v>
      </c>
      <c r="M98" s="75">
        <f>'Occ T2'!D24-'Occ T2'!B24</f>
        <v>-86.693799045041033</v>
      </c>
      <c r="N98" s="75">
        <f>'Occ T2'!F135</f>
        <v>43.794166952982437</v>
      </c>
    </row>
    <row r="99" spans="12:14">
      <c r="L99" s="10" t="str">
        <f>name!D21</f>
        <v>61 Caring personal service occupations</v>
      </c>
      <c r="M99" s="75">
        <f>'Occ T2'!D25-'Occ T2'!B25</f>
        <v>-10.41281271164803</v>
      </c>
      <c r="N99" s="75">
        <f>'Occ T2'!F136</f>
        <v>272.21701918340727</v>
      </c>
    </row>
    <row r="100" spans="12:14">
      <c r="L100" s="10" t="str">
        <f>name!D22</f>
        <v>62 Leisure, travel and related personal service occupations</v>
      </c>
      <c r="M100" s="75">
        <f>'Occ T2'!D26-'Occ T2'!B26</f>
        <v>0.27777014246021281</v>
      </c>
      <c r="N100" s="75">
        <f>'Occ T2'!F137</f>
        <v>-24.872804951645094</v>
      </c>
    </row>
    <row r="101" spans="12:14">
      <c r="L101" s="10" t="str">
        <f>name!D23</f>
        <v>63 Community and civil enforcement occupations</v>
      </c>
      <c r="M101" s="75">
        <f>'Occ T2'!D27-'Occ T2'!B27</f>
        <v>2.1627253410072456</v>
      </c>
      <c r="N101" s="75">
        <f>'Occ T2'!F138</f>
        <v>-5.8914938333974973</v>
      </c>
    </row>
    <row r="102" spans="12:14">
      <c r="L102" s="10" t="str">
        <f>name!D24</f>
        <v>71 Sales occupations</v>
      </c>
      <c r="M102" s="75">
        <f>'Occ T2'!D28-'Occ T2'!B28</f>
        <v>-136.42230014634515</v>
      </c>
      <c r="N102" s="75">
        <f>'Occ T2'!F139</f>
        <v>-79.254333542742188</v>
      </c>
    </row>
    <row r="103" spans="12:14">
      <c r="L103" s="10" t="str">
        <f>name!D25</f>
        <v>72 Customer service occupations</v>
      </c>
      <c r="M103" s="75">
        <f>'Occ T2'!D29-'Occ T2'!B29</f>
        <v>48.556430269619966</v>
      </c>
      <c r="N103" s="75">
        <f>'Occ T2'!F140</f>
        <v>123.65215852986933</v>
      </c>
    </row>
    <row r="104" spans="12:14">
      <c r="L104" s="10" t="str">
        <f>name!D26</f>
        <v>81 Process, plant and machine operatives</v>
      </c>
      <c r="M104" s="75">
        <f>'Occ T2'!D30-'Occ T2'!B30</f>
        <v>-103.59473513422563</v>
      </c>
      <c r="N104" s="75">
        <f>'Occ T2'!F141</f>
        <v>-11.330429149901988</v>
      </c>
    </row>
    <row r="105" spans="12:14">
      <c r="L105" s="10" t="str">
        <f>name!D27</f>
        <v>82 Transport and mobile machine drivers and operatives</v>
      </c>
      <c r="M105" s="75">
        <f>'Occ T2'!D31-'Occ T2'!B31</f>
        <v>2.0583313485119561</v>
      </c>
      <c r="N105" s="75">
        <f>'Occ T2'!F142</f>
        <v>10.5062389974496</v>
      </c>
    </row>
    <row r="106" spans="12:14">
      <c r="L106" s="10" t="str">
        <f>name!D28</f>
        <v>91 Elementary trades and related occupations</v>
      </c>
      <c r="M106" s="75">
        <f>'Occ T2'!D32-'Occ T2'!B32</f>
        <v>-96.637043862494693</v>
      </c>
      <c r="N106" s="75">
        <f>'Occ T2'!F143</f>
        <v>398.39048709735488</v>
      </c>
    </row>
    <row r="107" spans="12:14">
      <c r="L107" s="10" t="str">
        <f>name!D29</f>
        <v>92 Elementary administration and service occupations</v>
      </c>
      <c r="M107" s="75">
        <f>'Occ T2'!D33-'Occ T2'!B33</f>
        <v>-209.36824367635518</v>
      </c>
      <c r="N107" s="75">
        <f>'Occ T2'!F144</f>
        <v>-406.40717358973006</v>
      </c>
    </row>
    <row r="108" spans="12:14">
      <c r="L108" s="10"/>
      <c r="M108" s="75"/>
      <c r="N108" s="75"/>
    </row>
    <row r="109" spans="12:14">
      <c r="L109" s="10" t="str">
        <f>name!D3</f>
        <v>All occupations</v>
      </c>
      <c r="M109" s="75">
        <f>'Occ T2'!D35-'Occ T2'!B35</f>
        <v>1203.508999997448</v>
      </c>
      <c r="N109" s="75">
        <f>'Occ T2'!F146</f>
        <v>2210.4100000172984</v>
      </c>
    </row>
    <row r="150" spans="1:16" ht="15.6">
      <c r="A150" s="136" t="str">
        <f>CONCATENATE("Occupation Figure 1.2  Change in Employment by Occupation (SOC 2020), ",M152," and ",N152,", ",Info!B5)</f>
        <v>Occupation Figure 1.2  Change in Employment by Occupation (SOC 2020), 2015 - 2020 and 2020-2035, England</v>
      </c>
    </row>
    <row r="151" spans="1:16">
      <c r="P151" s="75"/>
    </row>
    <row r="152" spans="1:16">
      <c r="M152" s="72" t="str">
        <f>'Occ T1'!B6&amp;" - "&amp;'Occ T1'!D6</f>
        <v>2015 - 2020</v>
      </c>
      <c r="N152" s="72" t="str">
        <f>'Occ T1'!H4</f>
        <v>2020-2035</v>
      </c>
      <c r="P152" s="75"/>
    </row>
    <row r="153" spans="1:16">
      <c r="L153" s="10" t="str">
        <f>name!E4</f>
        <v>Managers, directors and senior officials</v>
      </c>
      <c r="M153" s="75">
        <f>'Occ T1'!D8-'Occ T1'!B8</f>
        <v>484.5587931303553</v>
      </c>
      <c r="N153" s="75">
        <f>'Occ T1'!H8</f>
        <v>144.85946240295607</v>
      </c>
      <c r="P153" s="75"/>
    </row>
    <row r="154" spans="1:16">
      <c r="L154" s="10" t="str">
        <f>name!E5</f>
        <v>Professional occupations</v>
      </c>
      <c r="M154" s="75">
        <f>'Occ T1'!D9-'Occ T1'!B9</f>
        <v>1139.1350539439591</v>
      </c>
      <c r="N154" s="75">
        <f>'Occ T1'!H9</f>
        <v>1334.7797325929405</v>
      </c>
      <c r="P154" s="75"/>
    </row>
    <row r="155" spans="1:16">
      <c r="L155" s="10" t="str">
        <f>name!E6</f>
        <v>Associate professional occupations</v>
      </c>
      <c r="M155" s="75">
        <f>'Occ T1'!D10-'Occ T1'!B10</f>
        <v>475.44105874801016</v>
      </c>
      <c r="N155" s="75">
        <f>'Occ T1'!H10</f>
        <v>624.61627301895351</v>
      </c>
      <c r="P155" s="75"/>
    </row>
    <row r="156" spans="1:16">
      <c r="L156" s="10" t="str">
        <f>name!E7</f>
        <v>Administrative and secretarial occupations</v>
      </c>
      <c r="M156" s="75">
        <f>'Occ T1'!D11-'Occ T1'!B11</f>
        <v>-9.8872720163731174</v>
      </c>
      <c r="N156" s="75">
        <f>'Occ T1'!H11</f>
        <v>-133.28227531073435</v>
      </c>
      <c r="P156" s="75"/>
    </row>
    <row r="157" spans="1:16">
      <c r="L157" s="10" t="str">
        <f>name!E8</f>
        <v>Skilled trades occupations</v>
      </c>
      <c r="M157" s="75">
        <f>'Occ T1'!D12-'Occ T1'!B12</f>
        <v>-382.35875537903848</v>
      </c>
      <c r="N157" s="75">
        <f>'Occ T1'!H12</f>
        <v>-37.572861427484895</v>
      </c>
      <c r="P157" s="75"/>
    </row>
    <row r="158" spans="1:16">
      <c r="L158" s="10" t="str">
        <f>name!E9</f>
        <v>Caring, leisure and other service occupations</v>
      </c>
      <c r="M158" s="75">
        <f>'Occ T1'!D13-'Occ T1'!B13</f>
        <v>-7.9723172281801453</v>
      </c>
      <c r="N158" s="75">
        <f>'Occ T1'!H13</f>
        <v>241.45272039836482</v>
      </c>
      <c r="P158" s="75"/>
    </row>
    <row r="159" spans="1:16">
      <c r="L159" s="10" t="str">
        <f>name!E10</f>
        <v>Sales and customer service occupations</v>
      </c>
      <c r="M159" s="75">
        <f>'Occ T1'!D14-'Occ T1'!B14</f>
        <v>-87.865869876724901</v>
      </c>
      <c r="N159" s="75">
        <f>'Occ T1'!H14</f>
        <v>44.397824987127024</v>
      </c>
      <c r="P159" s="75"/>
    </row>
    <row r="160" spans="1:16">
      <c r="L160" s="10" t="str">
        <f>name!E11</f>
        <v>Process, plant and machine operatives</v>
      </c>
      <c r="M160" s="75">
        <f>'Occ T1'!D15-'Occ T1'!B15</f>
        <v>-101.5364037857139</v>
      </c>
      <c r="N160" s="75">
        <f>'Occ T1'!H15</f>
        <v>-0.82419015245227456</v>
      </c>
      <c r="P160" s="75"/>
    </row>
    <row r="161" spans="12:16">
      <c r="L161" s="10" t="str">
        <f>name!E12</f>
        <v>Elementary occupations</v>
      </c>
      <c r="M161" s="75">
        <f>'Occ T1'!D16-'Occ T1'!B16</f>
        <v>-306.0052875388501</v>
      </c>
      <c r="N161" s="75">
        <f>'Occ T1'!H16</f>
        <v>-8.0166864923749017</v>
      </c>
      <c r="P161" s="75"/>
    </row>
    <row r="162" spans="12:16">
      <c r="L162" s="10"/>
      <c r="M162" s="75"/>
      <c r="N162" s="75"/>
      <c r="P162" s="75"/>
    </row>
    <row r="163" spans="12:16">
      <c r="L163" s="10" t="str">
        <f>name!E3</f>
        <v>All occupations</v>
      </c>
      <c r="M163" s="75">
        <f>'Occ T1'!D18-'Occ T1'!B18</f>
        <v>1203.5089999974516</v>
      </c>
      <c r="N163" s="75">
        <f>'Occ T1'!H18</f>
        <v>2210.4100000172957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6"/>
  <cols>
    <col min="1" max="1" width="17" style="62" customWidth="1"/>
    <col min="2" max="8" width="9.140625" style="62"/>
    <col min="9" max="9" width="31.85546875" style="62" customWidth="1"/>
    <col min="10" max="10" width="11.28515625" style="62" customWidth="1"/>
    <col min="11" max="11" width="6.140625" style="62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6">
      <c r="A1" s="61" t="str">
        <f>CONCATENATE("Occupation Figure 2  Employment by Occupation (SOC 2020), ",$M$2,"-",$O$2,", ",Info!B5)</f>
        <v>Occupation Figure 2  Employment by Occupation (SOC 2020), 2010-2035, England</v>
      </c>
      <c r="L1" s="35"/>
    </row>
    <row r="2" spans="1:67" ht="12.95">
      <c r="A2" s="158" t="s">
        <v>180</v>
      </c>
      <c r="L2" s="15" t="s">
        <v>165</v>
      </c>
      <c r="M2" s="37">
        <f>M4</f>
        <v>2010</v>
      </c>
      <c r="N2" s="36" t="s">
        <v>166</v>
      </c>
      <c r="O2" s="37">
        <f>MAX(Q4:BO4)</f>
        <v>2035</v>
      </c>
    </row>
    <row r="3" spans="1:67">
      <c r="L3" s="15"/>
      <c r="M3" s="15"/>
      <c r="N3" s="36"/>
      <c r="O3" s="15"/>
    </row>
    <row r="4" spans="1:67" ht="12.95">
      <c r="L4" s="1" t="s">
        <v>114</v>
      </c>
      <c r="M4" s="37">
        <v>2010</v>
      </c>
      <c r="N4" s="37">
        <v>2011</v>
      </c>
      <c r="O4" s="37">
        <v>2012</v>
      </c>
      <c r="P4" s="37">
        <v>2013</v>
      </c>
      <c r="Q4" s="37">
        <v>2014</v>
      </c>
      <c r="R4" s="37">
        <v>2015</v>
      </c>
      <c r="S4" s="37">
        <v>2016</v>
      </c>
      <c r="T4" s="37">
        <v>2017</v>
      </c>
      <c r="U4" s="37">
        <v>2018</v>
      </c>
      <c r="V4" s="37">
        <v>2019</v>
      </c>
      <c r="W4" s="37">
        <v>2020</v>
      </c>
      <c r="X4" s="37">
        <v>2021</v>
      </c>
      <c r="Y4" s="37">
        <v>2022</v>
      </c>
      <c r="Z4" s="37">
        <v>2023</v>
      </c>
      <c r="AA4" s="37">
        <v>2024</v>
      </c>
      <c r="AB4" s="37">
        <v>2025</v>
      </c>
      <c r="AC4" s="37">
        <v>2026</v>
      </c>
      <c r="AD4" s="37">
        <v>2027</v>
      </c>
      <c r="AE4" s="37">
        <v>2028</v>
      </c>
      <c r="AF4" s="37">
        <v>2029</v>
      </c>
      <c r="AG4" s="37">
        <v>2030</v>
      </c>
      <c r="AH4" s="37">
        <v>2031</v>
      </c>
      <c r="AI4" s="37">
        <v>2032</v>
      </c>
      <c r="AJ4" s="37">
        <v>2033</v>
      </c>
      <c r="AK4" s="37">
        <v>2034</v>
      </c>
      <c r="AL4" s="37">
        <v>2035</v>
      </c>
      <c r="AM4" s="37"/>
      <c r="AN4" s="37"/>
      <c r="AO4" s="37"/>
      <c r="AP4" s="3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ht="12.95">
      <c r="L5" s="16" t="str">
        <f>'Occ T3'!A7</f>
        <v>Managers, directors and senior officials</v>
      </c>
      <c r="M5" s="68">
        <f t="shared" ref="M5:P5" si="0">SUM(M6:M7)</f>
        <v>2281.6256986693516</v>
      </c>
      <c r="N5" s="68">
        <f t="shared" si="0"/>
        <v>2511.4356060613586</v>
      </c>
      <c r="O5" s="68">
        <f t="shared" si="0"/>
        <v>2613.5748297830778</v>
      </c>
      <c r="P5" s="68">
        <f t="shared" si="0"/>
        <v>2655.5287653292899</v>
      </c>
      <c r="Q5" s="68">
        <f>SUM(Q6:Q7)</f>
        <v>2733.1242231780143</v>
      </c>
      <c r="R5" s="68">
        <f t="shared" ref="R5:AL5" si="1">SUM(R6:R7)</f>
        <v>2822.954966620724</v>
      </c>
      <c r="S5" s="68">
        <f t="shared" si="1"/>
        <v>2914.5795581903112</v>
      </c>
      <c r="T5" s="68">
        <f t="shared" si="1"/>
        <v>3047.9899760189528</v>
      </c>
      <c r="U5" s="68">
        <f t="shared" si="1"/>
        <v>3094.9678905284418</v>
      </c>
      <c r="V5" s="68">
        <f t="shared" si="1"/>
        <v>3241.7877031892976</v>
      </c>
      <c r="W5" s="68">
        <f t="shared" si="1"/>
        <v>3307.5137597510793</v>
      </c>
      <c r="X5" s="68">
        <f t="shared" si="1"/>
        <v>3005.8490051752569</v>
      </c>
      <c r="Y5" s="68">
        <f t="shared" si="1"/>
        <v>3037.1809978193305</v>
      </c>
      <c r="Z5" s="68">
        <f t="shared" si="1"/>
        <v>3075.1310936036516</v>
      </c>
      <c r="AA5" s="68">
        <f t="shared" si="1"/>
        <v>3115.0240735664183</v>
      </c>
      <c r="AB5" s="68">
        <f t="shared" si="1"/>
        <v>3147.4469092280979</v>
      </c>
      <c r="AC5" s="68">
        <f t="shared" si="1"/>
        <v>3177.7734868570305</v>
      </c>
      <c r="AD5" s="68">
        <f t="shared" si="1"/>
        <v>3206.8345729760913</v>
      </c>
      <c r="AE5" s="68">
        <f t="shared" si="1"/>
        <v>3236.0357064934437</v>
      </c>
      <c r="AF5" s="68">
        <f t="shared" si="1"/>
        <v>3265.3248747157604</v>
      </c>
      <c r="AG5" s="68">
        <f t="shared" si="1"/>
        <v>3296.1490909036784</v>
      </c>
      <c r="AH5" s="68">
        <f t="shared" si="1"/>
        <v>3326.8953633093734</v>
      </c>
      <c r="AI5" s="68">
        <f t="shared" si="1"/>
        <v>3357.9795995350464</v>
      </c>
      <c r="AJ5" s="68">
        <f t="shared" si="1"/>
        <v>3389.3254307564944</v>
      </c>
      <c r="AK5" s="68">
        <f t="shared" si="1"/>
        <v>3420.8258554121157</v>
      </c>
      <c r="AL5" s="68">
        <f t="shared" si="1"/>
        <v>3452.3732221540354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>
      <c r="L6" s="107" t="str">
        <f>'Occ T3'!A8</f>
        <v>11 Corporate managers and directors</v>
      </c>
      <c r="M6" s="11">
        <v>1555.0928290692907</v>
      </c>
      <c r="N6" s="11">
        <v>1701.6753313117376</v>
      </c>
      <c r="O6" s="11">
        <v>1768.8376003986216</v>
      </c>
      <c r="P6" s="11">
        <v>1803.8616337069168</v>
      </c>
      <c r="Q6" s="11">
        <v>1783.5778246208415</v>
      </c>
      <c r="R6" s="11">
        <v>1899.4336390268675</v>
      </c>
      <c r="S6" s="11">
        <v>2045.5640482225749</v>
      </c>
      <c r="T6" s="11">
        <v>2109.9783428562946</v>
      </c>
      <c r="U6" s="11">
        <v>2146.7915220075411</v>
      </c>
      <c r="V6" s="11">
        <v>2252.4434759690844</v>
      </c>
      <c r="W6" s="11">
        <v>2307.7401043917707</v>
      </c>
      <c r="X6" s="11">
        <v>2020.6695697131854</v>
      </c>
      <c r="Y6" s="11">
        <v>2039.226167084053</v>
      </c>
      <c r="Z6" s="11">
        <v>2062.0781917464033</v>
      </c>
      <c r="AA6" s="11">
        <v>2086.1879671218203</v>
      </c>
      <c r="AB6" s="11">
        <v>2105.3021001707893</v>
      </c>
      <c r="AC6" s="11">
        <v>2123.0468545074059</v>
      </c>
      <c r="AD6" s="11">
        <v>2139.934293482087</v>
      </c>
      <c r="AE6" s="11">
        <v>2156.9116932273018</v>
      </c>
      <c r="AF6" s="11">
        <v>2173.9490177270209</v>
      </c>
      <c r="AG6" s="11">
        <v>2191.9741304865602</v>
      </c>
      <c r="AH6" s="11">
        <v>2209.9091572858888</v>
      </c>
      <c r="AI6" s="11">
        <v>2228.1053799927008</v>
      </c>
      <c r="AJ6" s="11">
        <v>2246.5212052872025</v>
      </c>
      <c r="AK6" s="11">
        <v>2265.1173260346027</v>
      </c>
      <c r="AL6" s="11">
        <v>2283.7260613096219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>
      <c r="L7" s="107" t="str">
        <f>'Occ T3'!A9</f>
        <v>12 Other managers and proprietors</v>
      </c>
      <c r="M7" s="11">
        <v>726.53286960006096</v>
      </c>
      <c r="N7" s="11">
        <v>809.76027474962098</v>
      </c>
      <c r="O7" s="11">
        <v>844.73722938445633</v>
      </c>
      <c r="P7" s="11">
        <v>851.66713162237295</v>
      </c>
      <c r="Q7" s="11">
        <v>949.54639855717267</v>
      </c>
      <c r="R7" s="11">
        <v>923.52132759385643</v>
      </c>
      <c r="S7" s="11">
        <v>869.01550996773653</v>
      </c>
      <c r="T7" s="11">
        <v>938.01163316265843</v>
      </c>
      <c r="U7" s="11">
        <v>948.17636852090061</v>
      </c>
      <c r="V7" s="11">
        <v>989.34422722021304</v>
      </c>
      <c r="W7" s="11">
        <v>999.77365535930846</v>
      </c>
      <c r="X7" s="11">
        <v>985.17943546207164</v>
      </c>
      <c r="Y7" s="11">
        <v>997.95483073527748</v>
      </c>
      <c r="Z7" s="11">
        <v>1013.0529018572485</v>
      </c>
      <c r="AA7" s="11">
        <v>1028.8361064445978</v>
      </c>
      <c r="AB7" s="11">
        <v>1042.1448090573083</v>
      </c>
      <c r="AC7" s="11">
        <v>1054.7266323496247</v>
      </c>
      <c r="AD7" s="11">
        <v>1066.9002794940043</v>
      </c>
      <c r="AE7" s="11">
        <v>1079.1240132661419</v>
      </c>
      <c r="AF7" s="11">
        <v>1091.3758569887395</v>
      </c>
      <c r="AG7" s="11">
        <v>1104.1749604171184</v>
      </c>
      <c r="AH7" s="11">
        <v>1116.9862060234846</v>
      </c>
      <c r="AI7" s="11">
        <v>1129.8742195423456</v>
      </c>
      <c r="AJ7" s="11">
        <v>1142.8042254692919</v>
      </c>
      <c r="AK7" s="11">
        <v>1155.7085293775133</v>
      </c>
      <c r="AL7" s="11">
        <v>1168.6471608444135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>
      <c r="L8" s="107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ht="12.95">
      <c r="L9" s="16" t="str">
        <f>'Occ T3'!A11</f>
        <v>Professional occupations</v>
      </c>
      <c r="M9" s="68">
        <f t="shared" ref="M9:P9" si="2">SUM(M10:M13)</f>
        <v>5491.9730778200928</v>
      </c>
      <c r="N9" s="68">
        <f t="shared" si="2"/>
        <v>5402.9298330231813</v>
      </c>
      <c r="O9" s="68">
        <f t="shared" si="2"/>
        <v>5509.9312605354189</v>
      </c>
      <c r="P9" s="68">
        <f t="shared" si="2"/>
        <v>5652.3270731849989</v>
      </c>
      <c r="Q9" s="68">
        <f>SUM(Q10:Q13)</f>
        <v>5862.1569214731471</v>
      </c>
      <c r="R9" s="68">
        <f t="shared" ref="R9:AL9" si="3">SUM(R10:R13)</f>
        <v>5913.2437820431533</v>
      </c>
      <c r="S9" s="68">
        <f t="shared" si="3"/>
        <v>6251.9687149225729</v>
      </c>
      <c r="T9" s="68">
        <f t="shared" si="3"/>
        <v>6240.2117921712888</v>
      </c>
      <c r="U9" s="68">
        <f t="shared" si="3"/>
        <v>6468.2700325882961</v>
      </c>
      <c r="V9" s="68">
        <f t="shared" si="3"/>
        <v>6746.1756140652806</v>
      </c>
      <c r="W9" s="68">
        <f t="shared" si="3"/>
        <v>7052.3788359871123</v>
      </c>
      <c r="X9" s="68">
        <f t="shared" si="3"/>
        <v>7244.2346235856321</v>
      </c>
      <c r="Y9" s="68">
        <f t="shared" si="3"/>
        <v>7320.177905888535</v>
      </c>
      <c r="Z9" s="68">
        <f t="shared" si="3"/>
        <v>7414.34025321027</v>
      </c>
      <c r="AA9" s="68">
        <f t="shared" si="3"/>
        <v>7514.2229043339412</v>
      </c>
      <c r="AB9" s="68">
        <f t="shared" si="3"/>
        <v>7598.1008300975063</v>
      </c>
      <c r="AC9" s="68">
        <f t="shared" si="3"/>
        <v>7677.2241132045947</v>
      </c>
      <c r="AD9" s="68">
        <f t="shared" si="3"/>
        <v>7753.6893835617102</v>
      </c>
      <c r="AE9" s="68">
        <f t="shared" si="3"/>
        <v>7830.27779323697</v>
      </c>
      <c r="AF9" s="68">
        <f t="shared" si="3"/>
        <v>7906.6250515381762</v>
      </c>
      <c r="AG9" s="68">
        <f t="shared" si="3"/>
        <v>7986.0749618687496</v>
      </c>
      <c r="AH9" s="68">
        <f t="shared" si="3"/>
        <v>8065.1826301989959</v>
      </c>
      <c r="AI9" s="68">
        <f t="shared" si="3"/>
        <v>8144.9056366557234</v>
      </c>
      <c r="AJ9" s="68">
        <f t="shared" si="3"/>
        <v>8225.455184619037</v>
      </c>
      <c r="AK9" s="68">
        <f t="shared" si="3"/>
        <v>8306.1851110686093</v>
      </c>
      <c r="AL9" s="68">
        <f t="shared" si="3"/>
        <v>8387.1585685800528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>
      <c r="L10" s="107" t="str">
        <f>'Occ T3'!A12</f>
        <v>21 Science, research, engineering and technology professionals</v>
      </c>
      <c r="M10" s="11">
        <v>1420.1871427982635</v>
      </c>
      <c r="N10" s="11">
        <v>1371.03019083965</v>
      </c>
      <c r="O10" s="11">
        <v>1410.8536520703931</v>
      </c>
      <c r="P10" s="11">
        <v>1421.8298267210989</v>
      </c>
      <c r="Q10" s="11">
        <v>1524.5507102970569</v>
      </c>
      <c r="R10" s="11">
        <v>1585.0798970775459</v>
      </c>
      <c r="S10" s="11">
        <v>1675.9861851188994</v>
      </c>
      <c r="T10" s="11">
        <v>1640.6753711170347</v>
      </c>
      <c r="U10" s="11">
        <v>1750.0156419990578</v>
      </c>
      <c r="V10" s="11">
        <v>1824.270392837615</v>
      </c>
      <c r="W10" s="11">
        <v>1898.0720341129449</v>
      </c>
      <c r="X10" s="11">
        <v>2208.0157053981329</v>
      </c>
      <c r="Y10" s="11">
        <v>2240.9181351123125</v>
      </c>
      <c r="Z10" s="11">
        <v>2278.7432667420426</v>
      </c>
      <c r="AA10" s="11">
        <v>2317.8985004734191</v>
      </c>
      <c r="AB10" s="11">
        <v>2351.7516802899086</v>
      </c>
      <c r="AC10" s="11">
        <v>2384.3803748346795</v>
      </c>
      <c r="AD10" s="11">
        <v>2416.1303491436356</v>
      </c>
      <c r="AE10" s="11">
        <v>2448.1080065732931</v>
      </c>
      <c r="AF10" s="11">
        <v>2480.229344788766</v>
      </c>
      <c r="AG10" s="11">
        <v>2513.3809298576848</v>
      </c>
      <c r="AH10" s="11">
        <v>2546.4725012890367</v>
      </c>
      <c r="AI10" s="11">
        <v>2579.8447088758021</v>
      </c>
      <c r="AJ10" s="11">
        <v>2613.5035576657438</v>
      </c>
      <c r="AK10" s="11">
        <v>2647.3108252458237</v>
      </c>
      <c r="AL10" s="11">
        <v>2681.3748075213884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>
      <c r="L11" s="107" t="str">
        <f>'Occ T3'!A13</f>
        <v>22 Health professionals</v>
      </c>
      <c r="M11" s="11">
        <v>1003.1062302288118</v>
      </c>
      <c r="N11" s="11">
        <v>1064.041090917136</v>
      </c>
      <c r="O11" s="11">
        <v>1102.527517522215</v>
      </c>
      <c r="P11" s="11">
        <v>1134.0024383377586</v>
      </c>
      <c r="Q11" s="11">
        <v>1164.7839841833836</v>
      </c>
      <c r="R11" s="11">
        <v>1169.4428202608058</v>
      </c>
      <c r="S11" s="11">
        <v>1222.7706178330973</v>
      </c>
      <c r="T11" s="11">
        <v>1283.4823875362081</v>
      </c>
      <c r="U11" s="11">
        <v>1286.5115535839668</v>
      </c>
      <c r="V11" s="11">
        <v>1354.656644154659</v>
      </c>
      <c r="W11" s="11">
        <v>1355.932796971927</v>
      </c>
      <c r="X11" s="11">
        <v>1295.4152955170271</v>
      </c>
      <c r="Y11" s="11">
        <v>1305.6194803310686</v>
      </c>
      <c r="Z11" s="11">
        <v>1317.8994899687928</v>
      </c>
      <c r="AA11" s="11">
        <v>1331.3509072611735</v>
      </c>
      <c r="AB11" s="11">
        <v>1342.0489197398499</v>
      </c>
      <c r="AC11" s="11">
        <v>1351.7426967142662</v>
      </c>
      <c r="AD11" s="11">
        <v>1361.0327825415568</v>
      </c>
      <c r="AE11" s="11">
        <v>1370.3423457489669</v>
      </c>
      <c r="AF11" s="11">
        <v>1379.2821821084401</v>
      </c>
      <c r="AG11" s="11">
        <v>1388.8226812102985</v>
      </c>
      <c r="AH11" s="11">
        <v>1398.3936395506566</v>
      </c>
      <c r="AI11" s="11">
        <v>1408.0257000605707</v>
      </c>
      <c r="AJ11" s="11">
        <v>1417.7974185499127</v>
      </c>
      <c r="AK11" s="11">
        <v>1427.3898130154948</v>
      </c>
      <c r="AL11" s="11">
        <v>1436.7895221098097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>
      <c r="L12" s="107" t="str">
        <f>'Occ T3'!A14</f>
        <v>23 Teaching and other educational professionals</v>
      </c>
      <c r="M12" s="11">
        <v>1297.4817116619042</v>
      </c>
      <c r="N12" s="11">
        <v>1295.5041258612828</v>
      </c>
      <c r="O12" s="11">
        <v>1304.7901020474008</v>
      </c>
      <c r="P12" s="11">
        <v>1321.837894959481</v>
      </c>
      <c r="Q12" s="11">
        <v>1349.6706922222211</v>
      </c>
      <c r="R12" s="11">
        <v>1361.7491851591385</v>
      </c>
      <c r="S12" s="11">
        <v>1414.0951948998791</v>
      </c>
      <c r="T12" s="11">
        <v>1370.7149536025515</v>
      </c>
      <c r="U12" s="11">
        <v>1392.5093588649409</v>
      </c>
      <c r="V12" s="11">
        <v>1441.2390325186957</v>
      </c>
      <c r="W12" s="11">
        <v>1503.6331126652781</v>
      </c>
      <c r="X12" s="11">
        <v>1431.0705319807728</v>
      </c>
      <c r="Y12" s="11">
        <v>1437.1359415396485</v>
      </c>
      <c r="Z12" s="11">
        <v>1450.0385799790658</v>
      </c>
      <c r="AA12" s="11">
        <v>1464.5412160841429</v>
      </c>
      <c r="AB12" s="11">
        <v>1476.7704130845411</v>
      </c>
      <c r="AC12" s="11">
        <v>1488.0530073095877</v>
      </c>
      <c r="AD12" s="11">
        <v>1498.8522099789852</v>
      </c>
      <c r="AE12" s="11">
        <v>1509.541338040068</v>
      </c>
      <c r="AF12" s="11">
        <v>1520.1282709017225</v>
      </c>
      <c r="AG12" s="11">
        <v>1531.1497341025417</v>
      </c>
      <c r="AH12" s="11">
        <v>1542.0761190101227</v>
      </c>
      <c r="AI12" s="11">
        <v>1553.0226216123394</v>
      </c>
      <c r="AJ12" s="11">
        <v>1564.1050843295614</v>
      </c>
      <c r="AK12" s="11">
        <v>1575.2463513714326</v>
      </c>
      <c r="AL12" s="11">
        <v>1586.4211218808052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>
      <c r="L13" s="107" t="str">
        <f>'Occ T3'!A15</f>
        <v>24 Business, media and public service professionals</v>
      </c>
      <c r="M13" s="11">
        <v>1771.1979931311132</v>
      </c>
      <c r="N13" s="11">
        <v>1672.3544254051126</v>
      </c>
      <c r="O13" s="11">
        <v>1691.7599888954103</v>
      </c>
      <c r="P13" s="11">
        <v>1774.6569131666599</v>
      </c>
      <c r="Q13" s="11">
        <v>1823.1515347704856</v>
      </c>
      <c r="R13" s="11">
        <v>1796.9718795456633</v>
      </c>
      <c r="S13" s="11">
        <v>1939.1167170706967</v>
      </c>
      <c r="T13" s="11">
        <v>1945.3390799154936</v>
      </c>
      <c r="U13" s="11">
        <v>2039.233478140331</v>
      </c>
      <c r="V13" s="11">
        <v>2126.0095445543111</v>
      </c>
      <c r="W13" s="11">
        <v>2294.7408922369627</v>
      </c>
      <c r="X13" s="11">
        <v>2309.7330906896996</v>
      </c>
      <c r="Y13" s="11">
        <v>2336.5043489055056</v>
      </c>
      <c r="Z13" s="11">
        <v>2367.6589165203682</v>
      </c>
      <c r="AA13" s="11">
        <v>2400.4322805152065</v>
      </c>
      <c r="AB13" s="11">
        <v>2427.5298169832067</v>
      </c>
      <c r="AC13" s="11">
        <v>2453.0480343460608</v>
      </c>
      <c r="AD13" s="11">
        <v>2477.6740418975323</v>
      </c>
      <c r="AE13" s="11">
        <v>2502.286102874642</v>
      </c>
      <c r="AF13" s="11">
        <v>2526.9852537392485</v>
      </c>
      <c r="AG13" s="11">
        <v>2552.7216166982244</v>
      </c>
      <c r="AH13" s="11">
        <v>2578.24037034918</v>
      </c>
      <c r="AI13" s="11">
        <v>2604.0126061070109</v>
      </c>
      <c r="AJ13" s="11">
        <v>2630.0491240738202</v>
      </c>
      <c r="AK13" s="11">
        <v>2656.2381214358588</v>
      </c>
      <c r="AL13" s="11">
        <v>2682.5731170680497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>
      <c r="L14" s="107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ht="12.95">
      <c r="L15" s="16" t="str">
        <f>'Occ T3'!A17</f>
        <v>Associate professional occupations</v>
      </c>
      <c r="M15" s="68">
        <f>SUM(M16:M20)</f>
        <v>3292.8809152178014</v>
      </c>
      <c r="N15" s="68">
        <f t="shared" ref="N15:P15" si="4">SUM(N16:N20)</f>
        <v>3340.7743061288438</v>
      </c>
      <c r="O15" s="68">
        <f t="shared" si="4"/>
        <v>3482.3831636120649</v>
      </c>
      <c r="P15" s="68">
        <f t="shared" si="4"/>
        <v>3461.7090507575394</v>
      </c>
      <c r="Q15" s="68">
        <f>SUM(Q16:Q20)</f>
        <v>3613.7383486507815</v>
      </c>
      <c r="R15" s="68">
        <f t="shared" ref="R15:AL15" si="5">SUM(R16:R20)</f>
        <v>3673.0788633877005</v>
      </c>
      <c r="S15" s="68">
        <f t="shared" si="5"/>
        <v>3791.638038692693</v>
      </c>
      <c r="T15" s="68">
        <f t="shared" si="5"/>
        <v>3885.2109821433723</v>
      </c>
      <c r="U15" s="68">
        <f t="shared" si="5"/>
        <v>3944.0265647693359</v>
      </c>
      <c r="V15" s="68">
        <f t="shared" si="5"/>
        <v>3966.2899027660592</v>
      </c>
      <c r="W15" s="68">
        <f t="shared" si="5"/>
        <v>4148.5199221357107</v>
      </c>
      <c r="X15" s="68">
        <f t="shared" si="5"/>
        <v>4190.439090231338</v>
      </c>
      <c r="Y15" s="68">
        <f t="shared" si="5"/>
        <v>4231.0616124450289</v>
      </c>
      <c r="Z15" s="68">
        <f t="shared" si="5"/>
        <v>4280.0956053246182</v>
      </c>
      <c r="AA15" s="68">
        <f t="shared" si="5"/>
        <v>4332.5902809676627</v>
      </c>
      <c r="AB15" s="68">
        <f t="shared" si="5"/>
        <v>4375.1721076650338</v>
      </c>
      <c r="AC15" s="68">
        <f t="shared" si="5"/>
        <v>4414.8181575931903</v>
      </c>
      <c r="AD15" s="68">
        <f t="shared" si="5"/>
        <v>4452.832809362304</v>
      </c>
      <c r="AE15" s="68">
        <f t="shared" si="5"/>
        <v>4490.732541350887</v>
      </c>
      <c r="AF15" s="68">
        <f t="shared" si="5"/>
        <v>4528.9318290454212</v>
      </c>
      <c r="AG15" s="68">
        <f t="shared" si="5"/>
        <v>4569.0312898654611</v>
      </c>
      <c r="AH15" s="68">
        <f t="shared" si="5"/>
        <v>4609.0154775725105</v>
      </c>
      <c r="AI15" s="68">
        <f t="shared" si="5"/>
        <v>4649.4649804387573</v>
      </c>
      <c r="AJ15" s="68">
        <f t="shared" si="5"/>
        <v>4690.4587459131708</v>
      </c>
      <c r="AK15" s="68">
        <f t="shared" si="5"/>
        <v>4731.8020320467949</v>
      </c>
      <c r="AL15" s="68">
        <f t="shared" si="5"/>
        <v>4773.1361951546642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>
      <c r="L16" s="107" t="str">
        <f>'Occ T3'!A18</f>
        <v>31 Science, engineering and technology associate professionals</v>
      </c>
      <c r="M16" s="11">
        <v>467.45212498258547</v>
      </c>
      <c r="N16" s="11">
        <v>458.9642944705285</v>
      </c>
      <c r="O16" s="11">
        <v>476.81921516189573</v>
      </c>
      <c r="P16" s="11">
        <v>486.60871672736562</v>
      </c>
      <c r="Q16" s="11">
        <v>460.94644461315312</v>
      </c>
      <c r="R16" s="11">
        <v>463.28274271165401</v>
      </c>
      <c r="S16" s="11">
        <v>493.3111167671247</v>
      </c>
      <c r="T16" s="11">
        <v>544.29302394740648</v>
      </c>
      <c r="U16" s="11">
        <v>557.78804474796061</v>
      </c>
      <c r="V16" s="11">
        <v>545.82660644977284</v>
      </c>
      <c r="W16" s="11">
        <v>588.40741770343891</v>
      </c>
      <c r="X16" s="11">
        <v>535.1996756104694</v>
      </c>
      <c r="Y16" s="11">
        <v>540.04061640264365</v>
      </c>
      <c r="Z16" s="11">
        <v>546.05441076724628</v>
      </c>
      <c r="AA16" s="11">
        <v>552.39218527986588</v>
      </c>
      <c r="AB16" s="11">
        <v>557.42579875001081</v>
      </c>
      <c r="AC16" s="11">
        <v>562.17290266107761</v>
      </c>
      <c r="AD16" s="11">
        <v>566.59990616714367</v>
      </c>
      <c r="AE16" s="11">
        <v>570.98427618938445</v>
      </c>
      <c r="AF16" s="11">
        <v>575.41225108705146</v>
      </c>
      <c r="AG16" s="11">
        <v>580.14375050958279</v>
      </c>
      <c r="AH16" s="11">
        <v>584.87133507701174</v>
      </c>
      <c r="AI16" s="11">
        <v>589.664402607532</v>
      </c>
      <c r="AJ16" s="11">
        <v>594.50960849235435</v>
      </c>
      <c r="AK16" s="11">
        <v>599.41711245774638</v>
      </c>
      <c r="AL16" s="11">
        <v>604.33246394772175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>
      <c r="L17" s="107" t="str">
        <f>'Occ T3'!A19</f>
        <v>32 Health and social care associate professionals</v>
      </c>
      <c r="M17" s="11">
        <v>373.82851432693712</v>
      </c>
      <c r="N17" s="11">
        <v>474.94822882153028</v>
      </c>
      <c r="O17" s="11">
        <v>475.20536509795249</v>
      </c>
      <c r="P17" s="11">
        <v>470.76042378672764</v>
      </c>
      <c r="Q17" s="11">
        <v>482.03043540624344</v>
      </c>
      <c r="R17" s="11">
        <v>493.00201988165986</v>
      </c>
      <c r="S17" s="11">
        <v>507.8356589265872</v>
      </c>
      <c r="T17" s="11">
        <v>509.1162886777438</v>
      </c>
      <c r="U17" s="11">
        <v>552.21677460044202</v>
      </c>
      <c r="V17" s="11">
        <v>555.82389825767791</v>
      </c>
      <c r="W17" s="11">
        <v>567.17631851210399</v>
      </c>
      <c r="X17" s="11">
        <v>831.00677507395039</v>
      </c>
      <c r="Y17" s="11">
        <v>846.41266809449633</v>
      </c>
      <c r="Z17" s="11">
        <v>863.1621857052113</v>
      </c>
      <c r="AA17" s="11">
        <v>880.85542416079056</v>
      </c>
      <c r="AB17" s="11">
        <v>896.94389420552898</v>
      </c>
      <c r="AC17" s="11">
        <v>912.40026804206934</v>
      </c>
      <c r="AD17" s="11">
        <v>927.63547200996948</v>
      </c>
      <c r="AE17" s="11">
        <v>942.84817643368456</v>
      </c>
      <c r="AF17" s="11">
        <v>958.23815829457953</v>
      </c>
      <c r="AG17" s="11">
        <v>974.10838876662058</v>
      </c>
      <c r="AH17" s="11">
        <v>990.10454143440688</v>
      </c>
      <c r="AI17" s="11">
        <v>1006.1628490906724</v>
      </c>
      <c r="AJ17" s="11">
        <v>1022.3359093067124</v>
      </c>
      <c r="AK17" s="11">
        <v>1038.6836860026249</v>
      </c>
      <c r="AL17" s="11">
        <v>1055.204133353878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>
      <c r="L18" s="107" t="str">
        <f>'Occ T3'!A20</f>
        <v>33 Protective service occupations</v>
      </c>
      <c r="M18" s="11">
        <v>277.50432583413368</v>
      </c>
      <c r="N18" s="11">
        <v>317.64418210175398</v>
      </c>
      <c r="O18" s="11">
        <v>314.7992267457455</v>
      </c>
      <c r="P18" s="11">
        <v>286.95905987820311</v>
      </c>
      <c r="Q18" s="11">
        <v>292.0194409616098</v>
      </c>
      <c r="R18" s="11">
        <v>294.53338224612924</v>
      </c>
      <c r="S18" s="11">
        <v>318.8082823611357</v>
      </c>
      <c r="T18" s="11">
        <v>305.02037147142806</v>
      </c>
      <c r="U18" s="11">
        <v>303.01112175323885</v>
      </c>
      <c r="V18" s="11">
        <v>302.83777946632176</v>
      </c>
      <c r="W18" s="11">
        <v>320.85693432953025</v>
      </c>
      <c r="X18" s="11">
        <v>263.0316079198841</v>
      </c>
      <c r="Y18" s="11">
        <v>265.42431765744169</v>
      </c>
      <c r="Z18" s="11">
        <v>268.11137630996438</v>
      </c>
      <c r="AA18" s="11">
        <v>271.04227928132218</v>
      </c>
      <c r="AB18" s="11">
        <v>273.21297114851421</v>
      </c>
      <c r="AC18" s="11">
        <v>275.1867631334008</v>
      </c>
      <c r="AD18" s="11">
        <v>277.04995708552894</v>
      </c>
      <c r="AE18" s="11">
        <v>278.92453822391502</v>
      </c>
      <c r="AF18" s="11">
        <v>280.95493403170292</v>
      </c>
      <c r="AG18" s="11">
        <v>283.0600977044848</v>
      </c>
      <c r="AH18" s="11">
        <v>285.18099184675356</v>
      </c>
      <c r="AI18" s="11">
        <v>287.28393267429595</v>
      </c>
      <c r="AJ18" s="11">
        <v>289.61454708879302</v>
      </c>
      <c r="AK18" s="11">
        <v>291.78898233736459</v>
      </c>
      <c r="AL18" s="11">
        <v>294.04112821504583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>
      <c r="L19" s="107" t="str">
        <f>'Occ T3'!A21</f>
        <v>34 Culture, media and sports occupations</v>
      </c>
      <c r="M19" s="11">
        <v>462.54838632371457</v>
      </c>
      <c r="N19" s="11">
        <v>489.25441131280434</v>
      </c>
      <c r="O19" s="11">
        <v>535.5760487102184</v>
      </c>
      <c r="P19" s="11">
        <v>533.88475683416993</v>
      </c>
      <c r="Q19" s="11">
        <v>600.42127395323917</v>
      </c>
      <c r="R19" s="11">
        <v>627.36985128235642</v>
      </c>
      <c r="S19" s="11">
        <v>624.96935038546326</v>
      </c>
      <c r="T19" s="11">
        <v>647.69870772820764</v>
      </c>
      <c r="U19" s="11">
        <v>652.92825482883882</v>
      </c>
      <c r="V19" s="11">
        <v>627.37830048121612</v>
      </c>
      <c r="W19" s="11">
        <v>680.96833755090472</v>
      </c>
      <c r="X19" s="11">
        <v>597.00078954365802</v>
      </c>
      <c r="Y19" s="11">
        <v>601.55421136432267</v>
      </c>
      <c r="Z19" s="11">
        <v>608.52237730697914</v>
      </c>
      <c r="AA19" s="11">
        <v>616.18987354854153</v>
      </c>
      <c r="AB19" s="11">
        <v>622.21446039961336</v>
      </c>
      <c r="AC19" s="11">
        <v>627.77759831273465</v>
      </c>
      <c r="AD19" s="11">
        <v>633.15575936741232</v>
      </c>
      <c r="AE19" s="11">
        <v>638.45727492469746</v>
      </c>
      <c r="AF19" s="11">
        <v>643.77619104072721</v>
      </c>
      <c r="AG19" s="11">
        <v>649.3930391722489</v>
      </c>
      <c r="AH19" s="11">
        <v>654.98823780754594</v>
      </c>
      <c r="AI19" s="11">
        <v>660.79058244167197</v>
      </c>
      <c r="AJ19" s="11">
        <v>666.67172015192705</v>
      </c>
      <c r="AK19" s="11">
        <v>672.75314685707315</v>
      </c>
      <c r="AL19" s="11">
        <v>678.61701625076512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>
      <c r="L20" s="107" t="str">
        <f>'Occ T3'!A22</f>
        <v>35 Business and public service associate professionals</v>
      </c>
      <c r="M20" s="11">
        <v>1711.5475637504305</v>
      </c>
      <c r="N20" s="11">
        <v>1599.9631894222264</v>
      </c>
      <c r="O20" s="11">
        <v>1679.9833078962529</v>
      </c>
      <c r="P20" s="11">
        <v>1683.4960935310733</v>
      </c>
      <c r="Q20" s="11">
        <v>1778.320753716536</v>
      </c>
      <c r="R20" s="11">
        <v>1794.8908672659011</v>
      </c>
      <c r="S20" s="11">
        <v>1846.7136302523825</v>
      </c>
      <c r="T20" s="11">
        <v>1879.0825903185862</v>
      </c>
      <c r="U20" s="11">
        <v>1878.0823688388552</v>
      </c>
      <c r="V20" s="11">
        <v>1934.4233181110708</v>
      </c>
      <c r="W20" s="11">
        <v>1991.1109140397323</v>
      </c>
      <c r="X20" s="11">
        <v>1964.2002420833762</v>
      </c>
      <c r="Y20" s="11">
        <v>1977.6297989261247</v>
      </c>
      <c r="Z20" s="11">
        <v>1994.2452552352172</v>
      </c>
      <c r="AA20" s="11">
        <v>2012.1105186971431</v>
      </c>
      <c r="AB20" s="11">
        <v>2025.3749831613666</v>
      </c>
      <c r="AC20" s="11">
        <v>2037.2806254439079</v>
      </c>
      <c r="AD20" s="11">
        <v>2048.3917147322495</v>
      </c>
      <c r="AE20" s="11">
        <v>2059.5182755792057</v>
      </c>
      <c r="AF20" s="11">
        <v>2070.5502945913595</v>
      </c>
      <c r="AG20" s="11">
        <v>2082.3260137125239</v>
      </c>
      <c r="AH20" s="11">
        <v>2093.8703714067924</v>
      </c>
      <c r="AI20" s="11">
        <v>2105.5632136245854</v>
      </c>
      <c r="AJ20" s="11">
        <v>2117.3269608733845</v>
      </c>
      <c r="AK20" s="11">
        <v>2129.1591043919857</v>
      </c>
      <c r="AL20" s="11">
        <v>2140.9414533872537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>
      <c r="L21" s="107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ht="12.95">
      <c r="L22" s="16" t="str">
        <f>'Occ T3'!A24</f>
        <v>Administrative and secretarial occupations</v>
      </c>
      <c r="M22" s="68">
        <f t="shared" ref="M22:P22" si="6">SUM(M23:M24)</f>
        <v>3073.7028316252927</v>
      </c>
      <c r="N22" s="68">
        <f t="shared" si="6"/>
        <v>3023.1591898142451</v>
      </c>
      <c r="O22" s="68">
        <f t="shared" si="6"/>
        <v>3065.4206757518537</v>
      </c>
      <c r="P22" s="68">
        <f t="shared" si="6"/>
        <v>3018.2231564875688</v>
      </c>
      <c r="Q22" s="68">
        <f>SUM(Q23:Q24)</f>
        <v>3112.732047094361</v>
      </c>
      <c r="R22" s="68">
        <f t="shared" ref="R22:AL22" si="7">SUM(R23:R24)</f>
        <v>3149.4937606467911</v>
      </c>
      <c r="S22" s="68">
        <f t="shared" si="7"/>
        <v>3066.8291852932562</v>
      </c>
      <c r="T22" s="68">
        <f t="shared" si="7"/>
        <v>3167.5005270223392</v>
      </c>
      <c r="U22" s="68">
        <f t="shared" si="7"/>
        <v>3127.4203105555898</v>
      </c>
      <c r="V22" s="68">
        <f t="shared" si="7"/>
        <v>3060.9066259906567</v>
      </c>
      <c r="W22" s="68">
        <f t="shared" si="7"/>
        <v>3139.606488630418</v>
      </c>
      <c r="X22" s="68">
        <f t="shared" si="7"/>
        <v>3218.5870207828648</v>
      </c>
      <c r="Y22" s="68">
        <f t="shared" si="7"/>
        <v>3207.6237326869314</v>
      </c>
      <c r="Z22" s="68">
        <f t="shared" si="7"/>
        <v>3200.7092121465803</v>
      </c>
      <c r="AA22" s="68">
        <f t="shared" si="7"/>
        <v>3195.8234850305289</v>
      </c>
      <c r="AB22" s="68">
        <f t="shared" si="7"/>
        <v>3183.5304221363176</v>
      </c>
      <c r="AC22" s="68">
        <f t="shared" si="7"/>
        <v>3168.3096928936493</v>
      </c>
      <c r="AD22" s="68">
        <f t="shared" si="7"/>
        <v>3151.6401820418755</v>
      </c>
      <c r="AE22" s="68">
        <f t="shared" si="7"/>
        <v>3134.8595159289848</v>
      </c>
      <c r="AF22" s="68">
        <f t="shared" si="7"/>
        <v>3117.3724713453039</v>
      </c>
      <c r="AG22" s="68">
        <f t="shared" si="7"/>
        <v>3100.1504225958001</v>
      </c>
      <c r="AH22" s="68">
        <f t="shared" si="7"/>
        <v>3082.3078592414608</v>
      </c>
      <c r="AI22" s="68">
        <f t="shared" si="7"/>
        <v>3063.8325992956952</v>
      </c>
      <c r="AJ22" s="68">
        <f t="shared" si="7"/>
        <v>3044.9440655262433</v>
      </c>
      <c r="AK22" s="68">
        <f t="shared" si="7"/>
        <v>3025.4804762259732</v>
      </c>
      <c r="AL22" s="68">
        <f t="shared" si="7"/>
        <v>3006.3242133196836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>
      <c r="L23" s="107" t="str">
        <f>'Occ T3'!A25</f>
        <v>41 Administrative occupations</v>
      </c>
      <c r="M23" s="11">
        <v>2338.6858561099734</v>
      </c>
      <c r="N23" s="11">
        <v>2357.1875636041091</v>
      </c>
      <c r="O23" s="11">
        <v>2409.7689721780303</v>
      </c>
      <c r="P23" s="11">
        <v>2342.5686313577339</v>
      </c>
      <c r="Q23" s="11">
        <v>2431.3491523472653</v>
      </c>
      <c r="R23" s="11">
        <v>2509.3095493403998</v>
      </c>
      <c r="S23" s="11">
        <v>2454.3293356461022</v>
      </c>
      <c r="T23" s="11">
        <v>2532.8963300499013</v>
      </c>
      <c r="U23" s="11">
        <v>2483.9848850864178</v>
      </c>
      <c r="V23" s="11">
        <v>2472.5923602894604</v>
      </c>
      <c r="W23" s="11">
        <v>2567.7596878310501</v>
      </c>
      <c r="X23" s="11">
        <v>2649.032736235969</v>
      </c>
      <c r="Y23" s="11">
        <v>2648.8633356487389</v>
      </c>
      <c r="Z23" s="11">
        <v>2652.2696866295651</v>
      </c>
      <c r="AA23" s="11">
        <v>2657.464570091272</v>
      </c>
      <c r="AB23" s="11">
        <v>2656.3729438846876</v>
      </c>
      <c r="AC23" s="11">
        <v>2653.2537178242624</v>
      </c>
      <c r="AD23" s="11">
        <v>2648.9103458041805</v>
      </c>
      <c r="AE23" s="11">
        <v>2644.4270683576738</v>
      </c>
      <c r="AF23" s="11">
        <v>2639.6610442296164</v>
      </c>
      <c r="AG23" s="11">
        <v>2635.5615256027036</v>
      </c>
      <c r="AH23" s="11">
        <v>2630.6069190609969</v>
      </c>
      <c r="AI23" s="11">
        <v>2625.3604346913526</v>
      </c>
      <c r="AJ23" s="11">
        <v>2619.8026725352152</v>
      </c>
      <c r="AK23" s="11">
        <v>2613.9643630371543</v>
      </c>
      <c r="AL23" s="11">
        <v>2608.0002276081527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>
      <c r="L24" s="107" t="str">
        <f>'Occ T3'!A26</f>
        <v>42 Secretarial and related occupations</v>
      </c>
      <c r="M24" s="11">
        <v>735.01697551531913</v>
      </c>
      <c r="N24" s="11">
        <v>665.97162621013626</v>
      </c>
      <c r="O24" s="11">
        <v>655.65170357382351</v>
      </c>
      <c r="P24" s="11">
        <v>675.65452512983484</v>
      </c>
      <c r="Q24" s="11">
        <v>681.38289474709552</v>
      </c>
      <c r="R24" s="11">
        <v>640.18421130639149</v>
      </c>
      <c r="S24" s="11">
        <v>612.49984964715406</v>
      </c>
      <c r="T24" s="11">
        <v>634.60419697243776</v>
      </c>
      <c r="U24" s="11">
        <v>643.43542546917195</v>
      </c>
      <c r="V24" s="11">
        <v>588.31426570119629</v>
      </c>
      <c r="W24" s="11">
        <v>571.84680079936788</v>
      </c>
      <c r="X24" s="11">
        <v>569.5542845468957</v>
      </c>
      <c r="Y24" s="11">
        <v>558.76039703819231</v>
      </c>
      <c r="Z24" s="11">
        <v>548.439525517015</v>
      </c>
      <c r="AA24" s="11">
        <v>538.35891493925703</v>
      </c>
      <c r="AB24" s="11">
        <v>527.15747825162987</v>
      </c>
      <c r="AC24" s="11">
        <v>515.05597506938682</v>
      </c>
      <c r="AD24" s="11">
        <v>502.72983623769517</v>
      </c>
      <c r="AE24" s="11">
        <v>490.432447571311</v>
      </c>
      <c r="AF24" s="11">
        <v>477.71142711568746</v>
      </c>
      <c r="AG24" s="11">
        <v>464.58889699309645</v>
      </c>
      <c r="AH24" s="11">
        <v>451.70094018046376</v>
      </c>
      <c r="AI24" s="11">
        <v>438.47216460434242</v>
      </c>
      <c r="AJ24" s="11">
        <v>425.14139299102817</v>
      </c>
      <c r="AK24" s="11">
        <v>411.51611318881908</v>
      </c>
      <c r="AL24" s="11">
        <v>398.32398571153078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>
      <c r="L25" s="107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ht="12.95">
      <c r="L26" s="16" t="str">
        <f>'Occ T3'!A28</f>
        <v>Skilled trades occupations</v>
      </c>
      <c r="M26" s="68">
        <f t="shared" ref="M26:P26" si="8">SUM(M27:M30)</f>
        <v>2717.1847724779168</v>
      </c>
      <c r="N26" s="68">
        <f t="shared" si="8"/>
        <v>2696.3239840295328</v>
      </c>
      <c r="O26" s="68">
        <f t="shared" si="8"/>
        <v>2685.8942692459527</v>
      </c>
      <c r="P26" s="68">
        <f t="shared" si="8"/>
        <v>2701.6876685252873</v>
      </c>
      <c r="Q26" s="68">
        <f>SUM(Q27:Q30)</f>
        <v>2849.2868093612569</v>
      </c>
      <c r="R26" s="68">
        <f t="shared" ref="R26:AL26" si="9">SUM(R27:R30)</f>
        <v>2889.6909563037434</v>
      </c>
      <c r="S26" s="68">
        <f t="shared" si="9"/>
        <v>2843.9148778728736</v>
      </c>
      <c r="T26" s="68">
        <f t="shared" si="9"/>
        <v>2867.9784983565924</v>
      </c>
      <c r="U26" s="68">
        <f>SUM(U27:U30)</f>
        <v>2766.123896075324</v>
      </c>
      <c r="V26" s="68">
        <f t="shared" si="9"/>
        <v>2850.7714544337691</v>
      </c>
      <c r="W26" s="68">
        <f t="shared" si="9"/>
        <v>2507.3322009247049</v>
      </c>
      <c r="X26" s="68">
        <f t="shared" si="9"/>
        <v>2540.1461872809427</v>
      </c>
      <c r="Y26" s="68">
        <f t="shared" si="9"/>
        <v>2535.2403727882074</v>
      </c>
      <c r="Z26" s="68">
        <f t="shared" si="9"/>
        <v>2538.4866421409479</v>
      </c>
      <c r="AA26" s="68">
        <f t="shared" si="9"/>
        <v>2542.1712711833816</v>
      </c>
      <c r="AB26" s="68">
        <f t="shared" si="9"/>
        <v>2537.8914948122301</v>
      </c>
      <c r="AC26" s="68">
        <f t="shared" si="9"/>
        <v>2532.0378119337429</v>
      </c>
      <c r="AD26" s="68">
        <f t="shared" si="9"/>
        <v>2524.9659756165829</v>
      </c>
      <c r="AE26" s="68">
        <f t="shared" si="9"/>
        <v>2517.7427339057776</v>
      </c>
      <c r="AF26" s="68">
        <f t="shared" si="9"/>
        <v>2510.3763666997606</v>
      </c>
      <c r="AG26" s="68">
        <f t="shared" si="9"/>
        <v>2504.0282091270487</v>
      </c>
      <c r="AH26" s="68">
        <f t="shared" si="9"/>
        <v>2497.3477287705209</v>
      </c>
      <c r="AI26" s="68">
        <f t="shared" si="9"/>
        <v>2490.5636474521798</v>
      </c>
      <c r="AJ26" s="68">
        <f t="shared" si="9"/>
        <v>2483.7626522005098</v>
      </c>
      <c r="AK26" s="68">
        <f t="shared" si="9"/>
        <v>2476.7707585448788</v>
      </c>
      <c r="AL26" s="68">
        <f t="shared" si="9"/>
        <v>2469.75933949722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>
      <c r="L27" s="107" t="str">
        <f>'Occ T3'!A29</f>
        <v>51 Skilled agricultural and related trades</v>
      </c>
      <c r="M27" s="11">
        <v>272.36462616285922</v>
      </c>
      <c r="N27" s="11">
        <v>276.5285613635557</v>
      </c>
      <c r="O27" s="11">
        <v>289.60161378682659</v>
      </c>
      <c r="P27" s="11">
        <v>267.76720721228531</v>
      </c>
      <c r="Q27" s="11">
        <v>299.67659857213431</v>
      </c>
      <c r="R27" s="11">
        <v>298.83864607965563</v>
      </c>
      <c r="S27" s="11">
        <v>294.20827280605909</v>
      </c>
      <c r="T27" s="11">
        <v>272.68968976846514</v>
      </c>
      <c r="U27" s="11">
        <v>277.13467958454407</v>
      </c>
      <c r="V27" s="11">
        <v>302.26783410806155</v>
      </c>
      <c r="W27" s="11">
        <v>271.9670256457141</v>
      </c>
      <c r="X27" s="11">
        <v>256.58302583663601</v>
      </c>
      <c r="Y27" s="11">
        <v>258.8105226426855</v>
      </c>
      <c r="Z27" s="11">
        <v>262.50406734005122</v>
      </c>
      <c r="AA27" s="11">
        <v>266.43492538523998</v>
      </c>
      <c r="AB27" s="11">
        <v>269.43754865618814</v>
      </c>
      <c r="AC27" s="11">
        <v>272.2321622863152</v>
      </c>
      <c r="AD27" s="11">
        <v>274.87213830935195</v>
      </c>
      <c r="AE27" s="11">
        <v>277.52280229082692</v>
      </c>
      <c r="AF27" s="11">
        <v>280.18185022714692</v>
      </c>
      <c r="AG27" s="11">
        <v>283.02994881934285</v>
      </c>
      <c r="AH27" s="11">
        <v>285.9188148133573</v>
      </c>
      <c r="AI27" s="11">
        <v>288.87317704215906</v>
      </c>
      <c r="AJ27" s="11">
        <v>291.89000474339809</v>
      </c>
      <c r="AK27" s="11">
        <v>294.91979455161322</v>
      </c>
      <c r="AL27" s="11">
        <v>298.01795271042778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>
      <c r="L28" s="107" t="str">
        <f>'Occ T3'!A30</f>
        <v>52 Skilled metal, electrical and electronic trades</v>
      </c>
      <c r="M28" s="11">
        <v>956.58713840807025</v>
      </c>
      <c r="N28" s="11">
        <v>987.12234980688095</v>
      </c>
      <c r="O28" s="11">
        <v>943.79743690778787</v>
      </c>
      <c r="P28" s="11">
        <v>970.16459034653974</v>
      </c>
      <c r="Q28" s="11">
        <v>1034.798173876</v>
      </c>
      <c r="R28" s="11">
        <v>1042.1574658136535</v>
      </c>
      <c r="S28" s="11">
        <v>1033.7295314702706</v>
      </c>
      <c r="T28" s="11">
        <v>1026.5369998899057</v>
      </c>
      <c r="U28" s="11">
        <v>1011.5259150308284</v>
      </c>
      <c r="V28" s="11">
        <v>1064.18444026626</v>
      </c>
      <c r="W28" s="11">
        <v>921.97868029404242</v>
      </c>
      <c r="X28" s="11">
        <v>929.04591281801811</v>
      </c>
      <c r="Y28" s="11">
        <v>925.01270624386211</v>
      </c>
      <c r="Z28" s="11">
        <v>923.13600952045101</v>
      </c>
      <c r="AA28" s="11">
        <v>921.46309056694167</v>
      </c>
      <c r="AB28" s="11">
        <v>917.17586309660999</v>
      </c>
      <c r="AC28" s="11">
        <v>912.24572536096741</v>
      </c>
      <c r="AD28" s="11">
        <v>906.8358678561433</v>
      </c>
      <c r="AE28" s="11">
        <v>901.47020557005726</v>
      </c>
      <c r="AF28" s="11">
        <v>896.09186427210727</v>
      </c>
      <c r="AG28" s="11">
        <v>891.10008975051858</v>
      </c>
      <c r="AH28" s="11">
        <v>886.00097628045137</v>
      </c>
      <c r="AI28" s="11">
        <v>880.91892499546896</v>
      </c>
      <c r="AJ28" s="11">
        <v>875.79729722154946</v>
      </c>
      <c r="AK28" s="11">
        <v>870.6473731607847</v>
      </c>
      <c r="AL28" s="11">
        <v>865.475059700835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>
      <c r="L29" s="107" t="str">
        <f>'Occ T3'!A31</f>
        <v>53 Skilled construction and building trades</v>
      </c>
      <c r="M29" s="11">
        <v>938.13188245990659</v>
      </c>
      <c r="N29" s="11">
        <v>881.51071142575029</v>
      </c>
      <c r="O29" s="11">
        <v>861.7591540097884</v>
      </c>
      <c r="P29" s="11">
        <v>879.34579674166184</v>
      </c>
      <c r="Q29" s="11">
        <v>899.71941068058061</v>
      </c>
      <c r="R29" s="11">
        <v>918.22690874959676</v>
      </c>
      <c r="S29" s="11">
        <v>891.63828195775454</v>
      </c>
      <c r="T29" s="11">
        <v>932.75593137018279</v>
      </c>
      <c r="U29" s="11">
        <v>871.87258966697084</v>
      </c>
      <c r="V29" s="11">
        <v>907.39739905518616</v>
      </c>
      <c r="W29" s="11">
        <v>769.61235836915148</v>
      </c>
      <c r="X29" s="11">
        <v>787.83602526375284</v>
      </c>
      <c r="Y29" s="11">
        <v>782.97534441618541</v>
      </c>
      <c r="Z29" s="11">
        <v>781.50946831106694</v>
      </c>
      <c r="AA29" s="11">
        <v>779.91528414556672</v>
      </c>
      <c r="AB29" s="11">
        <v>775.26803802162817</v>
      </c>
      <c r="AC29" s="11">
        <v>770.07603844449841</v>
      </c>
      <c r="AD29" s="11">
        <v>764.51511241483809</v>
      </c>
      <c r="AE29" s="11">
        <v>758.86824037466238</v>
      </c>
      <c r="AF29" s="11">
        <v>753.06163520919029</v>
      </c>
      <c r="AG29" s="11">
        <v>747.51412714996422</v>
      </c>
      <c r="AH29" s="11">
        <v>741.85486585993874</v>
      </c>
      <c r="AI29" s="11">
        <v>736.15140932132988</v>
      </c>
      <c r="AJ29" s="11">
        <v>730.41988743203922</v>
      </c>
      <c r="AK29" s="11">
        <v>724.60099469841407</v>
      </c>
      <c r="AL29" s="11">
        <v>718.69802351717806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>
      <c r="L30" s="107" t="str">
        <f>'Occ T3'!A32</f>
        <v>54 Textiles, printing and other skilled trades</v>
      </c>
      <c r="M30" s="11">
        <v>550.1011254470809</v>
      </c>
      <c r="N30" s="11">
        <v>551.16236143334595</v>
      </c>
      <c r="O30" s="11">
        <v>590.73606454154981</v>
      </c>
      <c r="P30" s="11">
        <v>584.41007422480038</v>
      </c>
      <c r="Q30" s="11">
        <v>615.09262623254176</v>
      </c>
      <c r="R30" s="11">
        <v>630.46793566083784</v>
      </c>
      <c r="S30" s="11">
        <v>624.33879163878953</v>
      </c>
      <c r="T30" s="11">
        <v>635.99587732803855</v>
      </c>
      <c r="U30" s="11">
        <v>605.59071179298041</v>
      </c>
      <c r="V30" s="11">
        <v>576.92178100426145</v>
      </c>
      <c r="W30" s="11">
        <v>543.77413661579681</v>
      </c>
      <c r="X30" s="11">
        <v>566.68122336253566</v>
      </c>
      <c r="Y30" s="11">
        <v>568.44179948547435</v>
      </c>
      <c r="Z30" s="11">
        <v>571.33709696937876</v>
      </c>
      <c r="AA30" s="11">
        <v>574.35797108563361</v>
      </c>
      <c r="AB30" s="11">
        <v>576.01004503780393</v>
      </c>
      <c r="AC30" s="11">
        <v>577.48388584196164</v>
      </c>
      <c r="AD30" s="11">
        <v>578.7428570362498</v>
      </c>
      <c r="AE30" s="11">
        <v>579.8814856702312</v>
      </c>
      <c r="AF30" s="11">
        <v>581.04101699131616</v>
      </c>
      <c r="AG30" s="11">
        <v>582.38404340722298</v>
      </c>
      <c r="AH30" s="11">
        <v>583.57307181677356</v>
      </c>
      <c r="AI30" s="11">
        <v>584.62013609322184</v>
      </c>
      <c r="AJ30" s="11">
        <v>585.65546280352316</v>
      </c>
      <c r="AK30" s="11">
        <v>586.60259613406686</v>
      </c>
      <c r="AL30" s="11">
        <v>587.56830356877924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>
      <c r="L31" s="107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ht="12.95">
      <c r="L32" s="16" t="str">
        <f>'Occ T3'!A34</f>
        <v>Caring, leisure and other service occupations</v>
      </c>
      <c r="M32" s="68">
        <f>SUM(M33:M35)</f>
        <v>2507.9931886998538</v>
      </c>
      <c r="N32" s="68">
        <f t="shared" ref="N32:AL32" si="10">SUM(N33:N35)</f>
        <v>2434.3725801091136</v>
      </c>
      <c r="O32" s="68">
        <f t="shared" si="10"/>
        <v>2458.1902894290465</v>
      </c>
      <c r="P32" s="68">
        <f t="shared" si="10"/>
        <v>2518.797004654969</v>
      </c>
      <c r="Q32" s="68">
        <f t="shared" si="10"/>
        <v>2631.0650168070924</v>
      </c>
      <c r="R32" s="68">
        <f t="shared" si="10"/>
        <v>2686.476945366268</v>
      </c>
      <c r="S32" s="68">
        <f t="shared" si="10"/>
        <v>2765.9673059352681</v>
      </c>
      <c r="T32" s="68">
        <f t="shared" si="10"/>
        <v>2764.720781376358</v>
      </c>
      <c r="U32" s="68">
        <f t="shared" si="10"/>
        <v>2705.2417741537793</v>
      </c>
      <c r="V32" s="68">
        <f t="shared" si="10"/>
        <v>2794.9761350106</v>
      </c>
      <c r="W32" s="68">
        <f t="shared" si="10"/>
        <v>2678.5046281380878</v>
      </c>
      <c r="X32" s="68">
        <f t="shared" si="10"/>
        <v>2642.2043823747317</v>
      </c>
      <c r="Y32" s="68">
        <f t="shared" si="10"/>
        <v>2661.2405273050645</v>
      </c>
      <c r="Z32" s="68">
        <f t="shared" si="10"/>
        <v>2684.8841615276569</v>
      </c>
      <c r="AA32" s="68">
        <f t="shared" si="10"/>
        <v>2711.1515381958075</v>
      </c>
      <c r="AB32" s="68">
        <f t="shared" si="10"/>
        <v>2732.1382307806884</v>
      </c>
      <c r="AC32" s="68">
        <f t="shared" si="10"/>
        <v>2751.0177437283292</v>
      </c>
      <c r="AD32" s="68">
        <f t="shared" si="10"/>
        <v>2768.9179678902365</v>
      </c>
      <c r="AE32" s="68">
        <f t="shared" si="10"/>
        <v>2786.7439061091386</v>
      </c>
      <c r="AF32" s="68">
        <f t="shared" si="10"/>
        <v>2804.6930998404769</v>
      </c>
      <c r="AG32" s="68">
        <f t="shared" si="10"/>
        <v>2823.5697592677097</v>
      </c>
      <c r="AH32" s="68">
        <f t="shared" si="10"/>
        <v>2842.4168930267347</v>
      </c>
      <c r="AI32" s="68">
        <f t="shared" si="10"/>
        <v>2861.4836013723148</v>
      </c>
      <c r="AJ32" s="68">
        <f t="shared" si="10"/>
        <v>2880.9234147499983</v>
      </c>
      <c r="AK32" s="68">
        <f t="shared" si="10"/>
        <v>2900.4032631180121</v>
      </c>
      <c r="AL32" s="68">
        <f t="shared" si="10"/>
        <v>2919.9573485364526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>
      <c r="L33" s="107" t="str">
        <f>'Occ T3'!A35</f>
        <v>61 Caring personal service occupations</v>
      </c>
      <c r="M33" s="11">
        <v>1904.205542418727</v>
      </c>
      <c r="N33" s="11">
        <v>1804.4425698953071</v>
      </c>
      <c r="O33" s="11">
        <v>1834.2324888785822</v>
      </c>
      <c r="P33" s="11">
        <v>1890.237109238491</v>
      </c>
      <c r="Q33" s="11">
        <v>1987.5054156630765</v>
      </c>
      <c r="R33" s="11">
        <v>2030.2468142039766</v>
      </c>
      <c r="S33" s="11">
        <v>2102.9162908031194</v>
      </c>
      <c r="T33" s="11">
        <v>2099.1566430627095</v>
      </c>
      <c r="U33" s="11">
        <v>2050.2313139141224</v>
      </c>
      <c r="V33" s="11">
        <v>2089.8052877913406</v>
      </c>
      <c r="W33" s="11">
        <v>2019.8340014923285</v>
      </c>
      <c r="X33" s="11">
        <v>2036.7999206394347</v>
      </c>
      <c r="Y33" s="11">
        <v>2054.4842428240122</v>
      </c>
      <c r="Z33" s="11">
        <v>2075.2631436744923</v>
      </c>
      <c r="AA33" s="11">
        <v>2098.0606671251967</v>
      </c>
      <c r="AB33" s="11">
        <v>2116.9998910688078</v>
      </c>
      <c r="AC33" s="11">
        <v>2134.343841553422</v>
      </c>
      <c r="AD33" s="11">
        <v>2150.9394543549101</v>
      </c>
      <c r="AE33" s="11">
        <v>2167.5015349995842</v>
      </c>
      <c r="AF33" s="11">
        <v>2184.2547186934303</v>
      </c>
      <c r="AG33" s="11">
        <v>2201.8240689670738</v>
      </c>
      <c r="AH33" s="11">
        <v>2219.4881164494168</v>
      </c>
      <c r="AI33" s="11">
        <v>2237.3518535698236</v>
      </c>
      <c r="AJ33" s="11">
        <v>2255.4964034024106</v>
      </c>
      <c r="AK33" s="11">
        <v>2273.7342968709795</v>
      </c>
      <c r="AL33" s="11">
        <v>2292.0510206757358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>
      <c r="L34" s="107" t="str">
        <f>'Occ T3'!A36</f>
        <v>62 Leisure, travel and related personal service occupations</v>
      </c>
      <c r="M34" s="11">
        <v>561.35180187808794</v>
      </c>
      <c r="N34" s="11">
        <v>599.74987728234748</v>
      </c>
      <c r="O34" s="11">
        <v>594.40068781224954</v>
      </c>
      <c r="P34" s="11">
        <v>601.90247098414068</v>
      </c>
      <c r="Q34" s="11">
        <v>612.88392643500538</v>
      </c>
      <c r="R34" s="11">
        <v>627.3899065379079</v>
      </c>
      <c r="S34" s="11">
        <v>638.32170595881098</v>
      </c>
      <c r="T34" s="11">
        <v>639.25063523252982</v>
      </c>
      <c r="U34" s="11">
        <v>628.01382463755135</v>
      </c>
      <c r="V34" s="11">
        <v>680.2954268390763</v>
      </c>
      <c r="W34" s="11">
        <v>627.66767668036812</v>
      </c>
      <c r="X34" s="11">
        <v>583.4794484668206</v>
      </c>
      <c r="Y34" s="11">
        <v>584.56895176216881</v>
      </c>
      <c r="Z34" s="11">
        <v>587.15282282319401</v>
      </c>
      <c r="AA34" s="11">
        <v>590.32547438157997</v>
      </c>
      <c r="AB34" s="11">
        <v>592.13637104133159</v>
      </c>
      <c r="AC34" s="11">
        <v>593.45776348303866</v>
      </c>
      <c r="AD34" s="11">
        <v>594.56024104916946</v>
      </c>
      <c r="AE34" s="11">
        <v>595.62304682001525</v>
      </c>
      <c r="AF34" s="11">
        <v>596.60717441559268</v>
      </c>
      <c r="AG34" s="11">
        <v>597.70029314791577</v>
      </c>
      <c r="AH34" s="11">
        <v>598.67060500822197</v>
      </c>
      <c r="AI34" s="11">
        <v>599.66503729783722</v>
      </c>
      <c r="AJ34" s="11">
        <v>600.73899957933543</v>
      </c>
      <c r="AK34" s="11">
        <v>601.77159537580951</v>
      </c>
      <c r="AL34" s="11">
        <v>602.79487172872302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>
      <c r="L35" s="107" t="str">
        <f>'Occ T3'!A37</f>
        <v>63 Community and civil enforcement occupations</v>
      </c>
      <c r="M35" s="11">
        <v>42.435844403039248</v>
      </c>
      <c r="N35" s="11">
        <v>30.180132931459131</v>
      </c>
      <c r="O35" s="11">
        <v>29.5571127382151</v>
      </c>
      <c r="P35" s="11">
        <v>26.657424432337415</v>
      </c>
      <c r="Q35" s="11">
        <v>30.675674709010476</v>
      </c>
      <c r="R35" s="11">
        <v>28.840224624383737</v>
      </c>
      <c r="S35" s="11">
        <v>24.729309173337757</v>
      </c>
      <c r="T35" s="11">
        <v>26.313503081118629</v>
      </c>
      <c r="U35" s="11">
        <v>26.996635602105453</v>
      </c>
      <c r="V35" s="11">
        <v>24.875420380183126</v>
      </c>
      <c r="W35" s="11">
        <v>31.002949965390982</v>
      </c>
      <c r="X35" s="11">
        <v>21.925013268476551</v>
      </c>
      <c r="Y35" s="11">
        <v>22.187332718883116</v>
      </c>
      <c r="Z35" s="11">
        <v>22.468195029970431</v>
      </c>
      <c r="AA35" s="11">
        <v>22.765396689030606</v>
      </c>
      <c r="AB35" s="11">
        <v>23.001968670549161</v>
      </c>
      <c r="AC35" s="11">
        <v>23.216138691868657</v>
      </c>
      <c r="AD35" s="11">
        <v>23.418272486156752</v>
      </c>
      <c r="AE35" s="11">
        <v>23.619324289539382</v>
      </c>
      <c r="AF35" s="11">
        <v>23.831206731453808</v>
      </c>
      <c r="AG35" s="11">
        <v>24.045397152720334</v>
      </c>
      <c r="AH35" s="11">
        <v>24.258171569095939</v>
      </c>
      <c r="AI35" s="11">
        <v>24.466710504654252</v>
      </c>
      <c r="AJ35" s="11">
        <v>24.688011768252281</v>
      </c>
      <c r="AK35" s="11">
        <v>24.897370871223142</v>
      </c>
      <c r="AL35" s="11">
        <v>25.111456131993485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>
      <c r="L36" s="107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ht="12.95">
      <c r="L37" s="16" t="str">
        <f>'Occ T3'!A39</f>
        <v>Sales and customer service occupations</v>
      </c>
      <c r="M37" s="68">
        <f t="shared" ref="M37:P37" si="11">SUM(M38:M39)</f>
        <v>2229.4944453328212</v>
      </c>
      <c r="N37" s="68">
        <f t="shared" si="11"/>
        <v>2345.7276527371537</v>
      </c>
      <c r="O37" s="68">
        <f t="shared" si="11"/>
        <v>2438.7847576373711</v>
      </c>
      <c r="P37" s="68">
        <f t="shared" si="11"/>
        <v>2382.7298681666789</v>
      </c>
      <c r="Q37" s="68">
        <f>SUM(Q38:Q39)</f>
        <v>2427.5773177208252</v>
      </c>
      <c r="R37" s="68">
        <f t="shared" ref="R37:AL37" si="12">SUM(R38:R39)</f>
        <v>2451.7146582710284</v>
      </c>
      <c r="S37" s="68">
        <f t="shared" si="12"/>
        <v>2483.8089515373349</v>
      </c>
      <c r="T37" s="68">
        <f t="shared" si="12"/>
        <v>2458.8983211937375</v>
      </c>
      <c r="U37" s="68">
        <f t="shared" si="12"/>
        <v>2428.5041322946845</v>
      </c>
      <c r="V37" s="68">
        <f t="shared" si="12"/>
        <v>2391.0620840559268</v>
      </c>
      <c r="W37" s="68">
        <f t="shared" si="12"/>
        <v>2363.8487883943035</v>
      </c>
      <c r="X37" s="68">
        <f t="shared" si="12"/>
        <v>2366.4805122607377</v>
      </c>
      <c r="Y37" s="68">
        <f t="shared" si="12"/>
        <v>2371.0322311850168</v>
      </c>
      <c r="Z37" s="68">
        <f t="shared" si="12"/>
        <v>2379.866465634716</v>
      </c>
      <c r="AA37" s="68">
        <f t="shared" si="12"/>
        <v>2390.4247730027441</v>
      </c>
      <c r="AB37" s="68">
        <f t="shared" si="12"/>
        <v>2395.694328186004</v>
      </c>
      <c r="AC37" s="68">
        <f t="shared" si="12"/>
        <v>2398.7762403326269</v>
      </c>
      <c r="AD37" s="68">
        <f t="shared" si="12"/>
        <v>2400.6818574080453</v>
      </c>
      <c r="AE37" s="68">
        <f t="shared" si="12"/>
        <v>2402.1156076575462</v>
      </c>
      <c r="AF37" s="68">
        <f t="shared" si="12"/>
        <v>2403.239382885432</v>
      </c>
      <c r="AG37" s="68">
        <f t="shared" si="12"/>
        <v>2404.4522690451204</v>
      </c>
      <c r="AH37" s="68">
        <f t="shared" si="12"/>
        <v>2405.4486749660673</v>
      </c>
      <c r="AI37" s="68">
        <f t="shared" si="12"/>
        <v>2406.3910979166953</v>
      </c>
      <c r="AJ37" s="68">
        <f t="shared" si="12"/>
        <v>2407.2271904096406</v>
      </c>
      <c r="AK37" s="68">
        <f t="shared" si="12"/>
        <v>2407.7729845400554</v>
      </c>
      <c r="AL37" s="68">
        <f t="shared" si="12"/>
        <v>2408.2466133814305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>
      <c r="L38" s="107" t="str">
        <f>'Occ T3'!A40</f>
        <v>71 Sales occupations</v>
      </c>
      <c r="M38" s="11">
        <v>1811.7334076736115</v>
      </c>
      <c r="N38" s="11">
        <v>1929.0111507508202</v>
      </c>
      <c r="O38" s="11">
        <v>2012.8869837078807</v>
      </c>
      <c r="P38" s="11">
        <v>1957.0819400606056</v>
      </c>
      <c r="Q38" s="11">
        <v>2012.0162908426332</v>
      </c>
      <c r="R38" s="11">
        <v>1992.1189392123574</v>
      </c>
      <c r="S38" s="11">
        <v>2033.2024098330298</v>
      </c>
      <c r="T38" s="11">
        <v>1967.283141813404</v>
      </c>
      <c r="U38" s="11">
        <v>1923.3853865815618</v>
      </c>
      <c r="V38" s="11">
        <v>1892.2329930164867</v>
      </c>
      <c r="W38" s="11">
        <v>1855.6966390660123</v>
      </c>
      <c r="X38" s="11">
        <v>1827.9919337693252</v>
      </c>
      <c r="Y38" s="11">
        <v>1825.8284740325564</v>
      </c>
      <c r="Z38" s="11">
        <v>1827.0478306316759</v>
      </c>
      <c r="AA38" s="11">
        <v>1829.5606882134409</v>
      </c>
      <c r="AB38" s="11">
        <v>1827.9786053280959</v>
      </c>
      <c r="AC38" s="11">
        <v>1824.5892992044157</v>
      </c>
      <c r="AD38" s="11">
        <v>1820.2729460495341</v>
      </c>
      <c r="AE38" s="11">
        <v>1815.5114472249734</v>
      </c>
      <c r="AF38" s="11">
        <v>1810.4242295324693</v>
      </c>
      <c r="AG38" s="11">
        <v>1805.1696400411013</v>
      </c>
      <c r="AH38" s="11">
        <v>1799.7251459958077</v>
      </c>
      <c r="AI38" s="11">
        <v>1794.1874588795347</v>
      </c>
      <c r="AJ38" s="11">
        <v>1788.5061036362329</v>
      </c>
      <c r="AK38" s="11">
        <v>1782.5034922100394</v>
      </c>
      <c r="AL38" s="11">
        <v>1776.4423055232701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>
      <c r="L39" s="107" t="str">
        <f>'Occ T3'!A41</f>
        <v>72 Customer service occupations</v>
      </c>
      <c r="M39" s="11">
        <v>417.76103765920988</v>
      </c>
      <c r="N39" s="11">
        <v>416.71650198633336</v>
      </c>
      <c r="O39" s="11">
        <v>425.89777392949031</v>
      </c>
      <c r="P39" s="11">
        <v>425.64792810607315</v>
      </c>
      <c r="Q39" s="11">
        <v>415.56102687819191</v>
      </c>
      <c r="R39" s="11">
        <v>459.59571905867102</v>
      </c>
      <c r="S39" s="11">
        <v>450.6065417043049</v>
      </c>
      <c r="T39" s="11">
        <v>491.61517938033342</v>
      </c>
      <c r="U39" s="11">
        <v>505.11874571312279</v>
      </c>
      <c r="V39" s="11">
        <v>498.82909103944002</v>
      </c>
      <c r="W39" s="11">
        <v>508.15214932829099</v>
      </c>
      <c r="X39" s="11">
        <v>538.48857849141223</v>
      </c>
      <c r="Y39" s="11">
        <v>545.20375715246018</v>
      </c>
      <c r="Z39" s="11">
        <v>552.81863500304007</v>
      </c>
      <c r="AA39" s="11">
        <v>560.86408478930321</v>
      </c>
      <c r="AB39" s="11">
        <v>567.71572285790808</v>
      </c>
      <c r="AC39" s="11">
        <v>574.18694112821106</v>
      </c>
      <c r="AD39" s="11">
        <v>580.40891135851109</v>
      </c>
      <c r="AE39" s="11">
        <v>586.60416043257305</v>
      </c>
      <c r="AF39" s="11">
        <v>592.8151533529624</v>
      </c>
      <c r="AG39" s="11">
        <v>599.28262900401887</v>
      </c>
      <c r="AH39" s="11">
        <v>605.72352897025951</v>
      </c>
      <c r="AI39" s="11">
        <v>612.20363903716054</v>
      </c>
      <c r="AJ39" s="11">
        <v>618.72108677340771</v>
      </c>
      <c r="AK39" s="11">
        <v>625.26949233001608</v>
      </c>
      <c r="AL39" s="11">
        <v>631.80430785816031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>
      <c r="L40" s="107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ht="12.95">
      <c r="L41" s="16" t="str">
        <f>'Occ T3'!A43</f>
        <v>Process, plant and machine operatives</v>
      </c>
      <c r="M41" s="68">
        <f t="shared" ref="M41:P41" si="13">SUM(M42:M43)</f>
        <v>1701.6244886384288</v>
      </c>
      <c r="N41" s="68">
        <f t="shared" si="13"/>
        <v>1665.961261182671</v>
      </c>
      <c r="O41" s="68">
        <f t="shared" si="13"/>
        <v>1664.6006004656247</v>
      </c>
      <c r="P41" s="68">
        <f t="shared" si="13"/>
        <v>1678.7128510332536</v>
      </c>
      <c r="Q41" s="68">
        <f>SUM(Q42:Q43)</f>
        <v>1749.8386559194139</v>
      </c>
      <c r="R41" s="68">
        <f t="shared" ref="R41:AL41" si="14">SUM(R42:R43)</f>
        <v>1767.3257043641233</v>
      </c>
      <c r="S41" s="68">
        <f t="shared" si="14"/>
        <v>1849.6771931393055</v>
      </c>
      <c r="T41" s="68">
        <f t="shared" si="14"/>
        <v>1862.1854166816643</v>
      </c>
      <c r="U41" s="68">
        <f t="shared" si="14"/>
        <v>1899.0530119940054</v>
      </c>
      <c r="V41" s="68">
        <f t="shared" si="14"/>
        <v>1870.5480838882245</v>
      </c>
      <c r="W41" s="68">
        <f t="shared" si="14"/>
        <v>1665.7893005784094</v>
      </c>
      <c r="X41" s="68">
        <f t="shared" si="14"/>
        <v>1732.8038379403256</v>
      </c>
      <c r="Y41" s="68">
        <f t="shared" si="14"/>
        <v>1728.3306247844396</v>
      </c>
      <c r="Z41" s="68">
        <f t="shared" si="14"/>
        <v>1728.1745450345466</v>
      </c>
      <c r="AA41" s="68">
        <f t="shared" si="14"/>
        <v>1728.4474610335214</v>
      </c>
      <c r="AB41" s="68">
        <f t="shared" si="14"/>
        <v>1724.2750720276058</v>
      </c>
      <c r="AC41" s="68">
        <f t="shared" si="14"/>
        <v>1718.9204648065197</v>
      </c>
      <c r="AD41" s="68">
        <f t="shared" si="14"/>
        <v>1712.7119191532779</v>
      </c>
      <c r="AE41" s="68">
        <f t="shared" si="14"/>
        <v>1706.4434647069857</v>
      </c>
      <c r="AF41" s="68">
        <f t="shared" si="14"/>
        <v>1700.1014172528878</v>
      </c>
      <c r="AG41" s="68">
        <f t="shared" si="14"/>
        <v>1694.4522495074857</v>
      </c>
      <c r="AH41" s="68">
        <f t="shared" si="14"/>
        <v>1688.634318174546</v>
      </c>
      <c r="AI41" s="68">
        <f t="shared" si="14"/>
        <v>1682.7482773347256</v>
      </c>
      <c r="AJ41" s="68">
        <f t="shared" si="14"/>
        <v>1676.9080745945098</v>
      </c>
      <c r="AK41" s="68">
        <f t="shared" si="14"/>
        <v>1670.924771812028</v>
      </c>
      <c r="AL41" s="68">
        <f t="shared" si="14"/>
        <v>1664.9651104259572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>
      <c r="L42" s="107" t="str">
        <f>'Occ T3'!A44</f>
        <v>81 Process, plant and machine operatives</v>
      </c>
      <c r="M42" s="11">
        <v>687.57735464066263</v>
      </c>
      <c r="N42" s="11">
        <v>647.84910362587334</v>
      </c>
      <c r="O42" s="11">
        <v>662.73594278256621</v>
      </c>
      <c r="P42" s="11">
        <v>686.75097867425961</v>
      </c>
      <c r="Q42" s="11">
        <v>702.08993742514463</v>
      </c>
      <c r="R42" s="11">
        <v>713.31333030825101</v>
      </c>
      <c r="S42" s="11">
        <v>706.65120621801759</v>
      </c>
      <c r="T42" s="11">
        <v>730.50376714971105</v>
      </c>
      <c r="U42" s="11">
        <v>733.80339743221271</v>
      </c>
      <c r="V42" s="11">
        <v>691.72064265695496</v>
      </c>
      <c r="W42" s="11">
        <v>609.71859517402538</v>
      </c>
      <c r="X42" s="11">
        <v>649.57333659714664</v>
      </c>
      <c r="Y42" s="11">
        <v>645.85897670194936</v>
      </c>
      <c r="Z42" s="11">
        <v>643.91167406808597</v>
      </c>
      <c r="AA42" s="11">
        <v>642.04142782769611</v>
      </c>
      <c r="AB42" s="11">
        <v>638.68146878490086</v>
      </c>
      <c r="AC42" s="11">
        <v>634.92498213599163</v>
      </c>
      <c r="AD42" s="11">
        <v>630.80481131014938</v>
      </c>
      <c r="AE42" s="11">
        <v>626.61738389115374</v>
      </c>
      <c r="AF42" s="11">
        <v>622.42611704883666</v>
      </c>
      <c r="AG42" s="11">
        <v>618.47078576619492</v>
      </c>
      <c r="AH42" s="11">
        <v>614.50506254614788</v>
      </c>
      <c r="AI42" s="11">
        <v>610.4814679739527</v>
      </c>
      <c r="AJ42" s="11">
        <v>606.4851604464659</v>
      </c>
      <c r="AK42" s="11">
        <v>602.40634459632656</v>
      </c>
      <c r="AL42" s="11">
        <v>598.38816602412339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>
      <c r="L43" s="107" t="str">
        <f>'Occ T3'!A45</f>
        <v>82 Transport and mobile machine drivers and operatives</v>
      </c>
      <c r="M43" s="11">
        <v>1014.0471339977661</v>
      </c>
      <c r="N43" s="11">
        <v>1018.1121575567977</v>
      </c>
      <c r="O43" s="11">
        <v>1001.8646576830586</v>
      </c>
      <c r="P43" s="11">
        <v>991.96187235899401</v>
      </c>
      <c r="Q43" s="11">
        <v>1047.7487184942693</v>
      </c>
      <c r="R43" s="11">
        <v>1054.0123740558722</v>
      </c>
      <c r="S43" s="11">
        <v>1143.0259869212878</v>
      </c>
      <c r="T43" s="11">
        <v>1131.6816495319533</v>
      </c>
      <c r="U43" s="11">
        <v>1165.2496145617927</v>
      </c>
      <c r="V43" s="11">
        <v>1178.8274412312694</v>
      </c>
      <c r="W43" s="11">
        <v>1056.0707054043842</v>
      </c>
      <c r="X43" s="11">
        <v>1083.230501343179</v>
      </c>
      <c r="Y43" s="11">
        <v>1082.4716480824902</v>
      </c>
      <c r="Z43" s="11">
        <v>1084.2628709664605</v>
      </c>
      <c r="AA43" s="11">
        <v>1086.4060332058255</v>
      </c>
      <c r="AB43" s="11">
        <v>1085.5936032427051</v>
      </c>
      <c r="AC43" s="11">
        <v>1083.995482670528</v>
      </c>
      <c r="AD43" s="11">
        <v>1081.9071078431284</v>
      </c>
      <c r="AE43" s="11">
        <v>1079.826080815832</v>
      </c>
      <c r="AF43" s="11">
        <v>1077.6753002040512</v>
      </c>
      <c r="AG43" s="11">
        <v>1075.9814637412908</v>
      </c>
      <c r="AH43" s="11">
        <v>1074.1292556283981</v>
      </c>
      <c r="AI43" s="11">
        <v>1072.2668093607729</v>
      </c>
      <c r="AJ43" s="11">
        <v>1070.4229141480439</v>
      </c>
      <c r="AK43" s="11">
        <v>1068.5184272157014</v>
      </c>
      <c r="AL43" s="11">
        <v>1066.5769444018338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>
      <c r="L44" s="107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ht="12.95">
      <c r="L45" s="16" t="str">
        <f>'Occ T3'!A47</f>
        <v>Elementary occupations</v>
      </c>
      <c r="M45" s="68">
        <f t="shared" ref="M45:P45" si="15">SUM(M46:M47)</f>
        <v>3174.7815815176359</v>
      </c>
      <c r="N45" s="68">
        <f t="shared" si="15"/>
        <v>3074.9145869127206</v>
      </c>
      <c r="O45" s="68">
        <f t="shared" si="15"/>
        <v>3085.6591535398634</v>
      </c>
      <c r="P45" s="68">
        <f t="shared" si="15"/>
        <v>3097.4155618586692</v>
      </c>
      <c r="Q45" s="68">
        <f>SUM(Q46:Q47)</f>
        <v>3247.8516597920479</v>
      </c>
      <c r="R45" s="68">
        <f t="shared" ref="R45:AL45" si="16">SUM(R46:R47)</f>
        <v>3302.1923629942412</v>
      </c>
      <c r="S45" s="68">
        <f t="shared" si="16"/>
        <v>3303.0061744120753</v>
      </c>
      <c r="T45" s="68">
        <f t="shared" si="16"/>
        <v>3265.690705030966</v>
      </c>
      <c r="U45" s="68">
        <f t="shared" si="16"/>
        <v>3260.4173870363206</v>
      </c>
      <c r="V45" s="68">
        <f t="shared" si="16"/>
        <v>3290.2423965940566</v>
      </c>
      <c r="W45" s="68">
        <f t="shared" si="16"/>
        <v>2996.1870754553911</v>
      </c>
      <c r="X45" s="68">
        <f t="shared" si="16"/>
        <v>3060.3743403712051</v>
      </c>
      <c r="Y45" s="68">
        <f t="shared" si="16"/>
        <v>3057.2829951055019</v>
      </c>
      <c r="Z45" s="68">
        <f t="shared" si="16"/>
        <v>3059.95202138683</v>
      </c>
      <c r="AA45" s="68">
        <f t="shared" si="16"/>
        <v>3063.9462126964427</v>
      </c>
      <c r="AB45" s="68">
        <f t="shared" si="16"/>
        <v>3060.4986050772186</v>
      </c>
      <c r="AC45" s="68">
        <f t="shared" si="16"/>
        <v>3054.3092886626218</v>
      </c>
      <c r="AD45" s="68">
        <f t="shared" si="16"/>
        <v>3046.639332000489</v>
      </c>
      <c r="AE45" s="68">
        <f t="shared" si="16"/>
        <v>3038.8687306191705</v>
      </c>
      <c r="AF45" s="68">
        <f t="shared" si="16"/>
        <v>3031.1595066864325</v>
      </c>
      <c r="AG45" s="68">
        <f t="shared" si="16"/>
        <v>3024.6177478297714</v>
      </c>
      <c r="AH45" s="68">
        <f t="shared" si="16"/>
        <v>3017.500054749742</v>
      </c>
      <c r="AI45" s="68">
        <f t="shared" si="16"/>
        <v>3010.1585600096755</v>
      </c>
      <c r="AJ45" s="68">
        <f t="shared" si="16"/>
        <v>3002.970241241127</v>
      </c>
      <c r="AK45" s="68">
        <f t="shared" si="16"/>
        <v>2995.6317472433466</v>
      </c>
      <c r="AL45" s="68">
        <f t="shared" si="16"/>
        <v>2988.1703889630162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>
      <c r="L46" s="107" t="str">
        <f>'Occ T3'!A48</f>
        <v>91 Elementary trades and related occupations</v>
      </c>
      <c r="M46" s="11">
        <v>433.0881429906853</v>
      </c>
      <c r="N46" s="11">
        <v>426.75692509460328</v>
      </c>
      <c r="O46" s="11">
        <v>427.25145870321739</v>
      </c>
      <c r="P46" s="11">
        <v>420.71585122052556</v>
      </c>
      <c r="Q46" s="11">
        <v>461.57597123834557</v>
      </c>
      <c r="R46" s="11">
        <v>475.90883310534304</v>
      </c>
      <c r="S46" s="11">
        <v>481.9801194861646</v>
      </c>
      <c r="T46" s="11">
        <v>446.995172462494</v>
      </c>
      <c r="U46" s="11">
        <v>447.24278291212988</v>
      </c>
      <c r="V46" s="11">
        <v>428.55047108245554</v>
      </c>
      <c r="W46" s="11">
        <v>379.27178924284834</v>
      </c>
      <c r="X46" s="11">
        <v>652.27514088881435</v>
      </c>
      <c r="Y46" s="11">
        <v>660.79939319962477</v>
      </c>
      <c r="Z46" s="11">
        <v>671.05358380416305</v>
      </c>
      <c r="AA46" s="11">
        <v>681.73320134549283</v>
      </c>
      <c r="AB46" s="11">
        <v>690.72403992776935</v>
      </c>
      <c r="AC46" s="11">
        <v>699.20885346860518</v>
      </c>
      <c r="AD46" s="11">
        <v>707.54418539248934</v>
      </c>
      <c r="AE46" s="11">
        <v>716.03921869556643</v>
      </c>
      <c r="AF46" s="11">
        <v>724.63466181725187</v>
      </c>
      <c r="AG46" s="11">
        <v>733.57241729607188</v>
      </c>
      <c r="AH46" s="11">
        <v>742.36303696161531</v>
      </c>
      <c r="AI46" s="11">
        <v>751.11428075333549</v>
      </c>
      <c r="AJ46" s="11">
        <v>759.91498332662229</v>
      </c>
      <c r="AK46" s="11">
        <v>768.75032303643536</v>
      </c>
      <c r="AL46" s="11">
        <v>777.66227634020322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>
      <c r="L47" s="107" t="str">
        <f>'Occ T3'!A49</f>
        <v>92 Elementary administration and service occupations</v>
      </c>
      <c r="M47" s="11">
        <v>2741.6934385269506</v>
      </c>
      <c r="N47" s="11">
        <v>2648.157661818117</v>
      </c>
      <c r="O47" s="11">
        <v>2658.407694836646</v>
      </c>
      <c r="P47" s="11">
        <v>2676.6997106381436</v>
      </c>
      <c r="Q47" s="11">
        <v>2786.2756885537024</v>
      </c>
      <c r="R47" s="11">
        <v>2826.2835298888981</v>
      </c>
      <c r="S47" s="11">
        <v>2821.0260549259106</v>
      </c>
      <c r="T47" s="11">
        <v>2818.6955325684721</v>
      </c>
      <c r="U47" s="11">
        <v>2813.1746041241909</v>
      </c>
      <c r="V47" s="11">
        <v>2861.6919255116009</v>
      </c>
      <c r="W47" s="11">
        <v>2616.9152862125429</v>
      </c>
      <c r="X47" s="11">
        <v>2408.0991994823908</v>
      </c>
      <c r="Y47" s="11">
        <v>2396.4836019058771</v>
      </c>
      <c r="Z47" s="11">
        <v>2388.8984375826667</v>
      </c>
      <c r="AA47" s="11">
        <v>2382.2130113509497</v>
      </c>
      <c r="AB47" s="11">
        <v>2369.7745651494492</v>
      </c>
      <c r="AC47" s="11">
        <v>2355.1004351940164</v>
      </c>
      <c r="AD47" s="11">
        <v>2339.0951466079996</v>
      </c>
      <c r="AE47" s="11">
        <v>2322.8295119236041</v>
      </c>
      <c r="AF47" s="11">
        <v>2306.5248448691805</v>
      </c>
      <c r="AG47" s="11">
        <v>2291.0453305336996</v>
      </c>
      <c r="AH47" s="11">
        <v>2275.1370177881267</v>
      </c>
      <c r="AI47" s="11">
        <v>2259.0442792563399</v>
      </c>
      <c r="AJ47" s="11">
        <v>2243.0552579145046</v>
      </c>
      <c r="AK47" s="11">
        <v>2226.8814242069111</v>
      </c>
      <c r="AL47" s="11">
        <v>2210.5081126228129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>
      <c r="L48" s="107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ht="12.95">
      <c r="L49" s="16" t="str">
        <f>'Occ T3'!A51</f>
        <v>All occupations</v>
      </c>
      <c r="M49" s="68">
        <f>SUM(M5,M9,M15,M22,M26,M32,M37,M41,M45)</f>
        <v>26471.260999999195</v>
      </c>
      <c r="N49" s="68">
        <f t="shared" ref="N49:P49" si="17">SUM(N5,N9,N15,N22,N26,N32,N37,N41,N45)</f>
        <v>26495.59899999882</v>
      </c>
      <c r="O49" s="68">
        <f t="shared" si="17"/>
        <v>27004.439000000275</v>
      </c>
      <c r="P49" s="68">
        <f t="shared" si="17"/>
        <v>27167.130999998259</v>
      </c>
      <c r="Q49" s="68">
        <f>SUM(Q5,Q9,Q15,Q22,Q26,Q32,Q37,Q41,Q45)</f>
        <v>28227.370999996943</v>
      </c>
      <c r="R49" s="68">
        <f t="shared" ref="R49:AL49" si="18">SUM(R5,R9,R15,R22,R26,R32,R37,R41,R45)</f>
        <v>28656.171999997772</v>
      </c>
      <c r="S49" s="68">
        <f t="shared" si="18"/>
        <v>29271.389999995692</v>
      </c>
      <c r="T49" s="68">
        <f t="shared" si="18"/>
        <v>29560.386999995273</v>
      </c>
      <c r="U49" s="68">
        <f t="shared" si="18"/>
        <v>29694.024999995778</v>
      </c>
      <c r="V49" s="68">
        <f t="shared" si="18"/>
        <v>30212.759999993876</v>
      </c>
      <c r="W49" s="68">
        <f t="shared" si="18"/>
        <v>29859.680999995224</v>
      </c>
      <c r="X49" s="68">
        <f t="shared" si="18"/>
        <v>30001.119000003033</v>
      </c>
      <c r="Y49" s="68">
        <f t="shared" si="18"/>
        <v>30149.17100000806</v>
      </c>
      <c r="Z49" s="68">
        <f t="shared" si="18"/>
        <v>30361.640000009818</v>
      </c>
      <c r="AA49" s="68">
        <f t="shared" si="18"/>
        <v>30593.802000010452</v>
      </c>
      <c r="AB49" s="68">
        <f t="shared" si="18"/>
        <v>30754.748000010703</v>
      </c>
      <c r="AC49" s="68">
        <f t="shared" si="18"/>
        <v>30893.187000012305</v>
      </c>
      <c r="AD49" s="68">
        <f t="shared" si="18"/>
        <v>31018.914000010613</v>
      </c>
      <c r="AE49" s="68">
        <f t="shared" si="18"/>
        <v>31143.820000008905</v>
      </c>
      <c r="AF49" s="68">
        <f t="shared" si="18"/>
        <v>31267.824000009656</v>
      </c>
      <c r="AG49" s="68">
        <f t="shared" si="18"/>
        <v>31402.526000010825</v>
      </c>
      <c r="AH49" s="68">
        <f t="shared" si="18"/>
        <v>31534.74900000995</v>
      </c>
      <c r="AI49" s="68">
        <f t="shared" si="18"/>
        <v>31667.528000010811</v>
      </c>
      <c r="AJ49" s="68">
        <f t="shared" si="18"/>
        <v>31801.975000010734</v>
      </c>
      <c r="AK49" s="68">
        <f t="shared" si="18"/>
        <v>31935.797000011815</v>
      </c>
      <c r="AL49" s="68">
        <f t="shared" si="18"/>
        <v>32070.091000012511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>
      <c r="L50" s="107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ht="12.95">
      <c r="L51" s="1" t="s">
        <v>185</v>
      </c>
      <c r="M51" s="37">
        <f>M4</f>
        <v>2010</v>
      </c>
      <c r="N51" s="37">
        <f t="shared" ref="N51:AL51" si="19">N4</f>
        <v>2011</v>
      </c>
      <c r="O51" s="37">
        <f t="shared" si="19"/>
        <v>2012</v>
      </c>
      <c r="P51" s="37">
        <f t="shared" si="19"/>
        <v>2013</v>
      </c>
      <c r="Q51" s="37">
        <f t="shared" si="19"/>
        <v>2014</v>
      </c>
      <c r="R51" s="37">
        <f t="shared" si="19"/>
        <v>2015</v>
      </c>
      <c r="S51" s="37">
        <f t="shared" si="19"/>
        <v>2016</v>
      </c>
      <c r="T51" s="37">
        <f t="shared" si="19"/>
        <v>2017</v>
      </c>
      <c r="U51" s="37">
        <f t="shared" si="19"/>
        <v>2018</v>
      </c>
      <c r="V51" s="37">
        <f t="shared" si="19"/>
        <v>2019</v>
      </c>
      <c r="W51" s="37">
        <f t="shared" si="19"/>
        <v>2020</v>
      </c>
      <c r="X51" s="37">
        <f t="shared" si="19"/>
        <v>2021</v>
      </c>
      <c r="Y51" s="37">
        <f t="shared" si="19"/>
        <v>2022</v>
      </c>
      <c r="Z51" s="37">
        <f t="shared" si="19"/>
        <v>2023</v>
      </c>
      <c r="AA51" s="37">
        <f t="shared" si="19"/>
        <v>2024</v>
      </c>
      <c r="AB51" s="37">
        <f t="shared" si="19"/>
        <v>2025</v>
      </c>
      <c r="AC51" s="37">
        <f t="shared" si="19"/>
        <v>2026</v>
      </c>
      <c r="AD51" s="37">
        <f t="shared" si="19"/>
        <v>2027</v>
      </c>
      <c r="AE51" s="37">
        <f t="shared" si="19"/>
        <v>2028</v>
      </c>
      <c r="AF51" s="37">
        <f t="shared" si="19"/>
        <v>2029</v>
      </c>
      <c r="AG51" s="37">
        <f t="shared" si="19"/>
        <v>2030</v>
      </c>
      <c r="AH51" s="37">
        <f t="shared" si="19"/>
        <v>2031</v>
      </c>
      <c r="AI51" s="37">
        <f t="shared" si="19"/>
        <v>2032</v>
      </c>
      <c r="AJ51" s="37">
        <f t="shared" si="19"/>
        <v>2033</v>
      </c>
      <c r="AK51" s="37">
        <f t="shared" si="19"/>
        <v>2034</v>
      </c>
      <c r="AL51" s="37">
        <f t="shared" si="19"/>
        <v>2035</v>
      </c>
    </row>
    <row r="52" spans="1:57" ht="12.95">
      <c r="L52" s="16" t="str">
        <f>'Occ T3'!A7</f>
        <v>Managers, directors and senior officials</v>
      </c>
      <c r="M52" s="307">
        <f>M5/M$49</f>
        <v>8.6192557984654417E-2</v>
      </c>
      <c r="N52" s="307">
        <f t="shared" ref="N52:AG52" si="20">N5/N$49</f>
        <v>9.4786896724300157E-2</v>
      </c>
      <c r="O52" s="307">
        <f t="shared" si="20"/>
        <v>9.6783155902000081E-2</v>
      </c>
      <c r="P52" s="307">
        <f t="shared" si="20"/>
        <v>9.7747854395425854E-2</v>
      </c>
      <c r="Q52" s="307">
        <f t="shared" si="20"/>
        <v>9.6825319764221415E-2</v>
      </c>
      <c r="R52" s="307">
        <f t="shared" si="20"/>
        <v>9.851123753099135E-2</v>
      </c>
      <c r="S52" s="307">
        <f t="shared" si="20"/>
        <v>9.9570931144395261E-2</v>
      </c>
      <c r="T52" s="307">
        <f t="shared" si="20"/>
        <v>0.10311062490553456</v>
      </c>
      <c r="U52" s="307">
        <f t="shared" si="20"/>
        <v>0.1042286416384738</v>
      </c>
      <c r="V52" s="307">
        <f t="shared" si="20"/>
        <v>0.10729862823488999</v>
      </c>
      <c r="W52" s="307">
        <f t="shared" si="20"/>
        <v>0.11076855642736466</v>
      </c>
      <c r="X52" s="307">
        <f t="shared" si="20"/>
        <v>0.10019122970629706</v>
      </c>
      <c r="Y52" s="307">
        <f t="shared" si="20"/>
        <v>0.10073845804312558</v>
      </c>
      <c r="Z52" s="307">
        <f t="shared" si="20"/>
        <v>0.10128343177781757</v>
      </c>
      <c r="AA52" s="307">
        <f t="shared" si="20"/>
        <v>0.10181879563597078</v>
      </c>
      <c r="AB52" s="307">
        <f t="shared" si="20"/>
        <v>0.10234019505628862</v>
      </c>
      <c r="AC52" s="307">
        <f t="shared" si="20"/>
        <v>0.10286324576534511</v>
      </c>
      <c r="AD52" s="307">
        <f t="shared" si="20"/>
        <v>0.10338319945614453</v>
      </c>
      <c r="AE52" s="307">
        <f t="shared" si="20"/>
        <v>0.10390619090697668</v>
      </c>
      <c r="AF52" s="307">
        <f t="shared" si="20"/>
        <v>0.10443083198609382</v>
      </c>
      <c r="AG52" s="307">
        <f t="shared" si="20"/>
        <v>0.1049644570281557</v>
      </c>
      <c r="AH52" s="307">
        <f t="shared" ref="AH52:AL52" si="21">AH5/AH$49</f>
        <v>0.10549934497047443</v>
      </c>
      <c r="AI52" s="307">
        <f t="shared" si="21"/>
        <v>0.10603857678862398</v>
      </c>
      <c r="AJ52" s="307">
        <f t="shared" si="21"/>
        <v>0.10657594161228509</v>
      </c>
      <c r="AK52" s="307">
        <f t="shared" si="21"/>
        <v>0.10711571893480067</v>
      </c>
      <c r="AL52" s="307">
        <f t="shared" si="21"/>
        <v>0.10765087078027588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>
      <c r="L53" s="107" t="str">
        <f>'Occ T3'!A8</f>
        <v>11 Corporate managers and directors</v>
      </c>
      <c r="M53" s="306">
        <f t="shared" ref="M53:AG53" si="22">M6/M$49</f>
        <v>5.8746458246523955E-2</v>
      </c>
      <c r="N53" s="306">
        <f t="shared" si="22"/>
        <v>6.4224829614601783E-2</v>
      </c>
      <c r="O53" s="306">
        <f t="shared" si="22"/>
        <v>6.5501734748076176E-2</v>
      </c>
      <c r="P53" s="306">
        <f t="shared" si="22"/>
        <v>6.6398679849816761E-2</v>
      </c>
      <c r="Q53" s="306">
        <f t="shared" si="22"/>
        <v>6.3186111969869049E-2</v>
      </c>
      <c r="R53" s="306">
        <f t="shared" si="22"/>
        <v>6.6283578945122712E-2</v>
      </c>
      <c r="S53" s="306">
        <f t="shared" si="22"/>
        <v>6.9882709643200272E-2</v>
      </c>
      <c r="T53" s="306">
        <f t="shared" si="22"/>
        <v>7.1378576432596499E-2</v>
      </c>
      <c r="U53" s="306">
        <f t="shared" si="22"/>
        <v>7.2297087444623834E-2</v>
      </c>
      <c r="V53" s="306">
        <f t="shared" si="22"/>
        <v>7.4552721299528446E-2</v>
      </c>
      <c r="W53" s="306">
        <f t="shared" si="22"/>
        <v>7.7286160705874254E-2</v>
      </c>
      <c r="X53" s="306">
        <f t="shared" si="22"/>
        <v>6.7353140051642113E-2</v>
      </c>
      <c r="Y53" s="306">
        <f t="shared" si="22"/>
        <v>6.7637885203659764E-2</v>
      </c>
      <c r="Z53" s="306">
        <f t="shared" si="22"/>
        <v>6.7917220273533849E-2</v>
      </c>
      <c r="AA53" s="306">
        <f t="shared" si="22"/>
        <v>6.8189889152093869E-2</v>
      </c>
      <c r="AB53" s="306">
        <f t="shared" si="22"/>
        <v>6.845453912254644E-2</v>
      </c>
      <c r="AC53" s="306">
        <f t="shared" si="22"/>
        <v>6.8722170182913156E-2</v>
      </c>
      <c r="AD53" s="306">
        <f t="shared" si="22"/>
        <v>6.8988046889112711E-2</v>
      </c>
      <c r="AE53" s="306">
        <f t="shared" si="22"/>
        <v>6.9256491118516769E-2</v>
      </c>
      <c r="AF53" s="306">
        <f t="shared" si="22"/>
        <v>6.9526712755142467E-2</v>
      </c>
      <c r="AG53" s="306">
        <f t="shared" si="22"/>
        <v>6.980247800720886E-2</v>
      </c>
      <c r="AH53" s="306">
        <f t="shared" ref="AH53:AL53" si="23">AH6/AH$49</f>
        <v>7.0078539622598288E-2</v>
      </c>
      <c r="AI53" s="306">
        <f t="shared" si="23"/>
        <v>7.0359308752863198E-2</v>
      </c>
      <c r="AJ53" s="306">
        <f t="shared" si="23"/>
        <v>7.0640933630268063E-2</v>
      </c>
      <c r="AK53" s="306">
        <f t="shared" si="23"/>
        <v>7.0927220824761772E-2</v>
      </c>
      <c r="AL53" s="306">
        <f t="shared" si="23"/>
        <v>7.1210464021094641E-2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>
      <c r="L54" s="107" t="str">
        <f>'Occ T3'!A9</f>
        <v>12 Other managers and proprietors</v>
      </c>
      <c r="M54" s="306">
        <f t="shared" ref="M54:AG54" si="24">M7/M$49</f>
        <v>2.7446099738130461E-2</v>
      </c>
      <c r="N54" s="306">
        <f t="shared" si="24"/>
        <v>3.056206710969837E-2</v>
      </c>
      <c r="O54" s="306">
        <f t="shared" si="24"/>
        <v>3.1281421153923905E-2</v>
      </c>
      <c r="P54" s="306">
        <f t="shared" si="24"/>
        <v>3.1349174545609086E-2</v>
      </c>
      <c r="Q54" s="306">
        <f t="shared" si="24"/>
        <v>3.3639207794352352E-2</v>
      </c>
      <c r="R54" s="306">
        <f t="shared" si="24"/>
        <v>3.2227658585868631E-2</v>
      </c>
      <c r="S54" s="306">
        <f t="shared" si="24"/>
        <v>2.9688221501195003E-2</v>
      </c>
      <c r="T54" s="306">
        <f t="shared" si="24"/>
        <v>3.1732048472938069E-2</v>
      </c>
      <c r="U54" s="306">
        <f t="shared" si="24"/>
        <v>3.1931554193849958E-2</v>
      </c>
      <c r="V54" s="306">
        <f t="shared" si="24"/>
        <v>3.2745906935361536E-2</v>
      </c>
      <c r="W54" s="306">
        <f t="shared" si="24"/>
        <v>3.3482395721490407E-2</v>
      </c>
      <c r="X54" s="306">
        <f t="shared" si="24"/>
        <v>3.2838089654654949E-2</v>
      </c>
      <c r="Y54" s="306">
        <f t="shared" si="24"/>
        <v>3.3100572839465825E-2</v>
      </c>
      <c r="Z54" s="306">
        <f t="shared" si="24"/>
        <v>3.3366211504283726E-2</v>
      </c>
      <c r="AA54" s="306">
        <f t="shared" si="24"/>
        <v>3.3628906483876911E-2</v>
      </c>
      <c r="AB54" s="306">
        <f t="shared" si="24"/>
        <v>3.3885655933742188E-2</v>
      </c>
      <c r="AC54" s="306">
        <f t="shared" si="24"/>
        <v>3.4141075582431964E-2</v>
      </c>
      <c r="AD54" s="306">
        <f t="shared" si="24"/>
        <v>3.4395152567031823E-2</v>
      </c>
      <c r="AE54" s="306">
        <f t="shared" si="24"/>
        <v>3.4649699788459901E-2</v>
      </c>
      <c r="AF54" s="306">
        <f t="shared" si="24"/>
        <v>3.490411923095136E-2</v>
      </c>
      <c r="AG54" s="306">
        <f t="shared" si="24"/>
        <v>3.5161979020946844E-2</v>
      </c>
      <c r="AH54" s="306">
        <f t="shared" ref="AH54:AL54" si="25">AH7/AH$49</f>
        <v>3.5420805347876151E-2</v>
      </c>
      <c r="AI54" s="306">
        <f t="shared" si="25"/>
        <v>3.567926803576079E-2</v>
      </c>
      <c r="AJ54" s="306">
        <f t="shared" si="25"/>
        <v>3.5935007982017035E-2</v>
      </c>
      <c r="AK54" s="306">
        <f t="shared" si="25"/>
        <v>3.6188498110038894E-2</v>
      </c>
      <c r="AL54" s="306">
        <f t="shared" si="25"/>
        <v>3.6440406759181247E-2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>
      <c r="L55" s="107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306"/>
      <c r="X55" s="306"/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ht="12.95">
      <c r="L56" s="16" t="str">
        <f>'Occ T3'!A11</f>
        <v>Professional occupations</v>
      </c>
      <c r="M56" s="307">
        <f t="shared" ref="M56:AG56" si="26">M9/M$49</f>
        <v>0.20746926554878742</v>
      </c>
      <c r="N56" s="307">
        <f t="shared" si="26"/>
        <v>0.2039180104221619</v>
      </c>
      <c r="O56" s="307">
        <f t="shared" si="26"/>
        <v>0.20403798281220961</v>
      </c>
      <c r="P56" s="307">
        <f t="shared" si="26"/>
        <v>0.20805756313338208</v>
      </c>
      <c r="Q56" s="307">
        <f t="shared" si="26"/>
        <v>0.20767633377808306</v>
      </c>
      <c r="R56" s="307">
        <f t="shared" si="26"/>
        <v>0.20635148972596942</v>
      </c>
      <c r="S56" s="307">
        <f t="shared" si="26"/>
        <v>0.21358632832002489</v>
      </c>
      <c r="T56" s="307">
        <f t="shared" si="26"/>
        <v>0.21110047687035649</v>
      </c>
      <c r="U56" s="307">
        <f t="shared" si="26"/>
        <v>0.21783069262551022</v>
      </c>
      <c r="V56" s="307">
        <f t="shared" si="26"/>
        <v>0.22328895519861966</v>
      </c>
      <c r="W56" s="307">
        <f t="shared" si="26"/>
        <v>0.23618399794653669</v>
      </c>
      <c r="X56" s="307">
        <f t="shared" si="26"/>
        <v>0.24146548079039651</v>
      </c>
      <c r="Y56" s="307">
        <f t="shared" si="26"/>
        <v>0.24279864630064216</v>
      </c>
      <c r="Z56" s="307">
        <f t="shared" si="26"/>
        <v>0.24420091448313966</v>
      </c>
      <c r="AA56" s="307">
        <f t="shared" si="26"/>
        <v>0.24561258859985347</v>
      </c>
      <c r="AB56" s="307">
        <f t="shared" si="26"/>
        <v>0.24705456309038404</v>
      </c>
      <c r="AC56" s="307">
        <f t="shared" si="26"/>
        <v>0.24850864733384537</v>
      </c>
      <c r="AD56" s="307">
        <f t="shared" si="26"/>
        <v>0.24996650055379299</v>
      </c>
      <c r="AE56" s="307">
        <f t="shared" si="26"/>
        <v>0.25142316495647388</v>
      </c>
      <c r="AF56" s="307">
        <f t="shared" si="26"/>
        <v>0.25286777396264398</v>
      </c>
      <c r="AG56" s="307">
        <f t="shared" si="26"/>
        <v>0.25431313907250636</v>
      </c>
      <c r="AH56" s="307">
        <f t="shared" ref="AH56:AL56" si="27">AH9/AH$49</f>
        <v>0.25575540906307676</v>
      </c>
      <c r="AI56" s="307">
        <f t="shared" si="27"/>
        <v>0.25720055056564384</v>
      </c>
      <c r="AJ56" s="307">
        <f t="shared" si="27"/>
        <v>0.25864604901476279</v>
      </c>
      <c r="AK56" s="307">
        <f t="shared" si="27"/>
        <v>0.26009011489725892</v>
      </c>
      <c r="AL56" s="307">
        <f t="shared" si="27"/>
        <v>0.26152587370509117</v>
      </c>
    </row>
    <row r="57" spans="1:57">
      <c r="L57" s="107" t="str">
        <f>'Occ T3'!A12</f>
        <v>21 Science, research, engineering and technology professionals</v>
      </c>
      <c r="M57" s="306">
        <f t="shared" ref="M57:AG57" si="28">M10/M$49</f>
        <v>5.3650150735105012E-2</v>
      </c>
      <c r="N57" s="306">
        <f t="shared" si="28"/>
        <v>5.1745582005513865E-2</v>
      </c>
      <c r="O57" s="306">
        <f t="shared" si="28"/>
        <v>5.2245249459556581E-2</v>
      </c>
      <c r="P57" s="306">
        <f t="shared" si="28"/>
        <v>5.2336399700107825E-2</v>
      </c>
      <c r="Q57" s="306">
        <f t="shared" si="28"/>
        <v>5.4009659996222176E-2</v>
      </c>
      <c r="R57" s="306">
        <f t="shared" si="28"/>
        <v>5.5313734754162874E-2</v>
      </c>
      <c r="S57" s="306">
        <f t="shared" si="28"/>
        <v>5.7256802123819402E-2</v>
      </c>
      <c r="T57" s="306">
        <f t="shared" si="28"/>
        <v>5.5502499717520512E-2</v>
      </c>
      <c r="U57" s="306">
        <f t="shared" si="28"/>
        <v>5.8934942029560046E-2</v>
      </c>
      <c r="V57" s="306">
        <f t="shared" si="28"/>
        <v>6.0380792514089565E-2</v>
      </c>
      <c r="W57" s="306">
        <f t="shared" si="28"/>
        <v>6.3566386865058888E-2</v>
      </c>
      <c r="X57" s="306">
        <f t="shared" si="28"/>
        <v>7.359777831613247E-2</v>
      </c>
      <c r="Y57" s="306">
        <f t="shared" si="28"/>
        <v>7.43276866588376E-2</v>
      </c>
      <c r="Z57" s="306">
        <f t="shared" si="28"/>
        <v>7.5053365587013934E-2</v>
      </c>
      <c r="AA57" s="306">
        <f t="shared" si="28"/>
        <v>7.5763662864544501E-2</v>
      </c>
      <c r="AB57" s="306">
        <f t="shared" si="28"/>
        <v>7.6467922295740814E-2</v>
      </c>
      <c r="AC57" s="306">
        <f t="shared" si="28"/>
        <v>7.7181430806531212E-2</v>
      </c>
      <c r="AD57" s="306">
        <f t="shared" si="28"/>
        <v>7.7892164411133447E-2</v>
      </c>
      <c r="AE57" s="306">
        <f t="shared" si="28"/>
        <v>7.8606542375745589E-2</v>
      </c>
      <c r="AF57" s="306">
        <f t="shared" si="28"/>
        <v>7.9322096247823326E-2</v>
      </c>
      <c r="AG57" s="306">
        <f t="shared" si="28"/>
        <v>8.0037539969135554E-2</v>
      </c>
      <c r="AH57" s="306">
        <f t="shared" ref="AH57:AL57" si="29">AH10/AH$49</f>
        <v>8.0751316628149897E-2</v>
      </c>
      <c r="AI57" s="306">
        <f t="shared" si="29"/>
        <v>8.146656438970927E-2</v>
      </c>
      <c r="AJ57" s="306">
        <f t="shared" si="29"/>
        <v>8.2180542487215388E-2</v>
      </c>
      <c r="AK57" s="306">
        <f t="shared" si="29"/>
        <v>8.2894778710073974E-2</v>
      </c>
      <c r="AL57" s="306">
        <f t="shared" si="29"/>
        <v>8.3609828469783334E-2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>
      <c r="L58" s="107" t="str">
        <f>'Occ T3'!A13</f>
        <v>22 Health professionals</v>
      </c>
      <c r="M58" s="306">
        <f t="shared" ref="M58:AG58" si="30">M11/M$49</f>
        <v>3.7894161151931609E-2</v>
      </c>
      <c r="N58" s="306">
        <f t="shared" si="30"/>
        <v>4.0159163448887619E-2</v>
      </c>
      <c r="O58" s="306">
        <f t="shared" si="30"/>
        <v>4.0827640134357308E-2</v>
      </c>
      <c r="P58" s="306">
        <f t="shared" si="30"/>
        <v>4.1741707592819838E-2</v>
      </c>
      <c r="Q58" s="306">
        <f t="shared" si="30"/>
        <v>4.126434531163068E-2</v>
      </c>
      <c r="R58" s="306">
        <f t="shared" si="30"/>
        <v>4.0809457043351663E-2</v>
      </c>
      <c r="S58" s="306">
        <f t="shared" si="30"/>
        <v>4.1773575420684744E-2</v>
      </c>
      <c r="T58" s="306">
        <f t="shared" si="30"/>
        <v>4.3418998118543349E-2</v>
      </c>
      <c r="U58" s="306">
        <f t="shared" si="30"/>
        <v>4.3325603503874932E-2</v>
      </c>
      <c r="V58" s="306">
        <f t="shared" si="30"/>
        <v>4.4837235795568947E-2</v>
      </c>
      <c r="W58" s="306">
        <f t="shared" si="30"/>
        <v>4.5410156825591803E-2</v>
      </c>
      <c r="X58" s="306">
        <f t="shared" si="30"/>
        <v>4.3178899277620149E-2</v>
      </c>
      <c r="Y58" s="306">
        <f t="shared" si="30"/>
        <v>4.3305319417595911E-2</v>
      </c>
      <c r="Z58" s="306">
        <f t="shared" si="30"/>
        <v>4.3406729345594197E-2</v>
      </c>
      <c r="AA58" s="306">
        <f t="shared" si="30"/>
        <v>4.3517013912187791E-2</v>
      </c>
      <c r="AB58" s="306">
        <f t="shared" si="30"/>
        <v>4.3637129451991705E-2</v>
      </c>
      <c r="AC58" s="306">
        <f t="shared" si="30"/>
        <v>4.3755365761186368E-2</v>
      </c>
      <c r="AD58" s="306">
        <f t="shared" si="30"/>
        <v>4.3877512363620828E-2</v>
      </c>
      <c r="AE58" s="306">
        <f t="shared" si="30"/>
        <v>4.4000458060333481E-2</v>
      </c>
      <c r="AF58" s="306">
        <f t="shared" si="30"/>
        <v>4.4111869828486118E-2</v>
      </c>
      <c r="AG58" s="306">
        <f t="shared" si="30"/>
        <v>4.4226463858666014E-2</v>
      </c>
      <c r="AH58" s="306">
        <f t="shared" ref="AH58:AL58" si="31">AH11/AH$49</f>
        <v>4.434453052251075E-2</v>
      </c>
      <c r="AI58" s="306">
        <f t="shared" si="31"/>
        <v>4.4462760088507379E-2</v>
      </c>
      <c r="AJ58" s="306">
        <f t="shared" si="31"/>
        <v>4.4582055628602756E-2</v>
      </c>
      <c r="AK58" s="306">
        <f t="shared" si="31"/>
        <v>4.4695606407285426E-2</v>
      </c>
      <c r="AL58" s="306">
        <f t="shared" si="31"/>
        <v>4.4801541788866431E-2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6">
      <c r="A59" s="61" t="str">
        <f>CONCATENATE("Occupation Figure 2.1  Employment by Occupation (% shares), ",$M$2,"-",$O$2,", ",Info!B5)</f>
        <v>Occupation Figure 2.1  Employment by Occupation (% shares), 2010-2035, England</v>
      </c>
      <c r="L59" s="107" t="str">
        <f>'Occ T3'!A14</f>
        <v>23 Teaching and other educational professionals</v>
      </c>
      <c r="M59" s="306">
        <f t="shared" ref="M59:AG59" si="32">M12/M$49</f>
        <v>4.9014730037301349E-2</v>
      </c>
      <c r="N59" s="306">
        <f t="shared" si="32"/>
        <v>4.8895068417262072E-2</v>
      </c>
      <c r="O59" s="306">
        <f t="shared" si="32"/>
        <v>4.8317615561181901E-2</v>
      </c>
      <c r="P59" s="306">
        <f t="shared" si="32"/>
        <v>4.8655778004661802E-2</v>
      </c>
      <c r="Q59" s="306">
        <f t="shared" si="32"/>
        <v>4.7814254194000823E-2</v>
      </c>
      <c r="R59" s="306">
        <f t="shared" si="32"/>
        <v>4.7520275393351366E-2</v>
      </c>
      <c r="S59" s="306">
        <f t="shared" si="32"/>
        <v>4.8309806773784478E-2</v>
      </c>
      <c r="T59" s="306">
        <f t="shared" si="32"/>
        <v>4.6369993518784812E-2</v>
      </c>
      <c r="U59" s="306">
        <f t="shared" si="32"/>
        <v>4.6895271316877346E-2</v>
      </c>
      <c r="V59" s="306">
        <f t="shared" si="32"/>
        <v>4.7702991468471859E-2</v>
      </c>
      <c r="W59" s="306">
        <f t="shared" si="32"/>
        <v>5.0356636853070152E-2</v>
      </c>
      <c r="X59" s="306">
        <f t="shared" si="32"/>
        <v>4.7700571834691501E-2</v>
      </c>
      <c r="Y59" s="306">
        <f t="shared" si="32"/>
        <v>4.7667511041655647E-2</v>
      </c>
      <c r="Z59" s="306">
        <f t="shared" si="32"/>
        <v>4.7758901692352487E-2</v>
      </c>
      <c r="AA59" s="306">
        <f t="shared" si="32"/>
        <v>4.7870520181951974E-2</v>
      </c>
      <c r="AB59" s="306">
        <f t="shared" si="32"/>
        <v>4.8017639848131004E-2</v>
      </c>
      <c r="AC59" s="306">
        <f t="shared" si="32"/>
        <v>4.8167675523700257E-2</v>
      </c>
      <c r="AD59" s="306">
        <f t="shared" si="32"/>
        <v>4.8320589495121344E-2</v>
      </c>
      <c r="AE59" s="306">
        <f t="shared" si="32"/>
        <v>4.8470012286213969E-2</v>
      </c>
      <c r="AF59" s="306">
        <f t="shared" si="32"/>
        <v>4.8616375444010852E-2</v>
      </c>
      <c r="AG59" s="306">
        <f t="shared" si="32"/>
        <v>4.8758807941183265E-2</v>
      </c>
      <c r="AH59" s="306">
        <f t="shared" ref="AH59:AL59" si="33">AH12/AH$49</f>
        <v>4.8900852802400176E-2</v>
      </c>
      <c r="AI59" s="306">
        <f t="shared" si="33"/>
        <v>4.904148570143553E-2</v>
      </c>
      <c r="AJ59" s="306">
        <f t="shared" si="33"/>
        <v>4.9182639893561121E-2</v>
      </c>
      <c r="AK59" s="306">
        <f t="shared" si="33"/>
        <v>4.9325412212848481E-2</v>
      </c>
      <c r="AL59" s="306">
        <f t="shared" si="33"/>
        <v>4.9467309646242859E-2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>
      <c r="L60" s="107" t="str">
        <f>'Occ T3'!A15</f>
        <v>24 Business, media and public service professionals</v>
      </c>
      <c r="M60" s="306">
        <f t="shared" ref="M60:AG60" si="34">M13/M$49</f>
        <v>6.6910223624449441E-2</v>
      </c>
      <c r="N60" s="306">
        <f t="shared" si="34"/>
        <v>6.3118196550498329E-2</v>
      </c>
      <c r="O60" s="306">
        <f t="shared" si="34"/>
        <v>6.2647477657113815E-2</v>
      </c>
      <c r="P60" s="306">
        <f t="shared" si="34"/>
        <v>6.5323677835792585E-2</v>
      </c>
      <c r="Q60" s="306">
        <f t="shared" si="34"/>
        <v>6.4588074276229368E-2</v>
      </c>
      <c r="R60" s="306">
        <f t="shared" si="34"/>
        <v>6.2708022535103533E-2</v>
      </c>
      <c r="S60" s="306">
        <f t="shared" si="34"/>
        <v>6.6246144001736243E-2</v>
      </c>
      <c r="T60" s="306">
        <f t="shared" si="34"/>
        <v>6.580898551550779E-2</v>
      </c>
      <c r="U60" s="306">
        <f t="shared" si="34"/>
        <v>6.8674875775197902E-2</v>
      </c>
      <c r="V60" s="306">
        <f t="shared" si="34"/>
        <v>7.0367935420489289E-2</v>
      </c>
      <c r="W60" s="306">
        <f t="shared" si="34"/>
        <v>7.6850817402815852E-2</v>
      </c>
      <c r="X60" s="306">
        <f t="shared" si="34"/>
        <v>7.6988231361952403E-2</v>
      </c>
      <c r="Y60" s="306">
        <f t="shared" si="34"/>
        <v>7.7498129182553013E-2</v>
      </c>
      <c r="Z60" s="306">
        <f t="shared" si="34"/>
        <v>7.7981917858179026E-2</v>
      </c>
      <c r="AA60" s="306">
        <f t="shared" si="34"/>
        <v>7.8461391641169234E-2</v>
      </c>
      <c r="AB60" s="306">
        <f t="shared" si="34"/>
        <v>7.8931871494520522E-2</v>
      </c>
      <c r="AC60" s="306">
        <f t="shared" si="34"/>
        <v>7.9404175242427516E-2</v>
      </c>
      <c r="AD60" s="306">
        <f t="shared" si="34"/>
        <v>7.987623428391738E-2</v>
      </c>
      <c r="AE60" s="306">
        <f t="shared" si="34"/>
        <v>8.0346152234180859E-2</v>
      </c>
      <c r="AF60" s="306">
        <f t="shared" si="34"/>
        <v>8.0817432442323714E-2</v>
      </c>
      <c r="AG60" s="306">
        <f t="shared" si="34"/>
        <v>8.1290327303521523E-2</v>
      </c>
      <c r="AH60" s="306">
        <f t="shared" ref="AH60:AL60" si="35">AH13/AH$49</f>
        <v>8.1758709110015954E-2</v>
      </c>
      <c r="AI60" s="306">
        <f t="shared" si="35"/>
        <v>8.2229740385991665E-2</v>
      </c>
      <c r="AJ60" s="306">
        <f t="shared" si="35"/>
        <v>8.2700811005383554E-2</v>
      </c>
      <c r="AK60" s="306">
        <f t="shared" si="35"/>
        <v>8.3174317567051043E-2</v>
      </c>
      <c r="AL60" s="306">
        <f t="shared" si="35"/>
        <v>8.3647193800198541E-2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>
      <c r="L61" s="107"/>
      <c r="M61" s="306"/>
      <c r="N61" s="306"/>
      <c r="O61" s="306"/>
      <c r="P61" s="306"/>
      <c r="Q61" s="306"/>
      <c r="R61" s="306"/>
      <c r="S61" s="306"/>
      <c r="T61" s="306"/>
      <c r="U61" s="306"/>
      <c r="V61" s="306"/>
      <c r="W61" s="306"/>
      <c r="X61" s="306"/>
      <c r="Y61" s="306"/>
      <c r="Z61" s="306"/>
      <c r="AA61" s="306"/>
      <c r="AB61" s="306"/>
      <c r="AC61" s="306"/>
      <c r="AD61" s="306"/>
      <c r="AE61" s="306"/>
      <c r="AF61" s="306"/>
      <c r="AG61" s="306"/>
      <c r="AH61" s="306"/>
      <c r="AI61" s="306"/>
      <c r="AJ61" s="306"/>
      <c r="AK61" s="306"/>
      <c r="AL61" s="30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ht="12.95">
      <c r="L62" s="16" t="str">
        <f>'Occ T3'!A17</f>
        <v>Associate professional occupations</v>
      </c>
      <c r="M62" s="307">
        <f t="shared" ref="M62:AG62" si="36">M15/M$49</f>
        <v>0.12439456190688844</v>
      </c>
      <c r="N62" s="307">
        <f t="shared" si="36"/>
        <v>0.12608789505491055</v>
      </c>
      <c r="O62" s="307">
        <f t="shared" si="36"/>
        <v>0.12895595289396788</v>
      </c>
      <c r="P62" s="307">
        <f t="shared" si="36"/>
        <v>0.12742269512219606</v>
      </c>
      <c r="Q62" s="307">
        <f t="shared" si="36"/>
        <v>0.12802249095925983</v>
      </c>
      <c r="R62" s="307">
        <f t="shared" si="36"/>
        <v>0.12817758294401591</v>
      </c>
      <c r="S62" s="307">
        <f t="shared" si="36"/>
        <v>0.12953392506106648</v>
      </c>
      <c r="T62" s="307">
        <f t="shared" si="36"/>
        <v>0.13143302156849279</v>
      </c>
      <c r="U62" s="307">
        <f t="shared" si="36"/>
        <v>0.13282222820146131</v>
      </c>
      <c r="V62" s="307">
        <f t="shared" si="36"/>
        <v>0.13127863534370454</v>
      </c>
      <c r="W62" s="307">
        <f t="shared" si="36"/>
        <v>0.13893383261985867</v>
      </c>
      <c r="X62" s="307">
        <f t="shared" si="36"/>
        <v>0.13967609308942491</v>
      </c>
      <c r="Y62" s="307">
        <f t="shared" si="36"/>
        <v>0.14033757719056017</v>
      </c>
      <c r="Z62" s="307">
        <f t="shared" si="36"/>
        <v>0.14097050111005974</v>
      </c>
      <c r="AA62" s="307">
        <f t="shared" si="36"/>
        <v>0.14161660198252518</v>
      </c>
      <c r="AB62" s="307">
        <f t="shared" si="36"/>
        <v>0.1422600538838267</v>
      </c>
      <c r="AC62" s="307">
        <f t="shared" si="36"/>
        <v>0.14290588269806648</v>
      </c>
      <c r="AD62" s="307">
        <f t="shared" si="36"/>
        <v>0.14355218268959322</v>
      </c>
      <c r="AE62" s="307">
        <f t="shared" si="36"/>
        <v>0.14419337580777192</v>
      </c>
      <c r="AF62" s="307">
        <f t="shared" si="36"/>
        <v>0.14484320460048716</v>
      </c>
      <c r="AG62" s="307">
        <f t="shared" si="36"/>
        <v>0.14549884585284273</v>
      </c>
      <c r="AH62" s="307">
        <f t="shared" ref="AH62:AL62" si="37">AH15/AH$49</f>
        <v>0.14615671992731119</v>
      </c>
      <c r="AI62" s="307">
        <f t="shared" si="37"/>
        <v>0.1468212163714569</v>
      </c>
      <c r="AJ62" s="307">
        <f t="shared" si="37"/>
        <v>0.14748954258066008</v>
      </c>
      <c r="AK62" s="307">
        <f t="shared" si="37"/>
        <v>0.14816608560121561</v>
      </c>
      <c r="AL62" s="307">
        <f t="shared" si="37"/>
        <v>0.14883450736553264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>
      <c r="L63" s="107" t="str">
        <f>'Occ T3'!A18</f>
        <v>31 Science, engineering and technology associate professionals</v>
      </c>
      <c r="M63" s="306">
        <f t="shared" ref="M63:AG63" si="38">M16/M$49</f>
        <v>1.7658853689765656E-2</v>
      </c>
      <c r="N63" s="306">
        <f t="shared" si="38"/>
        <v>1.7322284145021554E-2</v>
      </c>
      <c r="O63" s="306">
        <f t="shared" si="38"/>
        <v>1.7657067979153014E-2</v>
      </c>
      <c r="P63" s="306">
        <f t="shared" si="38"/>
        <v>1.7911671156126012E-2</v>
      </c>
      <c r="Q63" s="306">
        <f t="shared" si="38"/>
        <v>1.6329768883301354E-2</v>
      </c>
      <c r="R63" s="306">
        <f t="shared" si="38"/>
        <v>1.6166944514141319E-2</v>
      </c>
      <c r="S63" s="306">
        <f t="shared" si="38"/>
        <v>1.6853013019443124E-2</v>
      </c>
      <c r="T63" s="306">
        <f t="shared" si="38"/>
        <v>1.8412919423128442E-2</v>
      </c>
      <c r="U63" s="306">
        <f t="shared" si="38"/>
        <v>1.8784521288307661E-2</v>
      </c>
      <c r="V63" s="306">
        <f t="shared" si="38"/>
        <v>1.8066095465951587E-2</v>
      </c>
      <c r="W63" s="306">
        <f t="shared" si="38"/>
        <v>1.9705750295977143E-2</v>
      </c>
      <c r="X63" s="306">
        <f t="shared" si="38"/>
        <v>1.7839323780236841E-2</v>
      </c>
      <c r="Y63" s="306">
        <f t="shared" si="38"/>
        <v>1.7912287419196343E-2</v>
      </c>
      <c r="Z63" s="306">
        <f t="shared" si="38"/>
        <v>1.7985010387023551E-2</v>
      </c>
      <c r="AA63" s="306">
        <f t="shared" si="38"/>
        <v>1.8055689360860647E-2</v>
      </c>
      <c r="AB63" s="306">
        <f t="shared" si="38"/>
        <v>1.8124869654266615E-2</v>
      </c>
      <c r="AC63" s="306">
        <f t="shared" si="38"/>
        <v>1.8197310062599035E-2</v>
      </c>
      <c r="AD63" s="306">
        <f t="shared" si="38"/>
        <v>1.8266271545385175E-2</v>
      </c>
      <c r="AE63" s="306">
        <f t="shared" si="38"/>
        <v>1.8333790658603254E-2</v>
      </c>
      <c r="AF63" s="306">
        <f t="shared" si="38"/>
        <v>1.8402695726024099E-2</v>
      </c>
      <c r="AG63" s="306">
        <f t="shared" si="38"/>
        <v>1.8474429429956776E-2</v>
      </c>
      <c r="AH63" s="306">
        <f t="shared" ref="AH63:AL63" si="39">AH16/AH$49</f>
        <v>1.8546884107966968E-2</v>
      </c>
      <c r="AI63" s="306">
        <f t="shared" si="39"/>
        <v>1.8620474658057638E-2</v>
      </c>
      <c r="AJ63" s="306">
        <f t="shared" si="39"/>
        <v>1.8694109673759372E-2</v>
      </c>
      <c r="AK63" s="306">
        <f t="shared" si="39"/>
        <v>1.8769442718386663E-2</v>
      </c>
      <c r="AL63" s="306">
        <f t="shared" si="39"/>
        <v>1.884411441013641E-2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>
      <c r="L64" s="107" t="str">
        <f>'Occ T3'!A19</f>
        <v>32 Health and social care associate professionals</v>
      </c>
      <c r="M64" s="306">
        <f t="shared" ref="M64:AG64" si="40">M17/M$49</f>
        <v>1.4122051621452733E-2</v>
      </c>
      <c r="N64" s="306">
        <f t="shared" si="40"/>
        <v>1.7925551666959916E-2</v>
      </c>
      <c r="O64" s="306">
        <f t="shared" si="40"/>
        <v>1.7597305579943639E-2</v>
      </c>
      <c r="P64" s="306">
        <f t="shared" si="40"/>
        <v>1.7328308380695694E-2</v>
      </c>
      <c r="Q64" s="306">
        <f t="shared" si="40"/>
        <v>1.7076703154760522E-2</v>
      </c>
      <c r="R64" s="306">
        <f t="shared" si="40"/>
        <v>1.7204043159766706E-2</v>
      </c>
      <c r="S64" s="306">
        <f t="shared" si="40"/>
        <v>1.7349215699242911E-2</v>
      </c>
      <c r="T64" s="306">
        <f t="shared" si="40"/>
        <v>1.7222923660567272E-2</v>
      </c>
      <c r="U64" s="306">
        <f t="shared" si="40"/>
        <v>1.8596898689231943E-2</v>
      </c>
      <c r="V64" s="306">
        <f t="shared" si="40"/>
        <v>1.8396991809347792E-2</v>
      </c>
      <c r="W64" s="306">
        <f t="shared" si="40"/>
        <v>1.8994721293646596E-2</v>
      </c>
      <c r="X64" s="306">
        <f t="shared" si="40"/>
        <v>2.769919265590948E-2</v>
      </c>
      <c r="Y64" s="306">
        <f t="shared" si="40"/>
        <v>2.8074160582865448E-2</v>
      </c>
      <c r="Z64" s="306">
        <f t="shared" si="40"/>
        <v>2.842936632227153E-2</v>
      </c>
      <c r="AA64" s="306">
        <f t="shared" si="40"/>
        <v>2.8791956755178375E-2</v>
      </c>
      <c r="AB64" s="306">
        <f t="shared" si="40"/>
        <v>2.9164403954967111E-2</v>
      </c>
      <c r="AC64" s="306">
        <f t="shared" si="40"/>
        <v>2.953402858830026E-2</v>
      </c>
      <c r="AD64" s="306">
        <f t="shared" si="40"/>
        <v>2.9905478702757036E-2</v>
      </c>
      <c r="AE64" s="306">
        <f t="shared" si="40"/>
        <v>3.0274005450629207E-2</v>
      </c>
      <c r="AF64" s="306">
        <f t="shared" si="40"/>
        <v>3.0646141486989426E-2</v>
      </c>
      <c r="AG64" s="306">
        <f t="shared" si="40"/>
        <v>3.1020064716013127E-2</v>
      </c>
      <c r="AH64" s="306">
        <f t="shared" ref="AH64:AL64" si="41">AH17/AH$49</f>
        <v>3.1397254547169365E-2</v>
      </c>
      <c r="AI64" s="306">
        <f t="shared" si="41"/>
        <v>3.1772699438059354E-2</v>
      </c>
      <c r="AJ64" s="306">
        <f t="shared" si="41"/>
        <v>3.2146931418767774E-2</v>
      </c>
      <c r="AK64" s="306">
        <f t="shared" si="41"/>
        <v>3.2524119751958611E-2</v>
      </c>
      <c r="AL64" s="306">
        <f t="shared" si="41"/>
        <v>3.2903060155129164E-2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>
      <c r="L65" s="107" t="str">
        <f>'Occ T3'!A20</f>
        <v>33 Protective service occupations</v>
      </c>
      <c r="M65" s="306">
        <f t="shared" ref="M65:AG65" si="42">M18/M$49</f>
        <v>1.0483230316611745E-2</v>
      </c>
      <c r="N65" s="306">
        <f t="shared" si="42"/>
        <v>1.1988563915908001E-2</v>
      </c>
      <c r="O65" s="306">
        <f t="shared" si="42"/>
        <v>1.165731407142886E-2</v>
      </c>
      <c r="P65" s="306">
        <f t="shared" si="42"/>
        <v>1.0562729641132201E-2</v>
      </c>
      <c r="Q65" s="306">
        <f t="shared" si="42"/>
        <v>1.0345258187935441E-2</v>
      </c>
      <c r="R65" s="306">
        <f t="shared" si="42"/>
        <v>1.0278183082030361E-2</v>
      </c>
      <c r="S65" s="306">
        <f t="shared" si="42"/>
        <v>1.0891463724858389E-2</v>
      </c>
      <c r="T65" s="306">
        <f t="shared" si="42"/>
        <v>1.0318551359678641E-2</v>
      </c>
      <c r="U65" s="306">
        <f t="shared" si="42"/>
        <v>1.0204447586788316E-2</v>
      </c>
      <c r="V65" s="306">
        <f t="shared" si="42"/>
        <v>1.0023505944719487E-2</v>
      </c>
      <c r="W65" s="306">
        <f t="shared" si="42"/>
        <v>1.0745491029511721E-2</v>
      </c>
      <c r="X65" s="306">
        <f t="shared" si="42"/>
        <v>8.7673932402273901E-3</v>
      </c>
      <c r="Y65" s="306">
        <f t="shared" si="42"/>
        <v>8.8037020207743268E-3</v>
      </c>
      <c r="Z65" s="306">
        <f t="shared" si="42"/>
        <v>8.8305959859176809E-3</v>
      </c>
      <c r="AA65" s="306">
        <f t="shared" si="42"/>
        <v>8.859385285987979E-3</v>
      </c>
      <c r="AB65" s="306">
        <f t="shared" si="42"/>
        <v>8.8836029854128251E-3</v>
      </c>
      <c r="AC65" s="306">
        <f t="shared" si="42"/>
        <v>8.9076845044601966E-3</v>
      </c>
      <c r="AD65" s="306">
        <f t="shared" si="42"/>
        <v>8.9316459333629201E-3</v>
      </c>
      <c r="AE65" s="306">
        <f t="shared" si="42"/>
        <v>8.9560156147779971E-3</v>
      </c>
      <c r="AF65" s="306">
        <f t="shared" si="42"/>
        <v>8.9854328856276075E-3</v>
      </c>
      <c r="AG65" s="306">
        <f t="shared" si="42"/>
        <v>9.0139276599719154E-3</v>
      </c>
      <c r="AH65" s="306">
        <f t="shared" ref="AH65:AL65" si="43">AH18/AH$49</f>
        <v>9.0433886709123182E-3</v>
      </c>
      <c r="AI65" s="306">
        <f t="shared" si="43"/>
        <v>9.0718774346452893E-3</v>
      </c>
      <c r="AJ65" s="306">
        <f t="shared" si="43"/>
        <v>9.1068100987028409E-3</v>
      </c>
      <c r="AK65" s="306">
        <f t="shared" si="43"/>
        <v>9.1367371334824254E-3</v>
      </c>
      <c r="AL65" s="306">
        <f t="shared" si="43"/>
        <v>9.1687026461799281E-3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>
      <c r="L66" s="107" t="str">
        <f>'Occ T3'!A21</f>
        <v>34 Culture, media and sports occupations</v>
      </c>
      <c r="M66" s="306">
        <f t="shared" ref="M66:AG66" si="44">M19/M$49</f>
        <v>1.7473606048602243E-2</v>
      </c>
      <c r="N66" s="306">
        <f t="shared" si="44"/>
        <v>1.8465497281749552E-2</v>
      </c>
      <c r="O66" s="306">
        <f t="shared" si="44"/>
        <v>1.9832889278322462E-2</v>
      </c>
      <c r="P66" s="306">
        <f t="shared" si="44"/>
        <v>1.9651863747931431E-2</v>
      </c>
      <c r="Q66" s="306">
        <f t="shared" si="44"/>
        <v>2.1270888952191268E-2</v>
      </c>
      <c r="R66" s="306">
        <f t="shared" si="44"/>
        <v>2.189300969028261E-2</v>
      </c>
      <c r="S66" s="306">
        <f t="shared" si="44"/>
        <v>2.1350860016745198E-2</v>
      </c>
      <c r="T66" s="306">
        <f t="shared" si="44"/>
        <v>2.1911036135227567E-2</v>
      </c>
      <c r="U66" s="306">
        <f t="shared" si="44"/>
        <v>2.1988539944616185E-2</v>
      </c>
      <c r="V66" s="306">
        <f t="shared" si="44"/>
        <v>2.0765342209097853E-2</v>
      </c>
      <c r="W66" s="306">
        <f t="shared" si="44"/>
        <v>2.2805613280028465E-2</v>
      </c>
      <c r="X66" s="306">
        <f t="shared" si="44"/>
        <v>1.9899284074823931E-2</v>
      </c>
      <c r="Y66" s="306">
        <f t="shared" si="44"/>
        <v>1.9952595425066971E-2</v>
      </c>
      <c r="Z66" s="306">
        <f t="shared" si="44"/>
        <v>2.0042473901501445E-2</v>
      </c>
      <c r="AA66" s="306">
        <f t="shared" si="44"/>
        <v>2.0141003512683091E-2</v>
      </c>
      <c r="AB66" s="306">
        <f t="shared" si="44"/>
        <v>2.0231492724290794E-2</v>
      </c>
      <c r="AC66" s="306">
        <f t="shared" si="44"/>
        <v>2.0320907594042811E-2</v>
      </c>
      <c r="AD66" s="306">
        <f t="shared" si="44"/>
        <v>2.0411925426118905E-2</v>
      </c>
      <c r="AE66" s="306">
        <f t="shared" si="44"/>
        <v>2.0500287855648888E-2</v>
      </c>
      <c r="AF66" s="306">
        <f t="shared" si="44"/>
        <v>2.0589094752501116E-2</v>
      </c>
      <c r="AG66" s="306">
        <f t="shared" si="44"/>
        <v>2.0679643388306565E-2</v>
      </c>
      <c r="AH66" s="306">
        <f t="shared" ref="AH66:AL66" si="45">AH19/AH$49</f>
        <v>2.0770364711237731E-2</v>
      </c>
      <c r="AI66" s="306">
        <f t="shared" si="45"/>
        <v>2.0866503455572737E-2</v>
      </c>
      <c r="AJ66" s="306">
        <f t="shared" si="45"/>
        <v>2.0963217540788018E-2</v>
      </c>
      <c r="AK66" s="306">
        <f t="shared" si="45"/>
        <v>2.1065801077606559E-2</v>
      </c>
      <c r="AL66" s="306">
        <f t="shared" si="45"/>
        <v>2.11604331353628E-2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>
      <c r="L67" s="107" t="str">
        <f>'Occ T3'!A22</f>
        <v>35 Business and public service associate professionals</v>
      </c>
      <c r="M67" s="306">
        <f t="shared" ref="M67:AG67" si="46">M20/M$49</f>
        <v>6.4656820230456061E-2</v>
      </c>
      <c r="N67" s="306">
        <f t="shared" si="46"/>
        <v>6.0385998045271505E-2</v>
      </c>
      <c r="O67" s="306">
        <f t="shared" si="46"/>
        <v>6.2211375985119922E-2</v>
      </c>
      <c r="P67" s="306">
        <f t="shared" si="46"/>
        <v>6.1968122196310725E-2</v>
      </c>
      <c r="Q67" s="306">
        <f t="shared" si="46"/>
        <v>6.2999871781071234E-2</v>
      </c>
      <c r="R67" s="306">
        <f t="shared" si="46"/>
        <v>6.2635402497794909E-2</v>
      </c>
      <c r="S67" s="306">
        <f t="shared" si="46"/>
        <v>6.3089372600776877E-2</v>
      </c>
      <c r="T67" s="306">
        <f t="shared" si="46"/>
        <v>6.3567590989890857E-2</v>
      </c>
      <c r="U67" s="306">
        <f t="shared" si="46"/>
        <v>6.3247820692517179E-2</v>
      </c>
      <c r="V67" s="306">
        <f t="shared" si="46"/>
        <v>6.4026699914587842E-2</v>
      </c>
      <c r="W67" s="306">
        <f t="shared" si="46"/>
        <v>6.6682256720694735E-2</v>
      </c>
      <c r="X67" s="306">
        <f t="shared" si="46"/>
        <v>6.5470899338227279E-2</v>
      </c>
      <c r="Y67" s="306">
        <f t="shared" si="46"/>
        <v>6.5594831742657067E-2</v>
      </c>
      <c r="Z67" s="306">
        <f t="shared" si="46"/>
        <v>6.5683054513345537E-2</v>
      </c>
      <c r="AA67" s="306">
        <f t="shared" si="46"/>
        <v>6.5768567067815101E-2</v>
      </c>
      <c r="AB67" s="306">
        <f t="shared" si="46"/>
        <v>6.5855684564889355E-2</v>
      </c>
      <c r="AC67" s="306">
        <f t="shared" si="46"/>
        <v>6.5945951948664164E-2</v>
      </c>
      <c r="AD67" s="306">
        <f t="shared" si="46"/>
        <v>6.603686108196917E-2</v>
      </c>
      <c r="AE67" s="306">
        <f t="shared" si="46"/>
        <v>6.6129276228112571E-2</v>
      </c>
      <c r="AF67" s="306">
        <f t="shared" si="46"/>
        <v>6.6219839749344894E-2</v>
      </c>
      <c r="AG67" s="306">
        <f t="shared" si="46"/>
        <v>6.6310780658594345E-2</v>
      </c>
      <c r="AH67" s="306">
        <f t="shared" ref="AH67:AL67" si="47">AH20/AH$49</f>
        <v>6.6398827890024797E-2</v>
      </c>
      <c r="AI67" s="306">
        <f t="shared" si="47"/>
        <v>6.6489661385121898E-2</v>
      </c>
      <c r="AJ67" s="306">
        <f t="shared" si="47"/>
        <v>6.65784738486421E-2</v>
      </c>
      <c r="AK67" s="306">
        <f t="shared" si="47"/>
        <v>6.6669984919781336E-2</v>
      </c>
      <c r="AL67" s="306">
        <f t="shared" si="47"/>
        <v>6.6758197018724347E-2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>
      <c r="L68" s="107"/>
      <c r="M68" s="306"/>
      <c r="N68" s="306"/>
      <c r="O68" s="306"/>
      <c r="P68" s="306"/>
      <c r="Q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  <c r="AF68" s="306"/>
      <c r="AG68" s="306"/>
      <c r="AH68" s="306"/>
      <c r="AI68" s="306"/>
      <c r="AJ68" s="306"/>
      <c r="AK68" s="306"/>
      <c r="AL68" s="30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ht="12.95">
      <c r="L69" s="16" t="str">
        <f>'Occ T3'!A24</f>
        <v>Administrative and secretarial occupations</v>
      </c>
      <c r="M69" s="307">
        <f t="shared" ref="M69:AG69" si="48">M22/M$49</f>
        <v>0.11611471140817153</v>
      </c>
      <c r="N69" s="307">
        <f t="shared" si="48"/>
        <v>0.11410042814334485</v>
      </c>
      <c r="O69" s="307">
        <f t="shared" si="48"/>
        <v>0.11351543632333271</v>
      </c>
      <c r="P69" s="307">
        <f t="shared" si="48"/>
        <v>0.11109833999356657</v>
      </c>
      <c r="Q69" s="307">
        <f t="shared" si="48"/>
        <v>0.11027353723783551</v>
      </c>
      <c r="R69" s="307">
        <f t="shared" si="48"/>
        <v>0.10990629734659033</v>
      </c>
      <c r="S69" s="307">
        <f t="shared" si="48"/>
        <v>0.10477224297492219</v>
      </c>
      <c r="T69" s="307">
        <f t="shared" si="48"/>
        <v>0.10715355407975023</v>
      </c>
      <c r="U69" s="307">
        <f t="shared" si="48"/>
        <v>0.1053215355801726</v>
      </c>
      <c r="V69" s="307">
        <f t="shared" si="48"/>
        <v>0.10131171816117684</v>
      </c>
      <c r="W69" s="307">
        <f t="shared" si="48"/>
        <v>0.10514534594763153</v>
      </c>
      <c r="X69" s="307">
        <f t="shared" si="48"/>
        <v>0.10728223239881617</v>
      </c>
      <c r="Y69" s="307">
        <f t="shared" si="48"/>
        <v>0.10639177218790108</v>
      </c>
      <c r="Z69" s="307">
        <f t="shared" si="48"/>
        <v>0.10541951001808682</v>
      </c>
      <c r="AA69" s="307">
        <f t="shared" si="48"/>
        <v>0.10445983421836348</v>
      </c>
      <c r="AB69" s="307">
        <f t="shared" si="48"/>
        <v>0.1035134614705739</v>
      </c>
      <c r="AC69" s="307">
        <f t="shared" si="48"/>
        <v>0.10255690657271414</v>
      </c>
      <c r="AD69" s="307">
        <f t="shared" si="48"/>
        <v>0.10160382088298762</v>
      </c>
      <c r="AE69" s="307">
        <f t="shared" si="48"/>
        <v>0.10065751458646012</v>
      </c>
      <c r="AF69" s="307">
        <f t="shared" si="48"/>
        <v>9.969905393302525E-2</v>
      </c>
      <c r="AG69" s="307">
        <f t="shared" si="48"/>
        <v>9.8722963324502352E-2</v>
      </c>
      <c r="AH69" s="307">
        <f t="shared" ref="AH69:AL69" si="49">AH22/AH$49</f>
        <v>9.7743218417260538E-2</v>
      </c>
      <c r="AI69" s="307">
        <f t="shared" si="49"/>
        <v>9.6749976799409457E-2</v>
      </c>
      <c r="AJ69" s="307">
        <f t="shared" si="49"/>
        <v>9.5747011483570302E-2</v>
      </c>
      <c r="AK69" s="307">
        <f t="shared" si="49"/>
        <v>9.473633854275984E-2</v>
      </c>
      <c r="AL69" s="307">
        <f t="shared" si="49"/>
        <v>9.3742303796971169E-2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>
      <c r="L70" s="107" t="str">
        <f>'Occ T3'!A25</f>
        <v>41 Administrative occupations</v>
      </c>
      <c r="M70" s="306">
        <f t="shared" ref="M70:AG70" si="50">M23/M$49</f>
        <v>8.8348109147880965E-2</v>
      </c>
      <c r="N70" s="306">
        <f t="shared" si="50"/>
        <v>8.8965249043971947E-2</v>
      </c>
      <c r="O70" s="306">
        <f t="shared" si="50"/>
        <v>8.923603160865537E-2</v>
      </c>
      <c r="P70" s="306">
        <f t="shared" si="50"/>
        <v>8.6228046360798422E-2</v>
      </c>
      <c r="Q70" s="306">
        <f t="shared" si="50"/>
        <v>8.6134452703637496E-2</v>
      </c>
      <c r="R70" s="306">
        <f t="shared" si="50"/>
        <v>8.7566111389218174E-2</v>
      </c>
      <c r="S70" s="306">
        <f t="shared" si="50"/>
        <v>8.3847379152355364E-2</v>
      </c>
      <c r="T70" s="306">
        <f t="shared" si="50"/>
        <v>8.5685492887840276E-2</v>
      </c>
      <c r="U70" s="306">
        <f t="shared" si="50"/>
        <v>8.3652683834096964E-2</v>
      </c>
      <c r="V70" s="306">
        <f t="shared" si="50"/>
        <v>8.1839340738481411E-2</v>
      </c>
      <c r="W70" s="306">
        <f t="shared" si="50"/>
        <v>8.599421031428503E-2</v>
      </c>
      <c r="X70" s="306">
        <f t="shared" si="50"/>
        <v>8.8297797700002498E-2</v>
      </c>
      <c r="Y70" s="306">
        <f t="shared" si="50"/>
        <v>8.7858579449764329E-2</v>
      </c>
      <c r="Z70" s="306">
        <f t="shared" si="50"/>
        <v>8.7355942782692486E-2</v>
      </c>
      <c r="AA70" s="306">
        <f t="shared" si="50"/>
        <v>8.686284137193423E-2</v>
      </c>
      <c r="AB70" s="306">
        <f t="shared" si="50"/>
        <v>8.6372775477912E-2</v>
      </c>
      <c r="AC70" s="306">
        <f t="shared" si="50"/>
        <v>8.5884752447949297E-2</v>
      </c>
      <c r="AD70" s="306">
        <f t="shared" si="50"/>
        <v>8.5396617876540556E-2</v>
      </c>
      <c r="AE70" s="306">
        <f t="shared" si="50"/>
        <v>8.4910170568572432E-2</v>
      </c>
      <c r="AF70" s="306">
        <f t="shared" si="50"/>
        <v>8.4421002377037854E-2</v>
      </c>
      <c r="AG70" s="306">
        <f t="shared" si="50"/>
        <v>8.3928328746604497E-2</v>
      </c>
      <c r="AH70" s="306">
        <f t="shared" ref="AH70:AL70" si="51">AH23/AH$49</f>
        <v>8.3419307350763028E-2</v>
      </c>
      <c r="AI70" s="306">
        <f t="shared" si="51"/>
        <v>8.2903864005123992E-2</v>
      </c>
      <c r="AJ70" s="306">
        <f t="shared" si="51"/>
        <v>8.2378615558761081E-2</v>
      </c>
      <c r="AK70" s="306">
        <f t="shared" si="51"/>
        <v>8.1850606798264253E-2</v>
      </c>
      <c r="AL70" s="306">
        <f t="shared" si="51"/>
        <v>8.1321884231857502E-2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>
      <c r="L71" s="107" t="str">
        <f>'Occ T3'!A26</f>
        <v>42 Secretarial and related occupations</v>
      </c>
      <c r="M71" s="306">
        <f t="shared" ref="M71:AG71" si="52">M24/M$49</f>
        <v>2.7766602260290565E-2</v>
      </c>
      <c r="N71" s="306">
        <f t="shared" si="52"/>
        <v>2.5135179099372917E-2</v>
      </c>
      <c r="O71" s="306">
        <f t="shared" si="52"/>
        <v>2.4279404714677346E-2</v>
      </c>
      <c r="P71" s="306">
        <f t="shared" si="52"/>
        <v>2.4870293632768149E-2</v>
      </c>
      <c r="Q71" s="306">
        <f t="shared" si="52"/>
        <v>2.4139084534198007E-2</v>
      </c>
      <c r="R71" s="306">
        <f t="shared" si="52"/>
        <v>2.2340185957372159E-2</v>
      </c>
      <c r="S71" s="306">
        <f t="shared" si="52"/>
        <v>2.0924863822566822E-2</v>
      </c>
      <c r="T71" s="306">
        <f t="shared" si="52"/>
        <v>2.1468061191909946E-2</v>
      </c>
      <c r="U71" s="306">
        <f t="shared" si="52"/>
        <v>2.1668851746075631E-2</v>
      </c>
      <c r="V71" s="306">
        <f t="shared" si="52"/>
        <v>1.947237742269543E-2</v>
      </c>
      <c r="W71" s="306">
        <f t="shared" si="52"/>
        <v>1.9151135633346496E-2</v>
      </c>
      <c r="X71" s="306">
        <f t="shared" si="52"/>
        <v>1.8984434698813672E-2</v>
      </c>
      <c r="Y71" s="306">
        <f t="shared" si="52"/>
        <v>1.8533192738136743E-2</v>
      </c>
      <c r="Z71" s="306">
        <f t="shared" si="52"/>
        <v>1.8063567235394321E-2</v>
      </c>
      <c r="AA71" s="306">
        <f t="shared" si="52"/>
        <v>1.7596992846429259E-2</v>
      </c>
      <c r="AB71" s="306">
        <f t="shared" si="52"/>
        <v>1.7140685992661896E-2</v>
      </c>
      <c r="AC71" s="306">
        <f t="shared" si="52"/>
        <v>1.6672154124764846E-2</v>
      </c>
      <c r="AD71" s="306">
        <f t="shared" si="52"/>
        <v>1.6207203006447072E-2</v>
      </c>
      <c r="AE71" s="306">
        <f t="shared" si="52"/>
        <v>1.5747344017887681E-2</v>
      </c>
      <c r="AF71" s="306">
        <f t="shared" si="52"/>
        <v>1.5278051555987392E-2</v>
      </c>
      <c r="AG71" s="306">
        <f t="shared" si="52"/>
        <v>1.4794634577897852E-2</v>
      </c>
      <c r="AH71" s="306">
        <f t="shared" ref="AH71:AL71" si="53">AH24/AH$49</f>
        <v>1.4323911066497509E-2</v>
      </c>
      <c r="AI71" s="306">
        <f t="shared" si="53"/>
        <v>1.3846112794285451E-2</v>
      </c>
      <c r="AJ71" s="306">
        <f t="shared" si="53"/>
        <v>1.3368395924809219E-2</v>
      </c>
      <c r="AK71" s="306">
        <f t="shared" si="53"/>
        <v>1.2885731744495584E-2</v>
      </c>
      <c r="AL71" s="306">
        <f t="shared" si="53"/>
        <v>1.2420419565113656E-2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>
      <c r="L72" s="107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ht="12.95">
      <c r="L73" s="16" t="str">
        <f>'Occ T3'!A28</f>
        <v>Skilled trades occupations</v>
      </c>
      <c r="M73" s="307">
        <f t="shared" ref="M73:AG73" si="54">M26/M$49</f>
        <v>0.10264659369563088</v>
      </c>
      <c r="N73" s="307">
        <f t="shared" si="54"/>
        <v>0.10176497553535789</v>
      </c>
      <c r="O73" s="307">
        <f t="shared" si="54"/>
        <v>9.9461213367399534E-2</v>
      </c>
      <c r="P73" s="307">
        <f t="shared" si="54"/>
        <v>9.9446926085991955E-2</v>
      </c>
      <c r="Q73" s="307">
        <f t="shared" si="54"/>
        <v>0.10094056613921167</v>
      </c>
      <c r="R73" s="307">
        <f t="shared" si="54"/>
        <v>0.10084008974764556</v>
      </c>
      <c r="S73" s="307">
        <f t="shared" si="54"/>
        <v>9.7156810041248196E-2</v>
      </c>
      <c r="T73" s="307">
        <f t="shared" si="54"/>
        <v>9.7021006469132184E-2</v>
      </c>
      <c r="U73" s="307">
        <f t="shared" si="54"/>
        <v>9.3154225339128566E-2</v>
      </c>
      <c r="V73" s="307">
        <f t="shared" si="54"/>
        <v>9.4356538576228957E-2</v>
      </c>
      <c r="W73" s="307">
        <f t="shared" si="54"/>
        <v>8.3970495228167574E-2</v>
      </c>
      <c r="X73" s="307">
        <f t="shared" si="54"/>
        <v>8.4668381445394958E-2</v>
      </c>
      <c r="Y73" s="307">
        <f t="shared" si="54"/>
        <v>8.4089886676735809E-2</v>
      </c>
      <c r="Z73" s="307">
        <f t="shared" si="54"/>
        <v>8.3608350607547122E-2</v>
      </c>
      <c r="AA73" s="307">
        <f t="shared" si="54"/>
        <v>8.3094323196002684E-2</v>
      </c>
      <c r="AB73" s="307">
        <f t="shared" si="54"/>
        <v>8.2520315068468353E-2</v>
      </c>
      <c r="AC73" s="307">
        <f t="shared" si="54"/>
        <v>8.1961042476217633E-2</v>
      </c>
      <c r="AD73" s="307">
        <f t="shared" si="54"/>
        <v>8.1400850320411569E-2</v>
      </c>
      <c r="AE73" s="307">
        <f t="shared" si="54"/>
        <v>8.0842450730355425E-2</v>
      </c>
      <c r="AF73" s="307">
        <f t="shared" si="54"/>
        <v>8.0286251025942362E-2</v>
      </c>
      <c r="AG73" s="307">
        <f t="shared" si="54"/>
        <v>7.9739706580489275E-2</v>
      </c>
      <c r="AH73" s="307">
        <f t="shared" ref="AH73:AL73" si="55">AH26/AH$49</f>
        <v>7.9193518514123359E-2</v>
      </c>
      <c r="AI73" s="307">
        <f t="shared" si="55"/>
        <v>7.8647239135663807E-2</v>
      </c>
      <c r="AJ73" s="307">
        <f t="shared" si="55"/>
        <v>7.8100893174077132E-2</v>
      </c>
      <c r="AK73" s="307">
        <f t="shared" si="55"/>
        <v>7.7554687567182451E-2</v>
      </c>
      <c r="AL73" s="307">
        <f t="shared" si="55"/>
        <v>7.7011298143689594E-2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>
      <c r="L74" s="107" t="str">
        <f>'Occ T3'!A29</f>
        <v>51 Skilled agricultural and related trades</v>
      </c>
      <c r="M74" s="306">
        <f t="shared" ref="M74:AG74" si="56">M27/M$49</f>
        <v>1.0289068819308135E-2</v>
      </c>
      <c r="N74" s="306">
        <f t="shared" si="56"/>
        <v>1.0436773343511428E-2</v>
      </c>
      <c r="O74" s="306">
        <f t="shared" si="56"/>
        <v>1.072422255418169E-2</v>
      </c>
      <c r="P74" s="306">
        <f t="shared" si="56"/>
        <v>9.8562931511723666E-3</v>
      </c>
      <c r="Q74" s="306">
        <f t="shared" si="56"/>
        <v>1.0616525307020862E-2</v>
      </c>
      <c r="R74" s="306">
        <f t="shared" si="56"/>
        <v>1.0428421705441985E-2</v>
      </c>
      <c r="S74" s="306">
        <f t="shared" si="56"/>
        <v>1.0051052334928487E-2</v>
      </c>
      <c r="T74" s="306">
        <f t="shared" si="56"/>
        <v>9.2248349038362987E-3</v>
      </c>
      <c r="U74" s="306">
        <f t="shared" si="56"/>
        <v>9.3330115935641427E-3</v>
      </c>
      <c r="V74" s="306">
        <f t="shared" si="56"/>
        <v>1.0004641552381273E-2</v>
      </c>
      <c r="W74" s="306">
        <f t="shared" si="56"/>
        <v>9.1081691611426662E-3</v>
      </c>
      <c r="X74" s="306">
        <f t="shared" si="56"/>
        <v>8.5524485215571489E-3</v>
      </c>
      <c r="Y74" s="306">
        <f t="shared" si="56"/>
        <v>8.5843329703034384E-3</v>
      </c>
      <c r="Z74" s="306">
        <f t="shared" si="56"/>
        <v>8.6459119909190127E-3</v>
      </c>
      <c r="AA74" s="306">
        <f t="shared" si="56"/>
        <v>8.7087876617998952E-3</v>
      </c>
      <c r="AB74" s="306">
        <f t="shared" si="56"/>
        <v>8.7608439729727067E-3</v>
      </c>
      <c r="AC74" s="306">
        <f t="shared" si="56"/>
        <v>8.8120452670100609E-3</v>
      </c>
      <c r="AD74" s="306">
        <f t="shared" si="56"/>
        <v>8.861436551558766E-3</v>
      </c>
      <c r="AE74" s="306">
        <f t="shared" si="56"/>
        <v>8.911007136913441E-3</v>
      </c>
      <c r="AF74" s="306">
        <f t="shared" si="56"/>
        <v>8.9607083059908606E-3</v>
      </c>
      <c r="AG74" s="306">
        <f t="shared" si="56"/>
        <v>9.0129675816284748E-3</v>
      </c>
      <c r="AH74" s="306">
        <f t="shared" ref="AH74:AL74" si="57">AH27/AH$49</f>
        <v>9.0667858118441691E-3</v>
      </c>
      <c r="AI74" s="306">
        <f t="shared" si="57"/>
        <v>9.1220627338534418E-3</v>
      </c>
      <c r="AJ74" s="306">
        <f t="shared" si="57"/>
        <v>9.1783609270587613E-3</v>
      </c>
      <c r="AK74" s="306">
        <f t="shared" si="57"/>
        <v>9.2347717062299748E-3</v>
      </c>
      <c r="AL74" s="306">
        <f t="shared" si="57"/>
        <v>9.2927067999374093E-3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>
      <c r="L75" s="107" t="str">
        <f>'Occ T3'!A30</f>
        <v>52 Skilled metal, electrical and electronic trades</v>
      </c>
      <c r="M75" s="306">
        <f t="shared" ref="M75:AG75" si="58">M28/M$49</f>
        <v>3.613681790255853E-2</v>
      </c>
      <c r="N75" s="306">
        <f t="shared" si="58"/>
        <v>3.7256087314988612E-2</v>
      </c>
      <c r="O75" s="306">
        <f t="shared" si="58"/>
        <v>3.4949714634241368E-2</v>
      </c>
      <c r="P75" s="306">
        <f t="shared" si="58"/>
        <v>3.5710969639988925E-2</v>
      </c>
      <c r="Q75" s="306">
        <f t="shared" si="58"/>
        <v>3.6659388997867068E-2</v>
      </c>
      <c r="R75" s="306">
        <f t="shared" si="58"/>
        <v>3.6367644143597916E-2</v>
      </c>
      <c r="S75" s="306">
        <f t="shared" si="58"/>
        <v>3.5315355077788338E-2</v>
      </c>
      <c r="T75" s="306">
        <f t="shared" si="58"/>
        <v>3.4726778099693684E-2</v>
      </c>
      <c r="U75" s="306">
        <f t="shared" si="58"/>
        <v>3.4064964754053122E-2</v>
      </c>
      <c r="V75" s="306">
        <f t="shared" si="58"/>
        <v>3.5223013066878889E-2</v>
      </c>
      <c r="W75" s="306">
        <f t="shared" si="58"/>
        <v>3.0877043873783847E-2</v>
      </c>
      <c r="X75" s="306">
        <f t="shared" si="58"/>
        <v>3.0967042023263339E-2</v>
      </c>
      <c r="Y75" s="306">
        <f t="shared" si="58"/>
        <v>3.068119870505278E-2</v>
      </c>
      <c r="Z75" s="306">
        <f t="shared" si="58"/>
        <v>3.0404682010594701E-2</v>
      </c>
      <c r="AA75" s="306">
        <f t="shared" si="58"/>
        <v>3.011927352365773E-2</v>
      </c>
      <c r="AB75" s="306">
        <f t="shared" si="58"/>
        <v>2.9822252586699485E-2</v>
      </c>
      <c r="AC75" s="306">
        <f t="shared" si="58"/>
        <v>2.9529026104059903E-2</v>
      </c>
      <c r="AD75" s="306">
        <f t="shared" si="58"/>
        <v>2.9234932849545699E-2</v>
      </c>
      <c r="AE75" s="306">
        <f t="shared" si="58"/>
        <v>2.8945396087242975E-2</v>
      </c>
      <c r="AF75" s="306">
        <f t="shared" si="58"/>
        <v>2.8658593711920297E-2</v>
      </c>
      <c r="AG75" s="306">
        <f t="shared" si="58"/>
        <v>2.8376700961897504E-2</v>
      </c>
      <c r="AH75" s="306">
        <f t="shared" ref="AH75:AL75" si="59">AH28/AH$49</f>
        <v>2.8096021194910156E-2</v>
      </c>
      <c r="AI75" s="306">
        <f t="shared" si="59"/>
        <v>2.7817735725856729E-2</v>
      </c>
      <c r="AJ75" s="306">
        <f t="shared" si="59"/>
        <v>2.7539085142393008E-2</v>
      </c>
      <c r="AK75" s="306">
        <f t="shared" si="59"/>
        <v>2.726242821372088E-2</v>
      </c>
      <c r="AL75" s="306">
        <f t="shared" si="59"/>
        <v>2.6986984842060392E-2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>
      <c r="L76" s="107" t="str">
        <f>'Occ T3'!A31</f>
        <v>53 Skilled construction and building trades</v>
      </c>
      <c r="M76" s="306">
        <f t="shared" ref="M76:AG76" si="60">M29/M$49</f>
        <v>3.5439637063755108E-2</v>
      </c>
      <c r="N76" s="306">
        <f t="shared" si="60"/>
        <v>3.3270080492454224E-2</v>
      </c>
      <c r="O76" s="306">
        <f t="shared" si="60"/>
        <v>3.1911759174474225E-2</v>
      </c>
      <c r="P76" s="306">
        <f t="shared" si="60"/>
        <v>3.2368003700564411E-2</v>
      </c>
      <c r="Q76" s="306">
        <f t="shared" si="60"/>
        <v>3.18740066398914E-2</v>
      </c>
      <c r="R76" s="306">
        <f t="shared" si="60"/>
        <v>3.2042901918290699E-2</v>
      </c>
      <c r="S76" s="306">
        <f t="shared" si="60"/>
        <v>3.0461084422635405E-2</v>
      </c>
      <c r="T76" s="306">
        <f t="shared" si="60"/>
        <v>3.1554253040406134E-2</v>
      </c>
      <c r="U76" s="306">
        <f t="shared" si="60"/>
        <v>2.9361886428905977E-2</v>
      </c>
      <c r="V76" s="306">
        <f t="shared" si="60"/>
        <v>3.0033581806341761E-2</v>
      </c>
      <c r="W76" s="306">
        <f t="shared" si="60"/>
        <v>2.5774299409604361E-2</v>
      </c>
      <c r="X76" s="306">
        <f t="shared" si="60"/>
        <v>2.6260221335866613E-2</v>
      </c>
      <c r="Y76" s="306">
        <f t="shared" si="60"/>
        <v>2.5970045558333134E-2</v>
      </c>
      <c r="Z76" s="306">
        <f t="shared" si="60"/>
        <v>2.5740028151009439E-2</v>
      </c>
      <c r="AA76" s="306">
        <f t="shared" si="60"/>
        <v>2.549259108577941E-2</v>
      </c>
      <c r="AB76" s="306">
        <f t="shared" si="60"/>
        <v>2.5208076425186719E-2</v>
      </c>
      <c r="AC76" s="306">
        <f t="shared" si="60"/>
        <v>2.4927050693869548E-2</v>
      </c>
      <c r="AD76" s="306">
        <f t="shared" si="60"/>
        <v>2.464674012812236E-2</v>
      </c>
      <c r="AE76" s="306">
        <f t="shared" si="60"/>
        <v>2.436657546744251E-2</v>
      </c>
      <c r="AF76" s="306">
        <f t="shared" si="60"/>
        <v>2.4084235449481798E-2</v>
      </c>
      <c r="AG76" s="306">
        <f t="shared" si="60"/>
        <v>2.3804267438540024E-2</v>
      </c>
      <c r="AH76" s="306">
        <f t="shared" ref="AH76:AL76" si="61">AH29/AH$49</f>
        <v>2.3524996690466909E-2</v>
      </c>
      <c r="AI76" s="306">
        <f t="shared" si="61"/>
        <v>2.3246254312022038E-2</v>
      </c>
      <c r="AJ76" s="306">
        <f t="shared" si="61"/>
        <v>2.2967752393736322E-2</v>
      </c>
      <c r="AK76" s="306">
        <f t="shared" si="61"/>
        <v>2.2689303626840625E-2</v>
      </c>
      <c r="AL76" s="306">
        <f t="shared" si="61"/>
        <v>2.2410227133964095E-2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>
      <c r="L77" s="107" t="str">
        <f>'Occ T3'!A32</f>
        <v>54 Textiles, printing and other skilled trades</v>
      </c>
      <c r="M77" s="306">
        <f t="shared" ref="M77:AG77" si="62">M30/M$49</f>
        <v>2.0781069910009109E-2</v>
      </c>
      <c r="N77" s="306">
        <f t="shared" si="62"/>
        <v>2.0802034384403631E-2</v>
      </c>
      <c r="O77" s="306">
        <f t="shared" si="62"/>
        <v>2.1875517004502253E-2</v>
      </c>
      <c r="P77" s="306">
        <f t="shared" si="62"/>
        <v>2.1511659594266243E-2</v>
      </c>
      <c r="Q77" s="306">
        <f t="shared" si="62"/>
        <v>2.1790645194432325E-2</v>
      </c>
      <c r="R77" s="306">
        <f t="shared" si="62"/>
        <v>2.2001121980314987E-2</v>
      </c>
      <c r="S77" s="306">
        <f t="shared" si="62"/>
        <v>2.1329318205895977E-2</v>
      </c>
      <c r="T77" s="306">
        <f t="shared" si="62"/>
        <v>2.1515140425196064E-2</v>
      </c>
      <c r="U77" s="306">
        <f t="shared" si="62"/>
        <v>2.0394362562605323E-2</v>
      </c>
      <c r="V77" s="306">
        <f t="shared" si="62"/>
        <v>1.9095302150627033E-2</v>
      </c>
      <c r="W77" s="306">
        <f t="shared" si="62"/>
        <v>1.8210982783636698E-2</v>
      </c>
      <c r="X77" s="306">
        <f t="shared" si="62"/>
        <v>1.888866956470785E-2</v>
      </c>
      <c r="Y77" s="306">
        <f t="shared" si="62"/>
        <v>1.8854309443046457E-2</v>
      </c>
      <c r="Z77" s="306">
        <f t="shared" si="62"/>
        <v>1.8817728455023972E-2</v>
      </c>
      <c r="AA77" s="306">
        <f t="shared" si="62"/>
        <v>1.8773670924765656E-2</v>
      </c>
      <c r="AB77" s="306">
        <f t="shared" si="62"/>
        <v>1.8729142083609446E-2</v>
      </c>
      <c r="AC77" s="306">
        <f t="shared" si="62"/>
        <v>1.8692920411278111E-2</v>
      </c>
      <c r="AD77" s="306">
        <f t="shared" si="62"/>
        <v>1.8657740791184752E-2</v>
      </c>
      <c r="AE77" s="306">
        <f t="shared" si="62"/>
        <v>1.8619472038756496E-2</v>
      </c>
      <c r="AF77" s="306">
        <f t="shared" si="62"/>
        <v>1.8582713558549412E-2</v>
      </c>
      <c r="AG77" s="306">
        <f t="shared" si="62"/>
        <v>1.8545770598423269E-2</v>
      </c>
      <c r="AH77" s="306">
        <f t="shared" ref="AH77:AL77" si="63">AH30/AH$49</f>
        <v>1.8505714816902125E-2</v>
      </c>
      <c r="AI77" s="306">
        <f t="shared" si="63"/>
        <v>1.8461186363931605E-2</v>
      </c>
      <c r="AJ77" s="306">
        <f t="shared" si="63"/>
        <v>1.8415694710889042E-2</v>
      </c>
      <c r="AK77" s="306">
        <f t="shared" si="63"/>
        <v>1.8368184020390969E-2</v>
      </c>
      <c r="AL77" s="306">
        <f t="shared" si="63"/>
        <v>1.8321379367727708E-2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>
      <c r="L78" s="107"/>
      <c r="M78" s="306"/>
      <c r="N78" s="306"/>
      <c r="O78" s="306"/>
      <c r="P78" s="306"/>
      <c r="Q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  <c r="AF78" s="306"/>
      <c r="AG78" s="306"/>
      <c r="AH78" s="306"/>
      <c r="AI78" s="306"/>
      <c r="AJ78" s="306"/>
      <c r="AK78" s="306"/>
      <c r="AL78" s="30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ht="12.95">
      <c r="L79" s="16" t="str">
        <f>'Occ T3'!A34</f>
        <v>Caring, leisure and other service occupations</v>
      </c>
      <c r="M79" s="307">
        <f>M32/M$49</f>
        <v>9.4744001379455628E-2</v>
      </c>
      <c r="N79" s="307">
        <f t="shared" ref="N79:AG79" si="64">N32/N$49</f>
        <v>9.187837497499951E-2</v>
      </c>
      <c r="O79" s="307">
        <f t="shared" si="64"/>
        <v>9.1029118932225234E-2</v>
      </c>
      <c r="P79" s="307">
        <f t="shared" si="64"/>
        <v>9.2714869474260289E-2</v>
      </c>
      <c r="Q79" s="307">
        <f t="shared" si="64"/>
        <v>9.320970829367628E-2</v>
      </c>
      <c r="R79" s="307">
        <f t="shared" si="64"/>
        <v>9.3748632768063958E-2</v>
      </c>
      <c r="S79" s="307">
        <f t="shared" si="64"/>
        <v>9.4493883137619195E-2</v>
      </c>
      <c r="T79" s="307">
        <f t="shared" si="64"/>
        <v>9.3527895334279632E-2</v>
      </c>
      <c r="U79" s="307">
        <f t="shared" si="64"/>
        <v>9.1103909764815111E-2</v>
      </c>
      <c r="V79" s="307">
        <f t="shared" si="64"/>
        <v>9.2509791724131346E-2</v>
      </c>
      <c r="W79" s="307">
        <f t="shared" si="64"/>
        <v>8.9703055707075915E-2</v>
      </c>
      <c r="X79" s="307">
        <f t="shared" si="64"/>
        <v>8.8070194394231249E-2</v>
      </c>
      <c r="Y79" s="307">
        <f t="shared" si="64"/>
        <v>8.8269111190631175E-2</v>
      </c>
      <c r="Z79" s="307">
        <f t="shared" si="64"/>
        <v>8.8430142822548075E-2</v>
      </c>
      <c r="AA79" s="307">
        <f t="shared" si="64"/>
        <v>8.8617672893185395E-2</v>
      </c>
      <c r="AB79" s="307">
        <f t="shared" si="64"/>
        <v>8.8836306861618169E-2</v>
      </c>
      <c r="AC79" s="307">
        <f t="shared" si="64"/>
        <v>8.9049334525674984E-2</v>
      </c>
      <c r="AD79" s="307">
        <f t="shared" si="64"/>
        <v>8.9265470992610799E-2</v>
      </c>
      <c r="AE79" s="307">
        <f t="shared" si="64"/>
        <v>8.9479836003044641E-2</v>
      </c>
      <c r="AF79" s="307">
        <f t="shared" si="64"/>
        <v>8.9699017745514073E-2</v>
      </c>
      <c r="AG79" s="307">
        <f t="shared" si="64"/>
        <v>8.9915370479009757E-2</v>
      </c>
      <c r="AH79" s="307">
        <f t="shared" ref="AH79:AL79" si="65">AH32/AH$49</f>
        <v>9.0136024010396845E-2</v>
      </c>
      <c r="AI79" s="307">
        <f t="shared" si="65"/>
        <v>9.0360182246348314E-2</v>
      </c>
      <c r="AJ79" s="307">
        <f t="shared" si="65"/>
        <v>9.0589449703957881E-2</v>
      </c>
      <c r="AK79" s="307">
        <f t="shared" si="65"/>
        <v>9.0819817746115403E-2</v>
      </c>
      <c r="AL79" s="307">
        <f t="shared" si="65"/>
        <v>9.1049238012306036E-2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>
      <c r="L80" s="107" t="str">
        <f>'Occ T3'!A35</f>
        <v>61 Caring personal service occupations</v>
      </c>
      <c r="M80" s="306">
        <f t="shared" ref="M80:AG80" si="66">M33/M$49</f>
        <v>7.1934825561154228E-2</v>
      </c>
      <c r="N80" s="306">
        <f t="shared" si="66"/>
        <v>6.810348276690735E-2</v>
      </c>
      <c r="O80" s="306">
        <f t="shared" si="66"/>
        <v>6.7923369520046822E-2</v>
      </c>
      <c r="P80" s="306">
        <f t="shared" si="66"/>
        <v>6.9578090864236358E-2</v>
      </c>
      <c r="Q80" s="306">
        <f t="shared" si="66"/>
        <v>7.0410574745458643E-2</v>
      </c>
      <c r="R80" s="306">
        <f t="shared" si="66"/>
        <v>7.0848500427905525E-2</v>
      </c>
      <c r="S80" s="306">
        <f t="shared" si="66"/>
        <v>7.1842037252191612E-2</v>
      </c>
      <c r="T80" s="306">
        <f t="shared" si="66"/>
        <v>7.1012488539579852E-2</v>
      </c>
      <c r="U80" s="306">
        <f t="shared" si="66"/>
        <v>6.9045247786866687E-2</v>
      </c>
      <c r="V80" s="306">
        <f t="shared" si="66"/>
        <v>6.9169625277259145E-2</v>
      </c>
      <c r="W80" s="306">
        <f t="shared" si="66"/>
        <v>6.7644192230072772E-2</v>
      </c>
      <c r="X80" s="306">
        <f t="shared" si="66"/>
        <v>6.7890798361195423E-2</v>
      </c>
      <c r="Y80" s="306">
        <f t="shared" si="66"/>
        <v>6.8143971282774676E-2</v>
      </c>
      <c r="Z80" s="306">
        <f t="shared" si="66"/>
        <v>6.835148376944794E-2</v>
      </c>
      <c r="AA80" s="306">
        <f t="shared" si="66"/>
        <v>6.8577964488509141E-2</v>
      </c>
      <c r="AB80" s="306">
        <f t="shared" si="66"/>
        <v>6.8834896357078623E-2</v>
      </c>
      <c r="AC80" s="306">
        <f t="shared" si="66"/>
        <v>6.9087849096066772E-2</v>
      </c>
      <c r="AD80" s="306">
        <f t="shared" si="66"/>
        <v>6.9342835611658563E-2</v>
      </c>
      <c r="AE80" s="306">
        <f t="shared" si="66"/>
        <v>6.9596521396507058E-2</v>
      </c>
      <c r="AF80" s="306">
        <f t="shared" si="66"/>
        <v>6.9856307195945447E-2</v>
      </c>
      <c r="AG80" s="306">
        <f t="shared" si="66"/>
        <v>7.0116145082287806E-2</v>
      </c>
      <c r="AH80" s="306">
        <f t="shared" ref="AH80:AL80" si="67">AH33/AH$49</f>
        <v>7.038229847488929E-2</v>
      </c>
      <c r="AI80" s="306">
        <f t="shared" si="67"/>
        <v>7.0651294713280424E-2</v>
      </c>
      <c r="AJ80" s="306">
        <f t="shared" si="67"/>
        <v>7.0923155036806657E-2</v>
      </c>
      <c r="AK80" s="306">
        <f t="shared" si="67"/>
        <v>7.119704251846723E-2</v>
      </c>
      <c r="AL80" s="306">
        <f t="shared" si="67"/>
        <v>7.1470050417843892E-2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>
      <c r="L81" s="107" t="str">
        <f>'Occ T3'!A36</f>
        <v>62 Leisure, travel and related personal service occupations</v>
      </c>
      <c r="M81" s="306">
        <f t="shared" ref="M81:AG82" si="68">M34/M$49</f>
        <v>2.1206084662083343E-2</v>
      </c>
      <c r="N81" s="306">
        <f t="shared" si="68"/>
        <v>2.2635830097004948E-2</v>
      </c>
      <c r="O81" s="306">
        <f t="shared" si="68"/>
        <v>2.2011221481484711E-2</v>
      </c>
      <c r="P81" s="306">
        <f t="shared" si="68"/>
        <v>2.215554049428993E-2</v>
      </c>
      <c r="Q81" s="306">
        <f t="shared" si="68"/>
        <v>2.1712398453085546E-2</v>
      </c>
      <c r="R81" s="306">
        <f t="shared" si="68"/>
        <v>2.189370954843364E-2</v>
      </c>
      <c r="S81" s="306">
        <f t="shared" si="68"/>
        <v>2.1807017225997979E-2</v>
      </c>
      <c r="T81" s="306">
        <f t="shared" si="68"/>
        <v>2.1625245814022396E-2</v>
      </c>
      <c r="U81" s="306">
        <f t="shared" si="68"/>
        <v>2.1149501444739829E-2</v>
      </c>
      <c r="V81" s="306">
        <f t="shared" si="68"/>
        <v>2.2516824905742281E-2</v>
      </c>
      <c r="W81" s="306">
        <f t="shared" si="68"/>
        <v>2.1020575426792688E-2</v>
      </c>
      <c r="X81" s="306">
        <f t="shared" si="68"/>
        <v>1.9448589516503089E-2</v>
      </c>
      <c r="Y81" s="306">
        <f t="shared" si="68"/>
        <v>1.9389221407182723E-2</v>
      </c>
      <c r="Z81" s="306">
        <f t="shared" si="68"/>
        <v>1.9338639902950042E-2</v>
      </c>
      <c r="AA81" s="306">
        <f t="shared" si="68"/>
        <v>1.9295590472258997E-2</v>
      </c>
      <c r="AB81" s="306">
        <f t="shared" si="68"/>
        <v>1.9253494486156267E-2</v>
      </c>
      <c r="AC81" s="306">
        <f t="shared" si="68"/>
        <v>1.9209988386203154E-2</v>
      </c>
      <c r="AD81" s="306">
        <f t="shared" si="68"/>
        <v>1.9167667863838368E-2</v>
      </c>
      <c r="AE81" s="306">
        <f t="shared" si="68"/>
        <v>1.9124919384322314E-2</v>
      </c>
      <c r="AF81" s="306">
        <f t="shared" si="68"/>
        <v>1.9080546648062507E-2</v>
      </c>
      <c r="AG81" s="306">
        <f t="shared" si="68"/>
        <v>1.9033510015968452E-2</v>
      </c>
      <c r="AH81" s="306">
        <f t="shared" ref="AH81:AL81" si="69">AH34/AH$49</f>
        <v>1.8984473445722783E-2</v>
      </c>
      <c r="AI81" s="306">
        <f t="shared" si="69"/>
        <v>1.8936275584808277E-2</v>
      </c>
      <c r="AJ81" s="306">
        <f t="shared" si="69"/>
        <v>1.8889990309694057E-2</v>
      </c>
      <c r="AK81" s="306">
        <f t="shared" si="69"/>
        <v>1.8843168228292122E-2</v>
      </c>
      <c r="AL81" s="306">
        <f t="shared" si="69"/>
        <v>1.8796169668757343E-2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>
      <c r="L82" s="107" t="str">
        <f>'Occ T3'!A37</f>
        <v>63 Community and civil enforcement occupations</v>
      </c>
      <c r="M82" s="306">
        <f>M35/M$49</f>
        <v>1.6030911562180789E-3</v>
      </c>
      <c r="N82" s="306">
        <f t="shared" si="68"/>
        <v>1.1390621110872216E-3</v>
      </c>
      <c r="O82" s="306">
        <f t="shared" si="68"/>
        <v>1.0945279306937203E-3</v>
      </c>
      <c r="P82" s="306">
        <f t="shared" si="68"/>
        <v>9.8123811573401411E-4</v>
      </c>
      <c r="Q82" s="306">
        <f t="shared" si="68"/>
        <v>1.0867350951320901E-3</v>
      </c>
      <c r="R82" s="306">
        <f t="shared" si="68"/>
        <v>1.0064227917247976E-3</v>
      </c>
      <c r="S82" s="306">
        <f t="shared" si="68"/>
        <v>8.4482865942961361E-4</v>
      </c>
      <c r="T82" s="306">
        <f t="shared" si="68"/>
        <v>8.9016098067737869E-4</v>
      </c>
      <c r="U82" s="306">
        <f t="shared" si="68"/>
        <v>9.0916053320859306E-4</v>
      </c>
      <c r="V82" s="306">
        <f t="shared" si="68"/>
        <v>8.2334154112991226E-4</v>
      </c>
      <c r="W82" s="306">
        <f t="shared" si="68"/>
        <v>1.0382880502104474E-3</v>
      </c>
      <c r="X82" s="306">
        <f t="shared" si="68"/>
        <v>7.308065165327445E-4</v>
      </c>
      <c r="Y82" s="306">
        <f t="shared" si="68"/>
        <v>7.3591850067377253E-4</v>
      </c>
      <c r="Z82" s="306">
        <f t="shared" si="68"/>
        <v>7.400191501500962E-4</v>
      </c>
      <c r="AA82" s="306">
        <f t="shared" si="68"/>
        <v>7.441179324172533E-4</v>
      </c>
      <c r="AB82" s="306">
        <f t="shared" si="68"/>
        <v>7.4791601838328041E-4</v>
      </c>
      <c r="AC82" s="306">
        <f t="shared" si="68"/>
        <v>7.5149704340505272E-4</v>
      </c>
      <c r="AD82" s="306">
        <f t="shared" si="68"/>
        <v>7.549675171138725E-4</v>
      </c>
      <c r="AE82" s="306">
        <f t="shared" si="68"/>
        <v>7.5839522221527822E-4</v>
      </c>
      <c r="AF82" s="306">
        <f t="shared" si="68"/>
        <v>7.6216390150611211E-4</v>
      </c>
      <c r="AG82" s="306">
        <f t="shared" si="68"/>
        <v>7.6571538075351155E-4</v>
      </c>
      <c r="AH82" s="306">
        <f t="shared" ref="AH82:AL82" si="70">AH35/AH$49</f>
        <v>7.6925208978477315E-4</v>
      </c>
      <c r="AI82" s="306">
        <f t="shared" si="70"/>
        <v>7.7261194825961469E-4</v>
      </c>
      <c r="AJ82" s="306">
        <f t="shared" si="70"/>
        <v>7.7630435745716891E-4</v>
      </c>
      <c r="AK82" s="306">
        <f t="shared" si="70"/>
        <v>7.7960699935604959E-4</v>
      </c>
      <c r="AL82" s="306">
        <f t="shared" si="70"/>
        <v>7.8301792570478485E-4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>
      <c r="L83" s="107"/>
      <c r="M83" s="306"/>
      <c r="N83" s="306"/>
      <c r="O83" s="306"/>
      <c r="P83" s="306"/>
      <c r="Q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  <c r="AF83" s="306"/>
      <c r="AG83" s="306"/>
      <c r="AH83" s="306"/>
      <c r="AI83" s="306"/>
      <c r="AJ83" s="306"/>
      <c r="AK83" s="306"/>
      <c r="AL83" s="30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ht="12.95">
      <c r="L84" s="16" t="str">
        <f>'Occ T3'!A39</f>
        <v>Sales and customer service occupations</v>
      </c>
      <c r="M84" s="307">
        <f t="shared" ref="M84:AG84" si="71">M37/M$49</f>
        <v>8.4223205133026682E-2</v>
      </c>
      <c r="N84" s="307">
        <f t="shared" si="71"/>
        <v>8.85327277461158E-2</v>
      </c>
      <c r="O84" s="307">
        <f t="shared" si="71"/>
        <v>9.0310513676560594E-2</v>
      </c>
      <c r="P84" s="307">
        <f t="shared" si="71"/>
        <v>8.7706348828915051E-2</v>
      </c>
      <c r="Q84" s="307">
        <f t="shared" si="71"/>
        <v>8.6000829397859552E-2</v>
      </c>
      <c r="R84" s="307">
        <f t="shared" si="71"/>
        <v>8.5556251486458804E-2</v>
      </c>
      <c r="S84" s="307">
        <f t="shared" si="71"/>
        <v>8.485449278417255E-2</v>
      </c>
      <c r="T84" s="307">
        <f t="shared" si="71"/>
        <v>8.318221007032589E-2</v>
      </c>
      <c r="U84" s="307">
        <f t="shared" si="71"/>
        <v>8.1784269134784857E-2</v>
      </c>
      <c r="V84" s="307">
        <f t="shared" si="71"/>
        <v>7.9140802894419826E-2</v>
      </c>
      <c r="W84" s="307">
        <f t="shared" si="71"/>
        <v>7.9165239186402614E-2</v>
      </c>
      <c r="X84" s="307">
        <f t="shared" si="71"/>
        <v>7.8879741527657629E-2</v>
      </c>
      <c r="Y84" s="307">
        <f t="shared" si="71"/>
        <v>7.8643364064119148E-2</v>
      </c>
      <c r="Z84" s="307">
        <f t="shared" si="71"/>
        <v>7.8383989324487952E-2</v>
      </c>
      <c r="AA84" s="307">
        <f t="shared" si="71"/>
        <v>7.8134282656399739E-2</v>
      </c>
      <c r="AB84" s="307">
        <f t="shared" si="71"/>
        <v>7.7896730878275131E-2</v>
      </c>
      <c r="AC84" s="307">
        <f t="shared" si="71"/>
        <v>7.7647419164998135E-2</v>
      </c>
      <c r="AD84" s="307">
        <f t="shared" si="71"/>
        <v>7.7394129833405004E-2</v>
      </c>
      <c r="AE84" s="307">
        <f t="shared" si="71"/>
        <v>7.7129767885148942E-2</v>
      </c>
      <c r="AF84" s="307">
        <f t="shared" si="71"/>
        <v>7.6859821869430051E-2</v>
      </c>
      <c r="AG84" s="307">
        <f t="shared" si="71"/>
        <v>7.6568753387682625E-2</v>
      </c>
      <c r="AH84" s="307">
        <f t="shared" ref="AH84:AL84" si="72">AH37/AH$49</f>
        <v>7.6279303030612616E-2</v>
      </c>
      <c r="AI84" s="307">
        <f t="shared" si="72"/>
        <v>7.5989230921841261E-2</v>
      </c>
      <c r="AJ84" s="307">
        <f t="shared" si="72"/>
        <v>7.5694267114191111E-2</v>
      </c>
      <c r="AK84" s="307">
        <f t="shared" si="72"/>
        <v>7.539417239341685E-2</v>
      </c>
      <c r="AL84" s="307">
        <f t="shared" si="72"/>
        <v>7.5093226688396075E-2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>
      <c r="L85" s="107" t="str">
        <f>'Occ T3'!A40</f>
        <v>71 Sales occupations</v>
      </c>
      <c r="M85" s="306">
        <f t="shared" ref="M85:AG85" si="73">M38/M$49</f>
        <v>6.8441522588352205E-2</v>
      </c>
      <c r="N85" s="306">
        <f t="shared" si="73"/>
        <v>7.2804964732101587E-2</v>
      </c>
      <c r="O85" s="306">
        <f t="shared" si="73"/>
        <v>7.4539114984312774E-2</v>
      </c>
      <c r="P85" s="306">
        <f t="shared" si="73"/>
        <v>7.2038594729076505E-2</v>
      </c>
      <c r="Q85" s="306">
        <f t="shared" si="73"/>
        <v>7.1278911905853753E-2</v>
      </c>
      <c r="R85" s="306">
        <f t="shared" si="73"/>
        <v>6.9517971179559934E-2</v>
      </c>
      <c r="S85" s="306">
        <f t="shared" si="73"/>
        <v>6.9460398355982722E-2</v>
      </c>
      <c r="T85" s="306">
        <f t="shared" si="73"/>
        <v>6.655133242381836E-2</v>
      </c>
      <c r="U85" s="306">
        <f t="shared" si="73"/>
        <v>6.4773481755398113E-2</v>
      </c>
      <c r="V85" s="306">
        <f t="shared" si="73"/>
        <v>6.2630259301595423E-2</v>
      </c>
      <c r="W85" s="306">
        <f t="shared" si="73"/>
        <v>6.214723590202819E-2</v>
      </c>
      <c r="X85" s="306">
        <f t="shared" si="73"/>
        <v>6.093079174043943E-2</v>
      </c>
      <c r="Y85" s="306">
        <f t="shared" si="73"/>
        <v>6.0559823486757508E-2</v>
      </c>
      <c r="Z85" s="306">
        <f t="shared" si="73"/>
        <v>6.017619043737707E-2</v>
      </c>
      <c r="AA85" s="306">
        <f t="shared" si="73"/>
        <v>5.9801677745473278E-2</v>
      </c>
      <c r="AB85" s="306">
        <f t="shared" si="73"/>
        <v>5.9437281207033781E-2</v>
      </c>
      <c r="AC85" s="306">
        <f t="shared" si="73"/>
        <v>5.9061219524022851E-2</v>
      </c>
      <c r="AD85" s="306">
        <f t="shared" si="73"/>
        <v>5.8682678124995329E-2</v>
      </c>
      <c r="AE85" s="306">
        <f t="shared" si="73"/>
        <v>5.8294436816821261E-2</v>
      </c>
      <c r="AF85" s="306">
        <f t="shared" si="73"/>
        <v>5.7900550723705951E-2</v>
      </c>
      <c r="AG85" s="306">
        <f t="shared" si="73"/>
        <v>5.7484854563625835E-2</v>
      </c>
      <c r="AH85" s="306">
        <f t="shared" ref="AH85:AL85" si="74">AH38/AH$49</f>
        <v>5.7071173960992677E-2</v>
      </c>
      <c r="AI85" s="306">
        <f t="shared" si="74"/>
        <v>5.6657010262339463E-2</v>
      </c>
      <c r="AJ85" s="306">
        <f t="shared" si="74"/>
        <v>5.6238837482125846E-2</v>
      </c>
      <c r="AK85" s="306">
        <f t="shared" si="74"/>
        <v>5.5815218646629673E-2</v>
      </c>
      <c r="AL85" s="306">
        <f t="shared" si="74"/>
        <v>5.5392493445764683E-2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>
      <c r="L86" s="107" t="str">
        <f>'Occ T3'!A41</f>
        <v>72 Customer service occupations</v>
      </c>
      <c r="M86" s="306">
        <f>M39/M$49</f>
        <v>1.5781682544674491E-2</v>
      </c>
      <c r="N86" s="306">
        <f t="shared" ref="N86:AG86" si="75">N39/N$49</f>
        <v>1.5727763014014212E-2</v>
      </c>
      <c r="O86" s="306">
        <f t="shared" si="75"/>
        <v>1.5771398692247817E-2</v>
      </c>
      <c r="P86" s="306">
        <f t="shared" si="75"/>
        <v>1.5667754099838529E-2</v>
      </c>
      <c r="Q86" s="306">
        <f t="shared" si="75"/>
        <v>1.4721917492005788E-2</v>
      </c>
      <c r="R86" s="306">
        <f t="shared" si="75"/>
        <v>1.6038280306898869E-2</v>
      </c>
      <c r="S86" s="306">
        <f t="shared" si="75"/>
        <v>1.5394094428189821E-2</v>
      </c>
      <c r="T86" s="306">
        <f t="shared" si="75"/>
        <v>1.6630877646507537E-2</v>
      </c>
      <c r="U86" s="306">
        <f t="shared" si="75"/>
        <v>1.7010787379386751E-2</v>
      </c>
      <c r="V86" s="306">
        <f t="shared" si="75"/>
        <v>1.6510543592824393E-2</v>
      </c>
      <c r="W86" s="306">
        <f t="shared" si="75"/>
        <v>1.7018003284374413E-2</v>
      </c>
      <c r="X86" s="306">
        <f t="shared" si="75"/>
        <v>1.7948949787218196E-2</v>
      </c>
      <c r="Y86" s="306">
        <f t="shared" si="75"/>
        <v>1.8083540577361626E-2</v>
      </c>
      <c r="Z86" s="306">
        <f t="shared" si="75"/>
        <v>1.8207798887110885E-2</v>
      </c>
      <c r="AA86" s="306">
        <f t="shared" si="75"/>
        <v>1.8332604910926455E-2</v>
      </c>
      <c r="AB86" s="306">
        <f t="shared" si="75"/>
        <v>1.845944967124135E-2</v>
      </c>
      <c r="AC86" s="306">
        <f t="shared" si="75"/>
        <v>1.8586199640975284E-2</v>
      </c>
      <c r="AD86" s="306">
        <f t="shared" si="75"/>
        <v>1.8711451708409665E-2</v>
      </c>
      <c r="AE86" s="306">
        <f t="shared" si="75"/>
        <v>1.8835331068327691E-2</v>
      </c>
      <c r="AF86" s="306">
        <f t="shared" si="75"/>
        <v>1.8959271145724096E-2</v>
      </c>
      <c r="AG86" s="306">
        <f t="shared" si="75"/>
        <v>1.9083898824056776E-2</v>
      </c>
      <c r="AH86" s="306">
        <f t="shared" ref="AH86:AL86" si="76">AH39/AH$49</f>
        <v>1.9208129069619943E-2</v>
      </c>
      <c r="AI86" s="306">
        <f t="shared" si="76"/>
        <v>1.9332220659501794E-2</v>
      </c>
      <c r="AJ86" s="306">
        <f t="shared" si="76"/>
        <v>1.9455429632065268E-2</v>
      </c>
      <c r="AK86" s="306">
        <f t="shared" si="76"/>
        <v>1.957895374678718E-2</v>
      </c>
      <c r="AL86" s="306">
        <f t="shared" si="76"/>
        <v>1.9700733242631392E-2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>
      <c r="L87" s="107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  <c r="AK87" s="306"/>
      <c r="AL87" s="30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ht="12.95">
      <c r="L88" s="16" t="str">
        <f>'Occ T3'!A43</f>
        <v>Process, plant and machine operatives</v>
      </c>
      <c r="M88" s="307">
        <f t="shared" ref="M88:AG88" si="77">M41/M$49</f>
        <v>6.42819580313337E-2</v>
      </c>
      <c r="N88" s="307">
        <f t="shared" si="77"/>
        <v>6.2876904997797758E-2</v>
      </c>
      <c r="O88" s="307">
        <f t="shared" si="77"/>
        <v>6.1641739732701269E-2</v>
      </c>
      <c r="P88" s="307">
        <f t="shared" si="77"/>
        <v>6.1792054929663394E-2</v>
      </c>
      <c r="Q88" s="307">
        <f t="shared" si="77"/>
        <v>6.1990847674748148E-2</v>
      </c>
      <c r="R88" s="307">
        <f t="shared" si="77"/>
        <v>6.1673474892747736E-2</v>
      </c>
      <c r="S88" s="307">
        <f t="shared" si="77"/>
        <v>6.3190616951896636E-2</v>
      </c>
      <c r="T88" s="307">
        <f t="shared" si="77"/>
        <v>6.2995975549371599E-2</v>
      </c>
      <c r="U88" s="307">
        <f t="shared" si="77"/>
        <v>6.3954045030751985E-2</v>
      </c>
      <c r="V88" s="307">
        <f t="shared" si="77"/>
        <v>6.1912519210049123E-2</v>
      </c>
      <c r="W88" s="307">
        <f t="shared" si="77"/>
        <v>5.5787243694220175E-2</v>
      </c>
      <c r="X88" s="307">
        <f t="shared" si="77"/>
        <v>5.7757973558924598E-2</v>
      </c>
      <c r="Y88" s="307">
        <f t="shared" si="77"/>
        <v>5.7325975058616953E-2</v>
      </c>
      <c r="Z88" s="307">
        <f t="shared" si="77"/>
        <v>5.6919670512989011E-2</v>
      </c>
      <c r="AA88" s="307">
        <f t="shared" si="77"/>
        <v>5.6496654486844461E-2</v>
      </c>
      <c r="AB88" s="307">
        <f t="shared" si="77"/>
        <v>5.6065329230693281E-2</v>
      </c>
      <c r="AC88" s="307">
        <f t="shared" si="77"/>
        <v>5.5640761984376522E-2</v>
      </c>
      <c r="AD88" s="307">
        <f t="shared" si="77"/>
        <v>5.521508326025508E-2</v>
      </c>
      <c r="AE88" s="307">
        <f t="shared" si="77"/>
        <v>5.479236216708476E-2</v>
      </c>
      <c r="AF88" s="307">
        <f t="shared" si="77"/>
        <v>5.4372233170186794E-2</v>
      </c>
      <c r="AG88" s="307">
        <f t="shared" si="77"/>
        <v>5.3959106649793129E-2</v>
      </c>
      <c r="AH88" s="307">
        <f t="shared" ref="AH88:AL88" si="78">AH41/AH$49</f>
        <v>5.3548367173431859E-2</v>
      </c>
      <c r="AI88" s="307">
        <f t="shared" si="78"/>
        <v>5.3137973931345416E-2</v>
      </c>
      <c r="AJ88" s="307">
        <f t="shared" si="78"/>
        <v>5.2729683442425943E-2</v>
      </c>
      <c r="AK88" s="307">
        <f t="shared" si="78"/>
        <v>5.2321373780382242E-2</v>
      </c>
      <c r="AL88" s="307">
        <f t="shared" si="78"/>
        <v>5.1916444840312666E-2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>
      <c r="L89" s="107" t="str">
        <f>'Occ T3'!A44</f>
        <v>81 Process, plant and machine operatives</v>
      </c>
      <c r="M89" s="306">
        <f t="shared" ref="M89:AG89" si="79">M42/M$49</f>
        <v>2.5974484352697953E-2</v>
      </c>
      <c r="N89" s="306">
        <f t="shared" si="79"/>
        <v>2.4451196729913607E-2</v>
      </c>
      <c r="O89" s="306">
        <f t="shared" si="79"/>
        <v>2.4541740814632715E-2</v>
      </c>
      <c r="P89" s="306">
        <f t="shared" si="79"/>
        <v>2.5278745064184496E-2</v>
      </c>
      <c r="Q89" s="306">
        <f t="shared" si="79"/>
        <v>2.4872664812646585E-2</v>
      </c>
      <c r="R89" s="306">
        <f t="shared" si="79"/>
        <v>2.4892135987608758E-2</v>
      </c>
      <c r="S89" s="306">
        <f t="shared" si="79"/>
        <v>2.4141361452876736E-2</v>
      </c>
      <c r="T89" s="306">
        <f t="shared" si="79"/>
        <v>2.4712253163323872E-2</v>
      </c>
      <c r="U89" s="306">
        <f t="shared" si="79"/>
        <v>2.4712156652131768E-2</v>
      </c>
      <c r="V89" s="306">
        <f t="shared" si="79"/>
        <v>2.2894983532027367E-2</v>
      </c>
      <c r="W89" s="306">
        <f t="shared" si="79"/>
        <v>2.0419461117957789E-2</v>
      </c>
      <c r="X89" s="306">
        <f t="shared" si="79"/>
        <v>2.1651636947177904E-2</v>
      </c>
      <c r="Y89" s="306">
        <f t="shared" si="79"/>
        <v>2.1422113951384492E-2</v>
      </c>
      <c r="Z89" s="306">
        <f t="shared" si="79"/>
        <v>2.1208066299049647E-2</v>
      </c>
      <c r="AA89" s="306">
        <f t="shared" si="79"/>
        <v>2.0985996700491061E-2</v>
      </c>
      <c r="AB89" s="306">
        <f t="shared" si="79"/>
        <v>2.0766922518262176E-2</v>
      </c>
      <c r="AC89" s="306">
        <f t="shared" si="79"/>
        <v>2.0552265524943696E-2</v>
      </c>
      <c r="AD89" s="306">
        <f t="shared" si="79"/>
        <v>2.0336134634176217E-2</v>
      </c>
      <c r="AE89" s="306">
        <f t="shared" si="79"/>
        <v>2.012011962215857E-2</v>
      </c>
      <c r="AF89" s="306">
        <f t="shared" si="79"/>
        <v>1.990628183939645E-2</v>
      </c>
      <c r="AG89" s="306">
        <f t="shared" si="79"/>
        <v>1.9694937463501559E-2</v>
      </c>
      <c r="AH89" s="306">
        <f t="shared" ref="AH89:AL89" si="80">AH42/AH$49</f>
        <v>1.9486600719287601E-2</v>
      </c>
      <c r="AI89" s="306">
        <f t="shared" si="80"/>
        <v>1.9277837789351424E-2</v>
      </c>
      <c r="AJ89" s="306">
        <f t="shared" si="80"/>
        <v>1.9070675970478599E-2</v>
      </c>
      <c r="AK89" s="306">
        <f t="shared" si="80"/>
        <v>1.8863044019101941E-2</v>
      </c>
      <c r="AL89" s="306">
        <f t="shared" si="80"/>
        <v>1.8658761087515779E-2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>
      <c r="L90" s="107" t="str">
        <f>'Occ T3'!A45</f>
        <v>82 Transport and mobile machine drivers and operatives</v>
      </c>
      <c r="M90" s="306">
        <f t="shared" ref="M90:AG90" si="81">M43/M$49</f>
        <v>3.8307473678635746E-2</v>
      </c>
      <c r="N90" s="306">
        <f t="shared" si="81"/>
        <v>3.8425708267884148E-2</v>
      </c>
      <c r="O90" s="306">
        <f t="shared" si="81"/>
        <v>3.7099998918068561E-2</v>
      </c>
      <c r="P90" s="306">
        <f t="shared" si="81"/>
        <v>3.6513309865478898E-2</v>
      </c>
      <c r="Q90" s="306">
        <f t="shared" si="81"/>
        <v>3.7118182862101563E-2</v>
      </c>
      <c r="R90" s="306">
        <f t="shared" si="81"/>
        <v>3.6781338905138974E-2</v>
      </c>
      <c r="S90" s="306">
        <f t="shared" si="81"/>
        <v>3.9049255499019893E-2</v>
      </c>
      <c r="T90" s="306">
        <f t="shared" si="81"/>
        <v>3.8283722386047728E-2</v>
      </c>
      <c r="U90" s="306">
        <f t="shared" si="81"/>
        <v>3.9241888378620221E-2</v>
      </c>
      <c r="V90" s="306">
        <f t="shared" si="81"/>
        <v>3.9017535678021749E-2</v>
      </c>
      <c r="W90" s="306">
        <f t="shared" si="81"/>
        <v>3.5367782576262385E-2</v>
      </c>
      <c r="X90" s="306">
        <f t="shared" si="81"/>
        <v>3.6106336611746698E-2</v>
      </c>
      <c r="Y90" s="306">
        <f t="shared" si="81"/>
        <v>3.5903861107232461E-2</v>
      </c>
      <c r="Z90" s="306">
        <f t="shared" si="81"/>
        <v>3.571160421393936E-2</v>
      </c>
      <c r="AA90" s="306">
        <f t="shared" si="81"/>
        <v>3.55106577863534E-2</v>
      </c>
      <c r="AB90" s="306">
        <f t="shared" si="81"/>
        <v>3.5298406712431112E-2</v>
      </c>
      <c r="AC90" s="306">
        <f t="shared" si="81"/>
        <v>3.5088496459432822E-2</v>
      </c>
      <c r="AD90" s="306">
        <f t="shared" si="81"/>
        <v>3.4878948626078855E-2</v>
      </c>
      <c r="AE90" s="306">
        <f t="shared" si="81"/>
        <v>3.4672242544926193E-2</v>
      </c>
      <c r="AF90" s="306">
        <f t="shared" si="81"/>
        <v>3.4465951330790348E-2</v>
      </c>
      <c r="AG90" s="306">
        <f t="shared" si="81"/>
        <v>3.426416918629157E-2</v>
      </c>
      <c r="AH90" s="306">
        <f t="shared" ref="AH90:AL90" si="82">AH43/AH$49</f>
        <v>3.4061766454144257E-2</v>
      </c>
      <c r="AI90" s="306">
        <f t="shared" si="82"/>
        <v>3.3860136141993992E-2</v>
      </c>
      <c r="AJ90" s="306">
        <f t="shared" si="82"/>
        <v>3.365900747194734E-2</v>
      </c>
      <c r="AK90" s="306">
        <f t="shared" si="82"/>
        <v>3.3458329761280298E-2</v>
      </c>
      <c r="AL90" s="306">
        <f t="shared" si="82"/>
        <v>3.325768375279689E-2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>
      <c r="L91" s="107"/>
      <c r="M91" s="306"/>
      <c r="N91" s="306"/>
      <c r="O91" s="306"/>
      <c r="P91" s="306"/>
      <c r="Q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  <c r="AF91" s="306"/>
      <c r="AG91" s="306"/>
      <c r="AH91" s="306"/>
      <c r="AI91" s="306"/>
      <c r="AJ91" s="306"/>
      <c r="AK91" s="306"/>
      <c r="AL91" s="30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ht="12.95">
      <c r="L92" s="16" t="str">
        <f>'Occ T3'!A47</f>
        <v>Elementary occupations</v>
      </c>
      <c r="M92" s="307">
        <f t="shared" ref="M92:AG92" si="83">M45/M$49</f>
        <v>0.11993314491205131</v>
      </c>
      <c r="N92" s="307">
        <f t="shared" si="83"/>
        <v>0.11605378640101163</v>
      </c>
      <c r="O92" s="307">
        <f t="shared" si="83"/>
        <v>0.11426488635960302</v>
      </c>
      <c r="P92" s="307">
        <f t="shared" si="83"/>
        <v>0.11401334803659863</v>
      </c>
      <c r="Q92" s="307">
        <f t="shared" si="83"/>
        <v>0.11506036675510446</v>
      </c>
      <c r="R92" s="307">
        <f t="shared" si="83"/>
        <v>0.11523494355751696</v>
      </c>
      <c r="S92" s="307">
        <f t="shared" si="83"/>
        <v>0.11284076958465455</v>
      </c>
      <c r="T92" s="307">
        <f t="shared" si="83"/>
        <v>0.11047523515275656</v>
      </c>
      <c r="U92" s="307">
        <f t="shared" si="83"/>
        <v>0.10980045268490157</v>
      </c>
      <c r="V92" s="307">
        <f t="shared" si="83"/>
        <v>0.10890241065677957</v>
      </c>
      <c r="W92" s="307">
        <f t="shared" si="83"/>
        <v>0.10034223324274195</v>
      </c>
      <c r="X92" s="307">
        <f t="shared" si="83"/>
        <v>0.10200867308885697</v>
      </c>
      <c r="Y92" s="307">
        <f t="shared" si="83"/>
        <v>0.10140520928766779</v>
      </c>
      <c r="Z92" s="307">
        <f t="shared" si="83"/>
        <v>0.10078348934332403</v>
      </c>
      <c r="AA92" s="307">
        <f t="shared" si="83"/>
        <v>0.10014924633085473</v>
      </c>
      <c r="AB92" s="307">
        <f t="shared" si="83"/>
        <v>9.9513044459871802E-2</v>
      </c>
      <c r="AC92" s="307">
        <f t="shared" si="83"/>
        <v>9.8866759478761626E-2</v>
      </c>
      <c r="AD92" s="307">
        <f t="shared" si="83"/>
        <v>9.8218762010799182E-2</v>
      </c>
      <c r="AE92" s="307">
        <f t="shared" si="83"/>
        <v>9.7575336956683592E-2</v>
      </c>
      <c r="AF92" s="307">
        <f t="shared" si="83"/>
        <v>9.6941811706676373E-2</v>
      </c>
      <c r="AG92" s="307">
        <f t="shared" si="83"/>
        <v>9.6317657625018094E-2</v>
      </c>
      <c r="AH92" s="307">
        <f t="shared" ref="AH92:AL92" si="84">AH45/AH$49</f>
        <v>9.5688094893312453E-2</v>
      </c>
      <c r="AI92" s="307">
        <f t="shared" si="84"/>
        <v>9.5055053239667078E-2</v>
      </c>
      <c r="AJ92" s="307">
        <f t="shared" si="84"/>
        <v>9.4427161874069562E-2</v>
      </c>
      <c r="AK92" s="307">
        <f t="shared" si="84"/>
        <v>9.3801690536868029E-2</v>
      </c>
      <c r="AL92" s="307">
        <f t="shared" si="84"/>
        <v>9.3176236667424805E-2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>
      <c r="L93" s="107" t="str">
        <f>'Occ T3'!A48</f>
        <v>91 Elementary trades and related occupations</v>
      </c>
      <c r="M93" s="306">
        <f t="shared" ref="M93:AG93" si="85">M46/M$49</f>
        <v>1.636069180802148E-2</v>
      </c>
      <c r="N93" s="306">
        <f t="shared" si="85"/>
        <v>1.6106709838664992E-2</v>
      </c>
      <c r="O93" s="306">
        <f t="shared" si="85"/>
        <v>1.5821526923896219E-2</v>
      </c>
      <c r="P93" s="306">
        <f t="shared" si="85"/>
        <v>1.5486208360409958E-2</v>
      </c>
      <c r="Q93" s="306">
        <f t="shared" si="85"/>
        <v>1.6352070876115087E-2</v>
      </c>
      <c r="R93" s="306">
        <f t="shared" si="85"/>
        <v>1.6607550830773213E-2</v>
      </c>
      <c r="S93" s="306">
        <f t="shared" si="85"/>
        <v>1.6465911577353706E-2</v>
      </c>
      <c r="T93" s="306">
        <f t="shared" si="85"/>
        <v>1.5121424914449377E-2</v>
      </c>
      <c r="U93" s="306">
        <f t="shared" si="85"/>
        <v>1.5061709650752752E-2</v>
      </c>
      <c r="V93" s="306">
        <f t="shared" si="85"/>
        <v>1.4184419797547209E-2</v>
      </c>
      <c r="W93" s="306">
        <f t="shared" si="85"/>
        <v>1.2701803118489745E-2</v>
      </c>
      <c r="X93" s="306">
        <f t="shared" si="85"/>
        <v>2.1741693731115442E-2</v>
      </c>
      <c r="Y93" s="306">
        <f t="shared" si="85"/>
        <v>2.191766377919473E-2</v>
      </c>
      <c r="Z93" s="306">
        <f t="shared" si="85"/>
        <v>2.2102020306015949E-2</v>
      </c>
      <c r="AA93" s="306">
        <f t="shared" si="85"/>
        <v>2.2283376265076826E-2</v>
      </c>
      <c r="AB93" s="306">
        <f t="shared" si="85"/>
        <v>2.2459102572634605E-2</v>
      </c>
      <c r="AC93" s="306">
        <f t="shared" si="85"/>
        <v>2.2633108506038134E-2</v>
      </c>
      <c r="AD93" s="306">
        <f t="shared" si="85"/>
        <v>2.2810088882939204E-2</v>
      </c>
      <c r="AE93" s="306">
        <f t="shared" si="85"/>
        <v>2.2991374169750587E-2</v>
      </c>
      <c r="AF93" s="306">
        <f t="shared" si="85"/>
        <v>2.3175090847928147E-2</v>
      </c>
      <c r="AG93" s="306">
        <f t="shared" si="85"/>
        <v>2.3360299655378648E-2</v>
      </c>
      <c r="AH93" s="306">
        <f t="shared" ref="AH93:AL93" si="86">AH46/AH$49</f>
        <v>2.3541111329644041E-2</v>
      </c>
      <c r="AI93" s="306">
        <f t="shared" si="86"/>
        <v>2.3718753189484163E-2</v>
      </c>
      <c r="AJ93" s="306">
        <f t="shared" si="86"/>
        <v>2.3895213530806366E-2</v>
      </c>
      <c r="AK93" s="306">
        <f t="shared" si="86"/>
        <v>2.4071743787579529E-2</v>
      </c>
      <c r="AL93" s="306">
        <f t="shared" si="86"/>
        <v>2.424883285613065E-2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>
      <c r="L94" s="107" t="str">
        <f>'Occ T3'!A49</f>
        <v>92 Elementary administration and service occupations</v>
      </c>
      <c r="M94" s="306">
        <f t="shared" ref="M94:AG94" si="87">M47/M$49</f>
        <v>0.10357245310402984</v>
      </c>
      <c r="N94" s="306">
        <f t="shared" si="87"/>
        <v>9.9947076562346637E-2</v>
      </c>
      <c r="O94" s="306">
        <f t="shared" si="87"/>
        <v>9.8443359435706812E-2</v>
      </c>
      <c r="P94" s="306">
        <f t="shared" si="87"/>
        <v>9.8527139676188674E-2</v>
      </c>
      <c r="Q94" s="306">
        <f t="shared" si="87"/>
        <v>9.8708295878989369E-2</v>
      </c>
      <c r="R94" s="306">
        <f t="shared" si="87"/>
        <v>9.8627392726743743E-2</v>
      </c>
      <c r="S94" s="306">
        <f t="shared" si="87"/>
        <v>9.6374858007300834E-2</v>
      </c>
      <c r="T94" s="306">
        <f t="shared" si="87"/>
        <v>9.5353810238307191E-2</v>
      </c>
      <c r="U94" s="306">
        <f t="shared" si="87"/>
        <v>9.4738743034148823E-2</v>
      </c>
      <c r="V94" s="306">
        <f t="shared" si="87"/>
        <v>9.4717990859232354E-2</v>
      </c>
      <c r="W94" s="306">
        <f t="shared" si="87"/>
        <v>8.7640430124252211E-2</v>
      </c>
      <c r="X94" s="306">
        <f t="shared" si="87"/>
        <v>8.0266979357741533E-2</v>
      </c>
      <c r="Y94" s="306">
        <f t="shared" si="87"/>
        <v>7.9487545508473062E-2</v>
      </c>
      <c r="Z94" s="306">
        <f t="shared" si="87"/>
        <v>7.8681469037308063E-2</v>
      </c>
      <c r="AA94" s="306">
        <f t="shared" si="87"/>
        <v>7.7865870065777901E-2</v>
      </c>
      <c r="AB94" s="306">
        <f t="shared" si="87"/>
        <v>7.7053941887237201E-2</v>
      </c>
      <c r="AC94" s="306">
        <f t="shared" si="87"/>
        <v>7.6233650972723485E-2</v>
      </c>
      <c r="AD94" s="306">
        <f t="shared" si="87"/>
        <v>7.5408673127859968E-2</v>
      </c>
      <c r="AE94" s="306">
        <f t="shared" si="87"/>
        <v>7.4583962786933009E-2</v>
      </c>
      <c r="AF94" s="306">
        <f t="shared" si="87"/>
        <v>7.3766720858748219E-2</v>
      </c>
      <c r="AG94" s="306">
        <f t="shared" si="87"/>
        <v>7.2957357969639439E-2</v>
      </c>
      <c r="AH94" s="306">
        <f t="shared" ref="AH94:AL94" si="88">AH47/AH$49</f>
        <v>7.2146983563668415E-2</v>
      </c>
      <c r="AI94" s="306">
        <f t="shared" si="88"/>
        <v>7.1336300050182905E-2</v>
      </c>
      <c r="AJ94" s="306">
        <f t="shared" si="88"/>
        <v>7.0531948343263193E-2</v>
      </c>
      <c r="AK94" s="306">
        <f t="shared" si="88"/>
        <v>6.9729946749288493E-2</v>
      </c>
      <c r="AL94" s="306">
        <f t="shared" si="88"/>
        <v>6.8927403811294155E-2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>
      <c r="L95" s="107"/>
      <c r="M95" s="306"/>
      <c r="N95" s="306"/>
      <c r="O95" s="306"/>
      <c r="P95" s="306"/>
      <c r="Q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  <c r="AF95" s="306"/>
      <c r="AG95" s="306"/>
      <c r="AH95" s="306"/>
      <c r="AI95" s="306"/>
      <c r="AJ95" s="306"/>
      <c r="AK95" s="306"/>
      <c r="AL95" s="30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ht="12.95">
      <c r="L96" s="16" t="str">
        <f>'Occ T3'!A51</f>
        <v>All occupations</v>
      </c>
      <c r="M96" s="307">
        <f t="shared" ref="M96:AG96" si="89">M49/M$49</f>
        <v>1</v>
      </c>
      <c r="N96" s="307">
        <f t="shared" si="89"/>
        <v>1</v>
      </c>
      <c r="O96" s="307">
        <f t="shared" si="89"/>
        <v>1</v>
      </c>
      <c r="P96" s="307">
        <f t="shared" si="89"/>
        <v>1</v>
      </c>
      <c r="Q96" s="307">
        <f t="shared" si="89"/>
        <v>1</v>
      </c>
      <c r="R96" s="307">
        <f t="shared" si="89"/>
        <v>1</v>
      </c>
      <c r="S96" s="307">
        <f t="shared" si="89"/>
        <v>1</v>
      </c>
      <c r="T96" s="307">
        <f t="shared" si="89"/>
        <v>1</v>
      </c>
      <c r="U96" s="307">
        <f t="shared" si="89"/>
        <v>1</v>
      </c>
      <c r="V96" s="307">
        <f t="shared" si="89"/>
        <v>1</v>
      </c>
      <c r="W96" s="307">
        <f t="shared" si="89"/>
        <v>1</v>
      </c>
      <c r="X96" s="307">
        <f t="shared" si="89"/>
        <v>1</v>
      </c>
      <c r="Y96" s="307">
        <f t="shared" si="89"/>
        <v>1</v>
      </c>
      <c r="Z96" s="307">
        <f t="shared" si="89"/>
        <v>1</v>
      </c>
      <c r="AA96" s="307">
        <f t="shared" si="89"/>
        <v>1</v>
      </c>
      <c r="AB96" s="307">
        <f t="shared" si="89"/>
        <v>1</v>
      </c>
      <c r="AC96" s="307">
        <f t="shared" si="89"/>
        <v>1</v>
      </c>
      <c r="AD96" s="307">
        <f t="shared" si="89"/>
        <v>1</v>
      </c>
      <c r="AE96" s="307">
        <f t="shared" si="89"/>
        <v>1</v>
      </c>
      <c r="AF96" s="307">
        <f t="shared" si="89"/>
        <v>1</v>
      </c>
      <c r="AG96" s="307">
        <f t="shared" si="89"/>
        <v>1</v>
      </c>
      <c r="AH96" s="307">
        <f t="shared" ref="AH96:AL96" si="90">AH49/AH$49</f>
        <v>1</v>
      </c>
      <c r="AI96" s="307">
        <f t="shared" si="90"/>
        <v>1</v>
      </c>
      <c r="AJ96" s="307">
        <f t="shared" si="90"/>
        <v>1</v>
      </c>
      <c r="AK96" s="307">
        <f t="shared" si="90"/>
        <v>1</v>
      </c>
      <c r="AL96" s="307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>
      <c r="L97" s="64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>
      <c r="L98" s="64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>
      <c r="L99" s="64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>
      <c r="L100" s="64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>
      <c r="L101" s="64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>
      <c r="L102" s="64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>
      <c r="L103" s="64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>
      <c r="L104" s="64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>
      <c r="L105" s="64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>
      <c r="L106" s="64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>
      <c r="L107" s="64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>
      <c r="L108" s="64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>
      <c r="L109" s="64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>
      <c r="L110" s="64"/>
      <c r="M110" s="11"/>
      <c r="N110" s="11"/>
      <c r="O110" s="11"/>
      <c r="P110" s="11"/>
    </row>
    <row r="111" spans="12:53">
      <c r="L111" s="64"/>
      <c r="M111" s="11"/>
      <c r="N111" s="11"/>
      <c r="O111" s="11"/>
      <c r="P111" s="11"/>
    </row>
    <row r="112" spans="12:53">
      <c r="L112" s="64"/>
      <c r="M112" s="11"/>
      <c r="N112" s="11"/>
      <c r="O112" s="11"/>
      <c r="P112" s="11"/>
    </row>
    <row r="113" spans="1:16">
      <c r="L113" s="64"/>
      <c r="M113" s="11"/>
      <c r="N113" s="11"/>
      <c r="O113" s="11"/>
      <c r="P113" s="11"/>
    </row>
    <row r="114" spans="1:16">
      <c r="L114" s="64"/>
      <c r="M114" s="11"/>
      <c r="N114" s="11"/>
      <c r="O114" s="11"/>
      <c r="P114" s="11"/>
    </row>
    <row r="115" spans="1:16">
      <c r="L115" s="64"/>
      <c r="M115" s="11"/>
      <c r="N115" s="11"/>
      <c r="O115" s="11"/>
      <c r="P115" s="11"/>
    </row>
    <row r="116" spans="1:16">
      <c r="L116" s="64"/>
      <c r="M116" s="11"/>
      <c r="N116" s="11"/>
      <c r="O116" s="11"/>
      <c r="P116" s="11"/>
    </row>
    <row r="117" spans="1:16">
      <c r="L117" s="64"/>
    </row>
    <row r="118" spans="1:16" ht="15.6">
      <c r="A118" s="61" t="str">
        <f>CONCATENATE("Occupation Figure 2.2  Employment by Occupation, ",$M$2,"-",$O$2,", ",Info!B5)</f>
        <v>Occupation Figure 2.2  Employment by Occupation, 2010-2035, England</v>
      </c>
    </row>
    <row r="145" spans="12:63" s="62" customFormat="1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6">
      <c r="A164" s="61" t="str">
        <f>CONCATENATE("Occupation Figure 2.3  Change in Employment in ",$L$5,", ",$M$2,"-",$O$2,", ",Info!B5)</f>
        <v>Occupation Figure 2.3  Change in Employment in Managers, directors and senior officials, 2010-2035, England</v>
      </c>
    </row>
    <row r="180" spans="12:63" s="62" customFormat="1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6">
      <c r="A199" s="61" t="str">
        <f>CONCATENATE("Occupation Figure 2.4  Change in Employment in ",$L$9,", ",$M$2,"-",$O$2,", ",Info!B5)</f>
        <v>Occupation Figure 2.4  Change in Employment in Professional occupations, 2010-2035, England</v>
      </c>
    </row>
    <row r="215" spans="12:63" s="62" customFormat="1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6">
      <c r="A234" s="61" t="str">
        <f>CONCATENATE("Occupation Figure 2.5  Change in Employment in ",$L$15,", ",$M$2,"-",$O$2,", ",Info!B5)</f>
        <v>Occupation Figure 2.5  Change in Employment in Associate professional occupations, 2010-2035, England</v>
      </c>
    </row>
    <row r="250" spans="12:63" s="62" customFormat="1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6">
      <c r="A269" s="61" t="str">
        <f>CONCATENATE("Occupation Figure 2.6  Change in Employment in ",$L$22,", ",$M$2,"-",$O$2,", ",Info!B5)</f>
        <v>Occupation Figure 2.6  Change in Employment in Administrative and secretarial occupations, 2010-2035, England</v>
      </c>
    </row>
    <row r="285" spans="12:63" s="62" customFormat="1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6">
      <c r="A304" s="61" t="str">
        <f>CONCATENATE("Occupation Figure 2.7  Change in Employment in ",$L$26,", ",$M$2,"- ",$O$2,", ",Info!B5)</f>
        <v>Occupation Figure 2.7  Change in Employment in Skilled trades occupations, 2010- 2035, England</v>
      </c>
    </row>
    <row r="320" spans="12:63" s="62" customFormat="1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6">
      <c r="A339" s="61" t="str">
        <f>CONCATENATE("Occupation Figure 2.8  Change in Employment in ",$L$32,", ",$M$2,"-",$O$2,", ",Info!B5)</f>
        <v>Occupation Figure 2.8  Change in Employment in Caring, leisure and other service occupations, 2010-2035, England</v>
      </c>
    </row>
    <row r="355" spans="12:63" s="62" customFormat="1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6">
      <c r="A374" s="61" t="str">
        <f>CONCATENATE("Occupation Figure 2.9  Change in Employment in ",$L$37,", ",$M$2,"-",$O$2,", ",Info!B5)</f>
        <v>Occupation Figure 2.9  Change in Employment in Sales and customer service occupations, 2010-2035, England</v>
      </c>
    </row>
    <row r="390" spans="12:63" s="62" customFormat="1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6">
      <c r="A409" s="61" t="str">
        <f>CONCATENATE("Occupation Figure 2.10  Change in Employment in ",$L$41,", ",$M$2,"-",$O$2,", ",Info!B5)</f>
        <v>Occupation Figure 2.10  Change in Employment in Process, plant and machine operatives, 2010-2035, England</v>
      </c>
    </row>
    <row r="444" spans="1:1" ht="15.6">
      <c r="A444" s="61" t="str">
        <f>CONCATENATE("Occupation Figure 2.11  Change in Employment in ",$L$45,", ",$M$2,"-",$O$2,", ",Info!B5)</f>
        <v>Occupation Figure 2.11  Change in Employment in Elementary occupations, 2010-2035, England</v>
      </c>
    </row>
    <row r="479" spans="1:12" ht="15.6">
      <c r="A479" s="61" t="str">
        <f>CONCATENATE("Occupation Figure 2.12  Employment Level by Occupation (SOC 2020), ",'Occ T1'!D6," and ",'Occ T1'!F6," (000s)",", ",Info!B5)</f>
        <v>Occupation Figure 2.12  Employment Level by Occupation (SOC 2020), 2020 and 2035 (000s), England</v>
      </c>
      <c r="L479" s="35" t="s">
        <v>186</v>
      </c>
    </row>
    <row r="480" spans="1:12" ht="12.95">
      <c r="L480" s="24" t="s">
        <v>187</v>
      </c>
    </row>
    <row r="507" spans="1:12" ht="15.6">
      <c r="A507" s="61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England</v>
      </c>
      <c r="L507" s="35" t="s">
        <v>188</v>
      </c>
    </row>
    <row r="508" spans="1:12" ht="12.95">
      <c r="L508" s="24" t="s">
        <v>187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6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6">
      <c r="A1" s="61" t="str">
        <f>CONCATENATE("Occupation Figure 3  Changes in Occupational Employment Structure (000s) (SOC 2020), ",$W$1,"-",$X$1,", ",Info!B5)</f>
        <v>Occupation Figure 3  Changes in Occupational Employment Structure (000s) (SOC 2020), 2015-2035, England</v>
      </c>
      <c r="W1" t="str">
        <f>LEFT(X3,4)</f>
        <v>2015</v>
      </c>
      <c r="X1" t="str">
        <f>RIGHT(AC3,4)</f>
        <v>2035</v>
      </c>
    </row>
    <row r="2" spans="1:29" ht="12.95">
      <c r="A2" s="1" t="s">
        <v>175</v>
      </c>
      <c r="X2" t="s">
        <v>189</v>
      </c>
    </row>
    <row r="3" spans="1:29" ht="12.95">
      <c r="W3" s="1" t="s">
        <v>172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>
      <c r="W4" s="10" t="str">
        <f>name!E4</f>
        <v>Managers, directors and senior officials</v>
      </c>
      <c r="X4" s="11">
        <f>'Occ T1'!C8-'Occ T1'!B8</f>
        <v>418.83273656857364</v>
      </c>
      <c r="Y4" s="11">
        <f>'Occ T1'!D8-'Occ T1'!C8</f>
        <v>65.726056561781661</v>
      </c>
      <c r="Z4" s="11">
        <f>'Occ T1'!E8-'Occ T1'!D8</f>
        <v>-160.06685052298144</v>
      </c>
      <c r="AA4" s="11">
        <f>'Occ T1'!F8-'Occ T1'!E8</f>
        <v>304.92631292593751</v>
      </c>
      <c r="AB4" s="11">
        <f>'Occ T1'!D8-'Occ T1'!B8</f>
        <v>484.5587931303553</v>
      </c>
      <c r="AC4" s="11">
        <f>'Occ T1'!F8-'Occ T1'!D8</f>
        <v>144.85946240295607</v>
      </c>
    </row>
    <row r="5" spans="1:29">
      <c r="W5" s="10" t="str">
        <f>name!E5</f>
        <v>Professional occupations</v>
      </c>
      <c r="X5" s="11">
        <f>'Occ T1'!C9-'Occ T1'!B9</f>
        <v>832.93183202212731</v>
      </c>
      <c r="Y5" s="11">
        <f>'Occ T1'!D9-'Occ T1'!C9</f>
        <v>306.20322192183176</v>
      </c>
      <c r="Z5" s="11">
        <f>'Occ T1'!E9-'Occ T1'!D9</f>
        <v>545.72199411039401</v>
      </c>
      <c r="AA5" s="11">
        <f>'Occ T1'!F9-'Occ T1'!E9</f>
        <v>789.05773848254648</v>
      </c>
      <c r="AB5" s="11">
        <f>'Occ T1'!D9-'Occ T1'!B9</f>
        <v>1139.1350539439591</v>
      </c>
      <c r="AC5" s="11">
        <f>'Occ T1'!F9-'Occ T1'!D9</f>
        <v>1334.7797325929405</v>
      </c>
    </row>
    <row r="6" spans="1:29">
      <c r="W6" s="10" t="str">
        <f>name!E6</f>
        <v>Associate professional occupations</v>
      </c>
      <c r="X6" s="11">
        <f>'Occ T1'!C10-'Occ T1'!B10</f>
        <v>293.21103937835869</v>
      </c>
      <c r="Y6" s="11">
        <f>'Occ T1'!D10-'Occ T1'!C10</f>
        <v>182.23001936965147</v>
      </c>
      <c r="Z6" s="11">
        <f>'Occ T1'!E10-'Occ T1'!D10</f>
        <v>226.65218552932311</v>
      </c>
      <c r="AA6" s="11">
        <f>'Occ T1'!F10-'Occ T1'!E10</f>
        <v>397.9640874896304</v>
      </c>
      <c r="AB6" s="11">
        <f>'Occ T1'!D10-'Occ T1'!B10</f>
        <v>475.44105874801016</v>
      </c>
      <c r="AC6" s="11">
        <f>'Occ T1'!F10-'Occ T1'!D10</f>
        <v>624.61627301895351</v>
      </c>
    </row>
    <row r="7" spans="1:29">
      <c r="W7" s="10" t="str">
        <f>name!E7</f>
        <v>Administrative and secretarial occupations</v>
      </c>
      <c r="X7" s="11">
        <f>'Occ T1'!C11-'Occ T1'!B11</f>
        <v>-88.587134656134367</v>
      </c>
      <c r="Y7" s="11">
        <f>'Occ T1'!D11-'Occ T1'!C11</f>
        <v>78.69986263976125</v>
      </c>
      <c r="Z7" s="11">
        <f>'Occ T1'!E11-'Occ T1'!D11</f>
        <v>43.92393350589964</v>
      </c>
      <c r="AA7" s="11">
        <f>'Occ T1'!F11-'Occ T1'!E11</f>
        <v>-177.20620881663399</v>
      </c>
      <c r="AB7" s="11">
        <f>'Occ T1'!D11-'Occ T1'!B11</f>
        <v>-9.8872720163731174</v>
      </c>
      <c r="AC7" s="11">
        <f>'Occ T1'!F11-'Occ T1'!D11</f>
        <v>-133.28227531073435</v>
      </c>
    </row>
    <row r="8" spans="1:29">
      <c r="W8" s="10" t="str">
        <f>name!E8</f>
        <v>Skilled trades occupations</v>
      </c>
      <c r="X8" s="11">
        <f>'Occ T1'!C12-'Occ T1'!B12</f>
        <v>-38.919501869974283</v>
      </c>
      <c r="Y8" s="11">
        <f>'Occ T1'!D12-'Occ T1'!C12</f>
        <v>-343.4392535090642</v>
      </c>
      <c r="Z8" s="11">
        <f>'Occ T1'!E12-'Occ T1'!D12</f>
        <v>30.5592938875252</v>
      </c>
      <c r="AA8" s="11">
        <f>'Occ T1'!F12-'Occ T1'!E12</f>
        <v>-68.132155315010095</v>
      </c>
      <c r="AB8" s="11">
        <f>'Occ T1'!D12-'Occ T1'!B12</f>
        <v>-382.35875537903848</v>
      </c>
      <c r="AC8" s="11">
        <f>'Occ T1'!F12-'Occ T1'!D12</f>
        <v>-37.572861427484895</v>
      </c>
    </row>
    <row r="9" spans="1:29">
      <c r="W9" s="10" t="str">
        <f>name!E9</f>
        <v>Caring, leisure and other service occupations</v>
      </c>
      <c r="X9" s="11">
        <f>'Occ T1'!C13-'Occ T1'!B13</f>
        <v>108.49918964433209</v>
      </c>
      <c r="Y9" s="11">
        <f>'Occ T1'!D13-'Occ T1'!C13</f>
        <v>-116.47150687251224</v>
      </c>
      <c r="Z9" s="11">
        <f>'Occ T1'!E13-'Occ T1'!D13</f>
        <v>53.633602642600636</v>
      </c>
      <c r="AA9" s="11">
        <f>'Occ T1'!F13-'Occ T1'!E13</f>
        <v>187.81911775576418</v>
      </c>
      <c r="AB9" s="11">
        <f>'Occ T1'!D13-'Occ T1'!B13</f>
        <v>-7.9723172281801453</v>
      </c>
      <c r="AC9" s="11">
        <f>'Occ T1'!F13-'Occ T1'!D13</f>
        <v>241.45272039836482</v>
      </c>
    </row>
    <row r="10" spans="1:29">
      <c r="W10" s="10" t="str">
        <f>name!E10</f>
        <v>Sales and customer service occupations</v>
      </c>
      <c r="X10" s="11">
        <f>'Occ T1'!C14-'Occ T1'!B14</f>
        <v>-60.652574215101595</v>
      </c>
      <c r="Y10" s="11">
        <f>'Occ T1'!D14-'Occ T1'!C14</f>
        <v>-27.213295661623306</v>
      </c>
      <c r="Z10" s="11">
        <f>'Occ T1'!E14-'Occ T1'!D14</f>
        <v>31.845539791700503</v>
      </c>
      <c r="AA10" s="11">
        <f>'Occ T1'!F14-'Occ T1'!E14</f>
        <v>12.552285195426521</v>
      </c>
      <c r="AB10" s="11">
        <f>'Occ T1'!D14-'Occ T1'!B14</f>
        <v>-87.865869876724901</v>
      </c>
      <c r="AC10" s="11">
        <f>'Occ T1'!F14-'Occ T1'!D14</f>
        <v>44.397824987127024</v>
      </c>
    </row>
    <row r="11" spans="1:29">
      <c r="W11" s="10" t="str">
        <f>name!E11</f>
        <v>Process, plant and machine operatives</v>
      </c>
      <c r="X11" s="11">
        <f>'Occ T1'!C15-'Occ T1'!B15</f>
        <v>103.22237952410114</v>
      </c>
      <c r="Y11" s="11">
        <f>'Occ T1'!D15-'Occ T1'!C15</f>
        <v>-204.75878330981504</v>
      </c>
      <c r="Z11" s="11">
        <f>'Occ T1'!E15-'Occ T1'!D15</f>
        <v>58.485771449196363</v>
      </c>
      <c r="AA11" s="11">
        <f>'Occ T1'!F15-'Occ T1'!E15</f>
        <v>-59.309961601648638</v>
      </c>
      <c r="AB11" s="11">
        <f>'Occ T1'!D15-'Occ T1'!B15</f>
        <v>-101.5364037857139</v>
      </c>
      <c r="AC11" s="11">
        <f>'Occ T1'!F15-'Occ T1'!D15</f>
        <v>-0.82419015245227456</v>
      </c>
    </row>
    <row r="12" spans="1:29">
      <c r="W12" s="10" t="str">
        <f>name!E12</f>
        <v>Elementary occupations</v>
      </c>
      <c r="X12" s="11">
        <f>'Occ T1'!C16-'Occ T1'!B16</f>
        <v>-11.949966400184621</v>
      </c>
      <c r="Y12" s="11">
        <f>'Occ T1'!D16-'Occ T1'!C16</f>
        <v>-294.05532113866548</v>
      </c>
      <c r="Z12" s="11">
        <f>'Occ T1'!E16-'Occ T1'!D16</f>
        <v>64.311529621827503</v>
      </c>
      <c r="AA12" s="11">
        <f>'Occ T1'!F16-'Occ T1'!E16</f>
        <v>-72.328216114202405</v>
      </c>
      <c r="AB12" s="11">
        <f>'Occ T1'!D16-'Occ T1'!B16</f>
        <v>-306.0052875388501</v>
      </c>
      <c r="AC12" s="11">
        <f>'Occ T1'!F16-'Occ T1'!D16</f>
        <v>-8.0166864923749017</v>
      </c>
    </row>
    <row r="14" spans="1:29">
      <c r="W14" s="10" t="str">
        <f>name!E3</f>
        <v>All occupations</v>
      </c>
      <c r="X14" s="11">
        <f>'Occ T1'!C18-'Occ T1'!B18</f>
        <v>1556.5879999961035</v>
      </c>
      <c r="Y14" s="11">
        <f>'Occ T1'!D18-'Occ T1'!C18</f>
        <v>-353.07899999865185</v>
      </c>
      <c r="Z14" s="11">
        <f>'Occ T1'!E18-'Occ T1'!D18</f>
        <v>895.0670000154787</v>
      </c>
      <c r="AA14" s="11">
        <f>'Occ T1'!F18-'Occ T1'!E18</f>
        <v>1315.3430000018088</v>
      </c>
      <c r="AB14" s="11">
        <f>'Occ T1'!D18-'Occ T1'!B18</f>
        <v>1203.5089999974516</v>
      </c>
      <c r="AC14" s="11">
        <f>'Occ T1'!F18-'Occ T1'!D18</f>
        <v>2210.4100000172875</v>
      </c>
    </row>
    <row r="17" spans="23:26">
      <c r="Y17" s="64" t="s">
        <v>190</v>
      </c>
      <c r="Z17" s="64" t="s">
        <v>191</v>
      </c>
    </row>
    <row r="18" spans="23:26">
      <c r="W18" s="64" t="s">
        <v>192</v>
      </c>
      <c r="X18">
        <f>CEILING(MAX(X4:AA12),IF(MAX(X4:AA12)&lt;100,10,IF(MAX(X4:AA12)&lt;1000,100,1000)))</f>
        <v>900</v>
      </c>
      <c r="Y18">
        <f>MAX(X18,(X19*-1))</f>
        <v>900</v>
      </c>
      <c r="Z18">
        <f>IF(Y18&gt;1000,1000,IF(Y18&gt;500,500,IF(Y18&gt;100,100,IF(Y18&gt;40,20,10))))</f>
        <v>500</v>
      </c>
    </row>
    <row r="19" spans="23:26">
      <c r="W19" s="64" t="s">
        <v>193</v>
      </c>
      <c r="X19">
        <f>FLOOR(MIN(X4:AA12),IF(MIN(X4:AA12)&gt;-100,10,IF(MIN(X4:AA12)&gt;-1000,100,1000)))</f>
        <v>-400</v>
      </c>
      <c r="Y19">
        <f>Y18*-1</f>
        <v>-900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6"/>
  <cols>
    <col min="13" max="13" width="36" customWidth="1"/>
  </cols>
  <sheetData>
    <row r="1" spans="1:16" ht="15.6">
      <c r="A1" s="61" t="str">
        <f>CONCATENATE("Occupation Figure 4  Occupational Change by Gender (000s) (SOC 2020), ",N1,", ",Info!B5)</f>
        <v>Occupation Figure 4  Occupational Change by Gender (000s) (SOC 2020), 2020-2035, England</v>
      </c>
      <c r="M1" s="64" t="s">
        <v>120</v>
      </c>
      <c r="N1" t="str">
        <f>'Occ T1'!F62</f>
        <v>2020-2035</v>
      </c>
    </row>
    <row r="2" spans="1:16" ht="12.95">
      <c r="A2" s="1" t="s">
        <v>175</v>
      </c>
      <c r="M2" s="1" t="s">
        <v>172</v>
      </c>
      <c r="N2" s="64" t="s">
        <v>119</v>
      </c>
      <c r="O2" s="64" t="s">
        <v>177</v>
      </c>
      <c r="P2" s="64" t="s">
        <v>176</v>
      </c>
    </row>
    <row r="3" spans="1:16">
      <c r="M3" s="10" t="str">
        <f>name!E4</f>
        <v>Managers, directors and senior officials</v>
      </c>
      <c r="N3" s="11">
        <f>'Occ T1'!F64</f>
        <v>144.85946240295607</v>
      </c>
      <c r="O3" s="11">
        <f>'Occ T1'!AB64</f>
        <v>134.24574939837316</v>
      </c>
      <c r="P3" s="11">
        <f>'Occ T1'!Q64</f>
        <v>10.613713004583133</v>
      </c>
    </row>
    <row r="4" spans="1:16">
      <c r="M4" s="10" t="str">
        <f>name!E5</f>
        <v>Professional occupations</v>
      </c>
      <c r="N4" s="11">
        <f>'Occ T1'!F65</f>
        <v>1334.7797325929405</v>
      </c>
      <c r="O4" s="11">
        <f>'Occ T1'!AB65</f>
        <v>588.95131331627863</v>
      </c>
      <c r="P4" s="11">
        <f>'Occ T1'!Q65</f>
        <v>745.82841927667005</v>
      </c>
    </row>
    <row r="5" spans="1:16">
      <c r="M5" s="10" t="str">
        <f>name!E6</f>
        <v>Associate professional occupations</v>
      </c>
      <c r="N5" s="11">
        <f>'Occ T1'!F66</f>
        <v>624.61627301895351</v>
      </c>
      <c r="O5" s="11">
        <f>'Occ T1'!AB66</f>
        <v>614.62170353330339</v>
      </c>
      <c r="P5" s="11">
        <f>'Occ T1'!Q66</f>
        <v>9.9945694856542104</v>
      </c>
    </row>
    <row r="6" spans="1:16">
      <c r="M6" s="10" t="str">
        <f>name!E7</f>
        <v>Administrative and secretarial occupations</v>
      </c>
      <c r="N6" s="11">
        <f>'Occ T1'!F67</f>
        <v>-133.28227531073435</v>
      </c>
      <c r="O6" s="11">
        <f>'Occ T1'!AB67</f>
        <v>-282.19934991598598</v>
      </c>
      <c r="P6" s="11">
        <f>'Occ T1'!Q67</f>
        <v>148.91707460525276</v>
      </c>
    </row>
    <row r="7" spans="1:16">
      <c r="M7" s="10" t="str">
        <f>name!E8</f>
        <v>Skilled trades occupations</v>
      </c>
      <c r="N7" s="11">
        <f>'Occ T1'!F68</f>
        <v>-37.572861427484895</v>
      </c>
      <c r="O7" s="11">
        <f>'Occ T1'!AB68</f>
        <v>55.404391262191382</v>
      </c>
      <c r="P7" s="11">
        <f>'Occ T1'!Q68</f>
        <v>-92.977252689673151</v>
      </c>
    </row>
    <row r="8" spans="1:16">
      <c r="M8" s="10" t="str">
        <f>name!E9</f>
        <v>Caring, leisure and other service occupations</v>
      </c>
      <c r="N8" s="11">
        <f>'Occ T1'!F69</f>
        <v>241.45272039836482</v>
      </c>
      <c r="O8" s="11">
        <f>'Occ T1'!AB69</f>
        <v>115.32511166092218</v>
      </c>
      <c r="P8" s="11">
        <f>'Occ T1'!Q69</f>
        <v>126.12760873744833</v>
      </c>
    </row>
    <row r="9" spans="1:16">
      <c r="M9" s="10" t="str">
        <f>name!E10</f>
        <v>Sales and customer service occupations</v>
      </c>
      <c r="N9" s="11">
        <f>'Occ T1'!F70</f>
        <v>44.397824987127024</v>
      </c>
      <c r="O9" s="11">
        <f>'Occ T1'!AB70</f>
        <v>-38.646804154624078</v>
      </c>
      <c r="P9" s="11">
        <f>'Occ T1'!Q70</f>
        <v>83.04462914174735</v>
      </c>
    </row>
    <row r="10" spans="1:16">
      <c r="M10" s="10" t="str">
        <f>name!E11</f>
        <v>Process, plant and machine operatives</v>
      </c>
      <c r="N10" s="11">
        <f>'Occ T1'!F71</f>
        <v>-0.82419015245227456</v>
      </c>
      <c r="O10" s="11">
        <f>'Occ T1'!AB71</f>
        <v>53.740022657200598</v>
      </c>
      <c r="P10" s="11">
        <f>'Occ T1'!Q71</f>
        <v>-54.564212809650371</v>
      </c>
    </row>
    <row r="11" spans="1:16">
      <c r="M11" s="10" t="str">
        <f>name!E12</f>
        <v>Elementary occupations</v>
      </c>
      <c r="N11" s="11">
        <f>'Occ T1'!F72</f>
        <v>-8.0166864923749017</v>
      </c>
      <c r="O11" s="11">
        <f>'Occ T1'!AB72</f>
        <v>-35.023137741940673</v>
      </c>
      <c r="P11" s="11">
        <f>'Occ T1'!Q72</f>
        <v>27.006451249583051</v>
      </c>
    </row>
    <row r="12" spans="1:16">
      <c r="M12" s="10"/>
      <c r="N12" s="11"/>
      <c r="O12" s="11"/>
      <c r="P12" s="11"/>
    </row>
    <row r="13" spans="1:16">
      <c r="M13" s="10" t="str">
        <f>name!E3</f>
        <v>All occupations</v>
      </c>
      <c r="N13" s="11">
        <f>'Occ T1'!F74</f>
        <v>2210.4100000172875</v>
      </c>
      <c r="O13" s="11">
        <f>'Occ T1'!AB74</f>
        <v>1206.4190000157159</v>
      </c>
      <c r="P13" s="11">
        <f>'Occ T1'!Q74</f>
        <v>1003.9910000016152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6"/>
  <cols>
    <col min="13" max="13" width="36" customWidth="1"/>
    <col min="14" max="14" width="19.5703125" customWidth="1"/>
  </cols>
  <sheetData>
    <row r="1" spans="1:16" ht="15.6">
      <c r="A1" s="61" t="str">
        <f>CONCATENATE("Occupation Figure 5  Occupational Change by Status (000s) (SOC 2020), ",N1,", ",Info!B5)</f>
        <v>Occupation Figure 5  Occupational Change by Status (000s) (SOC 2020), 2020-2035, England</v>
      </c>
      <c r="M1" s="64" t="s">
        <v>120</v>
      </c>
      <c r="N1" t="str">
        <f>'Ind Occ T2'!G6&amp;"-"&amp;'Ind Occ T2'!L6</f>
        <v>2020-2035</v>
      </c>
    </row>
    <row r="2" spans="1:16" ht="12.95">
      <c r="A2" s="1" t="s">
        <v>175</v>
      </c>
      <c r="M2" s="1" t="s">
        <v>194</v>
      </c>
      <c r="N2" s="64" t="s">
        <v>195</v>
      </c>
      <c r="O2" s="64" t="s">
        <v>196</v>
      </c>
      <c r="P2" s="64" t="s">
        <v>197</v>
      </c>
    </row>
    <row r="3" spans="1:16">
      <c r="M3" s="10" t="str">
        <f>name!E4</f>
        <v>Managers, directors and senior officials</v>
      </c>
      <c r="N3" s="11">
        <f>'Occ T5'!I44</f>
        <v>78.226254533838755</v>
      </c>
      <c r="O3" s="11">
        <f>'Occ T5'!H44</f>
        <v>87.470982362848929</v>
      </c>
      <c r="P3" s="11">
        <f>'Occ T5'!G44</f>
        <v>-20.837774493722463</v>
      </c>
    </row>
    <row r="4" spans="1:16">
      <c r="M4" s="10" t="str">
        <f>name!E5</f>
        <v>Professional occupations</v>
      </c>
      <c r="N4" s="11">
        <f>'Occ T5'!I45</f>
        <v>10.053205097017781</v>
      </c>
      <c r="O4" s="11">
        <f>'Occ T5'!H45</f>
        <v>267.96077178336964</v>
      </c>
      <c r="P4" s="11">
        <f>'Occ T5'!G45</f>
        <v>1056.7657557125531</v>
      </c>
    </row>
    <row r="5" spans="1:16">
      <c r="M5" s="10" t="str">
        <f>name!E6</f>
        <v>Associate professional occupations</v>
      </c>
      <c r="N5" s="11">
        <f>'Occ T5'!I46</f>
        <v>48.82636763088658</v>
      </c>
      <c r="O5" s="11">
        <f>'Occ T5'!H46</f>
        <v>205.27992547001497</v>
      </c>
      <c r="P5" s="11">
        <f>'Occ T5'!G46</f>
        <v>370.50997991806253</v>
      </c>
    </row>
    <row r="6" spans="1:16">
      <c r="M6" s="10" t="str">
        <f>name!E7</f>
        <v>Administrative and secretarial occupations</v>
      </c>
      <c r="N6" s="11">
        <f>'Occ T5'!I47</f>
        <v>-3.1094589868922213</v>
      </c>
      <c r="O6" s="11">
        <f>'Occ T5'!H47</f>
        <v>-118.28463182412634</v>
      </c>
      <c r="P6" s="11">
        <f>'Occ T5'!G47</f>
        <v>-11.888184499718818</v>
      </c>
    </row>
    <row r="7" spans="1:16">
      <c r="M7" s="10" t="str">
        <f>name!E8</f>
        <v>Skilled trades occupations</v>
      </c>
      <c r="N7" s="11">
        <f>'Occ T5'!I48</f>
        <v>100.70613439899523</v>
      </c>
      <c r="O7" s="11">
        <f>'Occ T5'!H48</f>
        <v>58.003061323229048</v>
      </c>
      <c r="P7" s="11">
        <f>'Occ T5'!G48</f>
        <v>-196.28205714970545</v>
      </c>
    </row>
    <row r="8" spans="1:16">
      <c r="M8" s="10" t="str">
        <f>name!E9</f>
        <v>Caring, leisure and other service occupations</v>
      </c>
      <c r="N8" s="11">
        <f>'Occ T5'!I49</f>
        <v>55.205309397394899</v>
      </c>
      <c r="O8" s="11">
        <f>'Occ T5'!H49</f>
        <v>5.2027787163690391</v>
      </c>
      <c r="P8" s="11">
        <f>'Occ T5'!G49</f>
        <v>181.04463228459895</v>
      </c>
    </row>
    <row r="9" spans="1:16">
      <c r="M9" s="10" t="str">
        <f>name!E10</f>
        <v>Sales and customer service occupations</v>
      </c>
      <c r="N9" s="11">
        <f>'Occ T5'!I50</f>
        <v>-21.148749630717006</v>
      </c>
      <c r="O9" s="11">
        <f>'Occ T5'!H50</f>
        <v>66.421097838639525</v>
      </c>
      <c r="P9" s="11">
        <f>'Occ T5'!G50</f>
        <v>-0.87452322079923306</v>
      </c>
    </row>
    <row r="10" spans="1:16">
      <c r="M10" s="10" t="str">
        <f>name!E11</f>
        <v>Process, plant and machine operatives</v>
      </c>
      <c r="N10" s="11">
        <f>'Occ T5'!I51</f>
        <v>68.558091647042545</v>
      </c>
      <c r="O10" s="11">
        <f>'Occ T5'!H51</f>
        <v>67.384363105606894</v>
      </c>
      <c r="P10" s="11">
        <f>'Occ T5'!G51</f>
        <v>-136.76664490510041</v>
      </c>
    </row>
    <row r="11" spans="1:16">
      <c r="M11" s="10" t="str">
        <f>name!E12</f>
        <v>Elementary occupations</v>
      </c>
      <c r="N11" s="11">
        <f>'Occ T5'!I52</f>
        <v>70.115845922152062</v>
      </c>
      <c r="O11" s="11">
        <f>'Occ T5'!H52</f>
        <v>-188.29434880157578</v>
      </c>
      <c r="P11" s="11">
        <f>'Occ T5'!G52</f>
        <v>110.16181638706848</v>
      </c>
    </row>
    <row r="12" spans="1:16">
      <c r="M12" s="10"/>
      <c r="N12" s="11"/>
      <c r="O12" s="11"/>
      <c r="P12" s="11"/>
    </row>
    <row r="13" spans="1:16">
      <c r="M13" s="10" t="str">
        <f>name!E3</f>
        <v>All occupations</v>
      </c>
      <c r="N13" s="11">
        <f>'Occ T5'!I54</f>
        <v>407.4330000097184</v>
      </c>
      <c r="O13" s="11">
        <f>'Occ T5'!H54</f>
        <v>451.14399997437795</v>
      </c>
      <c r="P13" s="11">
        <f>'Occ T5'!G54</f>
        <v>1351.8330000332353</v>
      </c>
    </row>
    <row r="16" spans="1:16">
      <c r="M16" s="64" t="s">
        <v>120</v>
      </c>
      <c r="N16" t="str">
        <f>N1</f>
        <v>2020-2035</v>
      </c>
    </row>
    <row r="17" spans="13:16" ht="12.95">
      <c r="M17" s="1" t="s">
        <v>177</v>
      </c>
      <c r="N17" s="64" t="s">
        <v>195</v>
      </c>
      <c r="O17" s="64" t="s">
        <v>196</v>
      </c>
      <c r="P17" s="64" t="s">
        <v>197</v>
      </c>
    </row>
    <row r="18" spans="13:16">
      <c r="M18" s="10" t="str">
        <f>M3</f>
        <v>Managers, directors and senior officials</v>
      </c>
      <c r="N18" s="11">
        <f>'Occ T5'!AO44</f>
        <v>20.256297944429576</v>
      </c>
      <c r="O18" s="11">
        <f>'Occ T5'!AN44</f>
        <v>72.372237050598301</v>
      </c>
      <c r="P18" s="11">
        <f>'Occ T5'!AM44</f>
        <v>41.617214403344633</v>
      </c>
    </row>
    <row r="19" spans="13:16">
      <c r="M19" s="10" t="str">
        <f t="shared" ref="M19:M28" si="0">M4</f>
        <v>Professional occupations</v>
      </c>
      <c r="N19" s="11">
        <f>'Occ T5'!AO45</f>
        <v>44.179306597382151</v>
      </c>
      <c r="O19" s="11">
        <f>'Occ T5'!AN45</f>
        <v>143.34903067393111</v>
      </c>
      <c r="P19" s="11">
        <f>'Occ T5'!AM45</f>
        <v>401.42297604496662</v>
      </c>
    </row>
    <row r="20" spans="13:16">
      <c r="M20" s="10" t="str">
        <f t="shared" si="0"/>
        <v>Associate professional occupations</v>
      </c>
      <c r="N20" s="11">
        <f>'Occ T5'!AO46</f>
        <v>24.454199565045542</v>
      </c>
      <c r="O20" s="11">
        <f>'Occ T5'!AN46</f>
        <v>187.39726982959291</v>
      </c>
      <c r="P20" s="11">
        <f>'Occ T5'!AM46</f>
        <v>402.77023413866755</v>
      </c>
    </row>
    <row r="21" spans="13:16">
      <c r="M21" s="10" t="str">
        <f t="shared" si="0"/>
        <v>Administrative and secretarial occupations</v>
      </c>
      <c r="N21" s="11">
        <f>'Occ T5'!AO47</f>
        <v>-13.449967186477778</v>
      </c>
      <c r="O21" s="11">
        <f>'Occ T5'!AN47</f>
        <v>-111.2696670316343</v>
      </c>
      <c r="P21" s="11">
        <f>'Occ T5'!AM47</f>
        <v>-157.47971569787717</v>
      </c>
    </row>
    <row r="22" spans="13:16">
      <c r="M22" s="10" t="str">
        <f t="shared" si="0"/>
        <v>Skilled trades occupations</v>
      </c>
      <c r="N22" s="11">
        <f>'Occ T5'!AO48</f>
        <v>20.911223544102143</v>
      </c>
      <c r="O22" s="11">
        <f>'Occ T5'!AN48</f>
        <v>18.881911901754791</v>
      </c>
      <c r="P22" s="11">
        <f>'Occ T5'!AM48</f>
        <v>15.611255816334534</v>
      </c>
    </row>
    <row r="23" spans="13:16">
      <c r="M23" s="10" t="str">
        <f t="shared" si="0"/>
        <v>Caring, leisure and other service occupations</v>
      </c>
      <c r="N23" s="11">
        <f>'Occ T5'!AO49</f>
        <v>34.933749025789979</v>
      </c>
      <c r="O23" s="11">
        <f>'Occ T5'!AN49</f>
        <v>-51.877188967772668</v>
      </c>
      <c r="P23" s="11">
        <f>'Occ T5'!AM49</f>
        <v>132.26855160289915</v>
      </c>
    </row>
    <row r="24" spans="13:16">
      <c r="M24" s="10" t="str">
        <f t="shared" si="0"/>
        <v>Sales and customer service occupations</v>
      </c>
      <c r="N24" s="11">
        <f>'Occ T5'!AO50</f>
        <v>-14.298675570908991</v>
      </c>
      <c r="O24" s="11">
        <f>'Occ T5'!AN50</f>
        <v>9.8191375005155805</v>
      </c>
      <c r="P24" s="11">
        <f>'Occ T5'!AM50</f>
        <v>-34.167266084232722</v>
      </c>
    </row>
    <row r="25" spans="13:16">
      <c r="M25" s="10" t="str">
        <f t="shared" si="0"/>
        <v>Process, plant and machine operatives</v>
      </c>
      <c r="N25" s="11">
        <f>'Occ T5'!AO51</f>
        <v>8.2114661696666289</v>
      </c>
      <c r="O25" s="11">
        <f>'Occ T5'!AN51</f>
        <v>35.0132386946973</v>
      </c>
      <c r="P25" s="11">
        <f>'Occ T5'!AM51</f>
        <v>10.515317792836882</v>
      </c>
    </row>
    <row r="26" spans="13:16">
      <c r="M26" s="10" t="str">
        <f t="shared" si="0"/>
        <v>Elementary occupations</v>
      </c>
      <c r="N26" s="11">
        <f>'Occ T5'!AO52</f>
        <v>37.313399921557576</v>
      </c>
      <c r="O26" s="11">
        <f>'Occ T5'!AN52</f>
        <v>-132.46296967707246</v>
      </c>
      <c r="P26" s="11">
        <f>'Occ T5'!AM52</f>
        <v>60.126432013573947</v>
      </c>
    </row>
    <row r="27" spans="13:16">
      <c r="M27" s="10"/>
      <c r="N27" s="11"/>
      <c r="O27" s="11"/>
      <c r="P27" s="11"/>
    </row>
    <row r="28" spans="13:16">
      <c r="M28" s="10" t="str">
        <f t="shared" si="0"/>
        <v>All occupations</v>
      </c>
      <c r="N28" s="11">
        <f>'Occ T5'!AO54</f>
        <v>162.51100001058671</v>
      </c>
      <c r="O28" s="11">
        <f>'Occ T5'!AN54</f>
        <v>171.22299997461232</v>
      </c>
      <c r="P28" s="11">
        <f>'Occ T5'!AM54</f>
        <v>872.68500003051304</v>
      </c>
    </row>
    <row r="31" spans="13:16">
      <c r="M31" s="64" t="s">
        <v>120</v>
      </c>
      <c r="N31" t="str">
        <f>N1</f>
        <v>2020-2035</v>
      </c>
    </row>
    <row r="32" spans="13:16" ht="12.95">
      <c r="M32" s="1" t="s">
        <v>176</v>
      </c>
      <c r="N32" s="64" t="s">
        <v>195</v>
      </c>
      <c r="O32" s="64" t="s">
        <v>196</v>
      </c>
      <c r="P32" s="64" t="s">
        <v>197</v>
      </c>
    </row>
    <row r="33" spans="1:16">
      <c r="M33" s="10" t="str">
        <f>M3</f>
        <v>Managers, directors and senior officials</v>
      </c>
      <c r="N33" s="11">
        <f>'Occ T5'!Y44</f>
        <v>57.969956589408753</v>
      </c>
      <c r="O33" s="11">
        <f>'Occ T5'!X44</f>
        <v>15.098745312250799</v>
      </c>
      <c r="P33" s="11">
        <f>'Occ T5'!W44</f>
        <v>-62.454988897071416</v>
      </c>
    </row>
    <row r="34" spans="1:16">
      <c r="M34" s="10" t="str">
        <f t="shared" ref="M34:M43" si="1">M4</f>
        <v>Professional occupations</v>
      </c>
      <c r="N34" s="11">
        <f>'Occ T5'!Y45</f>
        <v>-34.126101500364314</v>
      </c>
      <c r="O34" s="11">
        <f>'Occ T5'!X45</f>
        <v>124.61174110943853</v>
      </c>
      <c r="P34" s="11">
        <f>'Occ T5'!W45</f>
        <v>655.34277966758918</v>
      </c>
    </row>
    <row r="35" spans="1:16">
      <c r="M35" s="10" t="str">
        <f t="shared" si="1"/>
        <v>Associate professional occupations</v>
      </c>
      <c r="N35" s="11">
        <f>'Occ T5'!Y46</f>
        <v>24.372168065841834</v>
      </c>
      <c r="O35" s="11">
        <f>'Occ T5'!X46</f>
        <v>17.882655640421518</v>
      </c>
      <c r="P35" s="11">
        <f>'Occ T5'!W46</f>
        <v>-32.260254220606384</v>
      </c>
    </row>
    <row r="36" spans="1:16">
      <c r="M36" s="10" t="str">
        <f t="shared" si="1"/>
        <v>Administrative and secretarial occupations</v>
      </c>
      <c r="N36" s="11">
        <f>'Occ T5'!Y47</f>
        <v>10.34050819958561</v>
      </c>
      <c r="O36" s="11">
        <f>'Occ T5'!X47</f>
        <v>-7.0149647924914973</v>
      </c>
      <c r="P36" s="11">
        <f>'Occ T5'!W47</f>
        <v>145.59153119815721</v>
      </c>
    </row>
    <row r="37" spans="1:16">
      <c r="M37" s="10" t="str">
        <f t="shared" si="1"/>
        <v>Skilled trades occupations</v>
      </c>
      <c r="N37" s="11">
        <f>'Occ T5'!Y48</f>
        <v>79.794910854893033</v>
      </c>
      <c r="O37" s="11">
        <f>'Occ T5'!X48</f>
        <v>39.121149421473945</v>
      </c>
      <c r="P37" s="11">
        <f>'Occ T5'!W48</f>
        <v>-211.89331296603882</v>
      </c>
    </row>
    <row r="38" spans="1:16">
      <c r="M38" s="10" t="str">
        <f t="shared" si="1"/>
        <v>Caring, leisure and other service occupations</v>
      </c>
      <c r="N38" s="11">
        <f>'Occ T5'!Y49</f>
        <v>20.271560371605034</v>
      </c>
      <c r="O38" s="11">
        <f>'Occ T5'!X49</f>
        <v>57.079967684142474</v>
      </c>
      <c r="P38" s="11">
        <f>'Occ T5'!W49</f>
        <v>48.776080681701842</v>
      </c>
    </row>
    <row r="39" spans="1:16">
      <c r="M39" s="10" t="str">
        <f t="shared" si="1"/>
        <v>Sales and customer service occupations</v>
      </c>
      <c r="N39" s="11">
        <f>'Occ T5'!Y50</f>
        <v>-6.8500740598079233</v>
      </c>
      <c r="O39" s="11">
        <f>'Occ T5'!X50</f>
        <v>56.601960338120421</v>
      </c>
      <c r="P39" s="11">
        <f>'Occ T5'!W50</f>
        <v>33.292742863432068</v>
      </c>
    </row>
    <row r="40" spans="1:16" ht="15.6">
      <c r="A40" s="61" t="str">
        <f>CONCATENATE("Occupation Figure 5.1 Females:  Occupational Change by Status (000s) (SOC 2020), ",N1,", ",Info!B5)</f>
        <v>Occupation Figure 5.1 Females:  Occupational Change by Status (000s) (SOC 2020), 2020-2035, England</v>
      </c>
      <c r="M40" s="10" t="str">
        <f t="shared" si="1"/>
        <v>Process, plant and machine operatives</v>
      </c>
      <c r="N40" s="11">
        <f>'Occ T5'!Y51</f>
        <v>60.346625477375881</v>
      </c>
      <c r="O40" s="11">
        <f>'Occ T5'!X51</f>
        <v>32.371124410909346</v>
      </c>
      <c r="P40" s="11">
        <f>'Occ T5'!W51</f>
        <v>-147.28196269793898</v>
      </c>
    </row>
    <row r="41" spans="1:16">
      <c r="M41" s="10" t="str">
        <f t="shared" si="1"/>
        <v>Elementary occupations</v>
      </c>
      <c r="N41" s="11">
        <f>'Occ T5'!Y52</f>
        <v>32.802446000594443</v>
      </c>
      <c r="O41" s="11">
        <f>'Occ T5'!X52</f>
        <v>-55.831379124501836</v>
      </c>
      <c r="P41" s="11">
        <f>'Occ T5'!W52</f>
        <v>50.035384373493457</v>
      </c>
    </row>
    <row r="42" spans="1:16">
      <c r="M42" s="10"/>
      <c r="N42" s="11"/>
      <c r="O42" s="11"/>
      <c r="P42" s="11"/>
    </row>
    <row r="43" spans="1:16">
      <c r="M43" s="10" t="str">
        <f t="shared" si="1"/>
        <v>All occupations</v>
      </c>
      <c r="N43" s="11">
        <f>'Occ T5'!Y54</f>
        <v>244.92199999913191</v>
      </c>
      <c r="O43" s="11">
        <f>'Occ T5'!X54</f>
        <v>279.92099999976335</v>
      </c>
      <c r="P43" s="11">
        <f>'Occ T5'!W54</f>
        <v>479.14800000272044</v>
      </c>
    </row>
    <row r="79" spans="1:1" ht="15.6">
      <c r="A79" s="61" t="str">
        <f>CONCATENATE("Occupation Figure 5.2 Males:  Occupational Change by Status (000s) (SOC 2020), ",N1,", ",Info!B5)</f>
        <v>Occupation Figure 5.2 Males:  Occupational Change by Status (000s) (SOC 2020), 2020-2035,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6"/>
  <cols>
    <col min="1" max="1" width="36.7109375" customWidth="1"/>
    <col min="2" max="6" width="11.7109375" customWidth="1"/>
  </cols>
  <sheetData>
    <row r="1" spans="1:7" ht="15.6">
      <c r="A1" s="17" t="str">
        <f>CONCATENATE("Qualification Table 1  Employment by Qualification, ",B$3,"-",F$3,", ",Info!B5)</f>
        <v>Qualification Table 1  Employment by Qualification, 2015-2035, England</v>
      </c>
    </row>
    <row r="2" spans="1:7" ht="12.95">
      <c r="A2" s="1" t="s">
        <v>198</v>
      </c>
    </row>
    <row r="3" spans="1:7" ht="12.95">
      <c r="A3" s="19"/>
      <c r="B3" s="20">
        <f>'Occ T3'!B5</f>
        <v>2015</v>
      </c>
      <c r="C3" s="20">
        <f>'Occ T3'!C5</f>
        <v>2019</v>
      </c>
      <c r="D3" s="20">
        <f>'Occ T3'!D5</f>
        <v>2020</v>
      </c>
      <c r="E3" s="20">
        <f>'Occ T3'!E5</f>
        <v>2025</v>
      </c>
      <c r="F3" s="20">
        <f>'Occ T3'!F5</f>
        <v>2035</v>
      </c>
      <c r="G3" s="10"/>
    </row>
    <row r="4" spans="1:7" ht="12.95">
      <c r="A4" s="1" t="s">
        <v>115</v>
      </c>
      <c r="C4" s="10"/>
      <c r="D4" s="10"/>
      <c r="E4" s="10"/>
      <c r="F4" s="10"/>
    </row>
    <row r="5" spans="1:7">
      <c r="A5" t="str">
        <f>name!F4</f>
        <v>RQF8 Doctorate</v>
      </c>
      <c r="B5" s="11">
        <f>HLOOKUP(B$3,'Qual F1'!$M$4:$BZ$14,11,FALSE)</f>
        <v>393.72032912482791</v>
      </c>
      <c r="C5" s="11">
        <f>HLOOKUP(C$3,'Qual F1'!$M$4:$BZ$14,11,FALSE)</f>
        <v>507.77283542055335</v>
      </c>
      <c r="D5" s="11">
        <f>HLOOKUP(D$3,'Qual F1'!$M$4:$BZ$14,11,FALSE)</f>
        <v>522.64446579351363</v>
      </c>
      <c r="E5" s="11">
        <f>HLOOKUP(E$3,'Qual F1'!$M$4:$BZ$14,11,FALSE)</f>
        <v>669.73604231822503</v>
      </c>
      <c r="F5" s="11">
        <f>HLOOKUP(F$3,'Qual F1'!$M$4:$BZ$14,11,FALSE)</f>
        <v>934.1652784103552</v>
      </c>
      <c r="G5" s="11"/>
    </row>
    <row r="6" spans="1:7">
      <c r="A6" t="str">
        <f>name!F5</f>
        <v>RQF7 Other higher degree</v>
      </c>
      <c r="B6" s="11">
        <f>HLOOKUP(B$3,'Qual F1'!$M$4:$BZ$14,10,FALSE)</f>
        <v>2754.1142531476767</v>
      </c>
      <c r="C6" s="11">
        <f>HLOOKUP(C$3,'Qual F1'!$M$4:$BZ$14,10,FALSE)</f>
        <v>3602.5037901916585</v>
      </c>
      <c r="D6" s="11">
        <f>HLOOKUP(D$3,'Qual F1'!$M$4:$BZ$14,10,FALSE)</f>
        <v>3765.2929147959244</v>
      </c>
      <c r="E6" s="11">
        <f>HLOOKUP(E$3,'Qual F1'!$M$4:$BZ$14,10,FALSE)</f>
        <v>4821.7411523491573</v>
      </c>
      <c r="F6" s="11">
        <f>HLOOKUP(F$3,'Qual F1'!$M$4:$BZ$14,10,FALSE)</f>
        <v>6789.5072514767726</v>
      </c>
      <c r="G6" s="11"/>
    </row>
    <row r="7" spans="1:7">
      <c r="A7" t="str">
        <f>name!F6</f>
        <v>RQF6 First degree</v>
      </c>
      <c r="B7" s="11">
        <f>HLOOKUP(B$3,'Qual F1'!$M$4:$BZ$14,9,FALSE)</f>
        <v>5584.3807768145725</v>
      </c>
      <c r="C7" s="11">
        <f>HLOOKUP(C$3,'Qual F1'!$M$4:$BZ$14,9,FALSE)</f>
        <v>6107.7777430294263</v>
      </c>
      <c r="D7" s="11">
        <f>HLOOKUP(D$3,'Qual F1'!$M$4:$BZ$14,9,FALSE)</f>
        <v>6391.7858913682503</v>
      </c>
      <c r="E7" s="11">
        <f>HLOOKUP(E$3,'Qual F1'!$M$4:$BZ$14,9,FALSE)</f>
        <v>6786.7511547139493</v>
      </c>
      <c r="F7" s="11">
        <f>HLOOKUP(F$3,'Qual F1'!$M$4:$BZ$14,9,FALSE)</f>
        <v>7601.5451445197632</v>
      </c>
      <c r="G7" s="11"/>
    </row>
    <row r="8" spans="1:7">
      <c r="A8" t="str">
        <f>name!F7</f>
        <v>RQF5 Foundation degree;Nursing;Teaching</v>
      </c>
      <c r="B8" s="11">
        <f>HLOOKUP(B$3,'Qual F1'!$M$4:$BZ$14,8,FALSE)</f>
        <v>1634.762270005833</v>
      </c>
      <c r="C8" s="11">
        <f>HLOOKUP(C$3,'Qual F1'!$M$4:$BZ$14,8,FALSE)</f>
        <v>1634.5018593060931</v>
      </c>
      <c r="D8" s="11">
        <f>HLOOKUP(D$3,'Qual F1'!$M$4:$BZ$14,8,FALSE)</f>
        <v>1705.9422521063802</v>
      </c>
      <c r="E8" s="11">
        <f>HLOOKUP(E$3,'Qual F1'!$M$4:$BZ$14,8,FALSE)</f>
        <v>1703.3950738873423</v>
      </c>
      <c r="F8" s="11">
        <f>HLOOKUP(F$3,'Qual F1'!$M$4:$BZ$14,8,FALSE)</f>
        <v>1868.6764428666561</v>
      </c>
      <c r="G8" s="11"/>
    </row>
    <row r="9" spans="1:7">
      <c r="A9" t="str">
        <f>name!F8</f>
        <v>RQF4 HE below degree level</v>
      </c>
      <c r="B9" s="11">
        <f>HLOOKUP(B$3,'Qual F1'!$M$4:$BZ$14,7,FALSE)</f>
        <v>1538.7570902922553</v>
      </c>
      <c r="C9" s="11">
        <f>HLOOKUP(C$3,'Qual F1'!$M$4:$BZ$14,7,FALSE)</f>
        <v>1642.6509417224656</v>
      </c>
      <c r="D9" s="11">
        <f>HLOOKUP(D$3,'Qual F1'!$M$4:$BZ$14,7,FALSE)</f>
        <v>1728.4181700933332</v>
      </c>
      <c r="E9" s="11">
        <f>HLOOKUP(E$3,'Qual F1'!$M$4:$BZ$14,7,FALSE)</f>
        <v>1800.6486764732183</v>
      </c>
      <c r="F9" s="11">
        <f>HLOOKUP(F$3,'Qual F1'!$M$4:$BZ$14,7,FALSE)</f>
        <v>2039.02738078637</v>
      </c>
      <c r="G9" s="11"/>
    </row>
    <row r="10" spans="1:7">
      <c r="A10" t="str">
        <f>name!F9</f>
        <v>RQF3 A level &amp; equivalent</v>
      </c>
      <c r="B10" s="11">
        <f>HLOOKUP(B$3,'Qual F1'!$M$4:$BZ$14,6,FALSE)</f>
        <v>5639.2616360428665</v>
      </c>
      <c r="C10" s="11">
        <f>HLOOKUP(C$3,'Qual F1'!$M$4:$BZ$14,6,FALSE)</f>
        <v>5832.8497135580028</v>
      </c>
      <c r="D10" s="11">
        <f>HLOOKUP(D$3,'Qual F1'!$M$4:$BZ$14,6,FALSE)</f>
        <v>5842.7949099002499</v>
      </c>
      <c r="E10" s="11">
        <f>HLOOKUP(E$3,'Qual F1'!$M$4:$BZ$14,6,FALSE)</f>
        <v>5811.9310878060442</v>
      </c>
      <c r="F10" s="11">
        <f>HLOOKUP(F$3,'Qual F1'!$M$4:$BZ$14,6,FALSE)</f>
        <v>5820.876437296768</v>
      </c>
      <c r="G10" s="11"/>
    </row>
    <row r="11" spans="1:7">
      <c r="A11" t="str">
        <f>name!F10</f>
        <v>RQF2 GCSE(A-C) &amp; equivalent</v>
      </c>
      <c r="B11" s="11">
        <f>HLOOKUP(B$3,'Qual F1'!$M$4:$BZ$14,5,FALSE)</f>
        <v>5710.2594647863762</v>
      </c>
      <c r="C11" s="11">
        <f>HLOOKUP(C$3,'Qual F1'!$M$4:$BZ$14,5,FALSE)</f>
        <v>5758.7634162135182</v>
      </c>
      <c r="D11" s="11">
        <f>HLOOKUP(D$3,'Qual F1'!$M$4:$BZ$14,5,FALSE)</f>
        <v>5330.1618704902758</v>
      </c>
      <c r="E11" s="11">
        <f>HLOOKUP(E$3,'Qual F1'!$M$4:$BZ$14,5,FALSE)</f>
        <v>5134.4464820149587</v>
      </c>
      <c r="F11" s="11">
        <f>HLOOKUP(F$3,'Qual F1'!$M$4:$BZ$14,5,FALSE)</f>
        <v>4272.5426973533804</v>
      </c>
      <c r="G11" s="11"/>
    </row>
    <row r="12" spans="1:7">
      <c r="A12" t="str">
        <f>name!F11</f>
        <v>RQF1 GCSE(below grade C) &amp; equivalent</v>
      </c>
      <c r="B12" s="11">
        <f>HLOOKUP(B$3,'Qual F1'!$M$4:$BZ$14,4,FALSE)</f>
        <v>3914.3609839876071</v>
      </c>
      <c r="C12" s="11">
        <f>HLOOKUP(C$3,'Qual F1'!$M$4:$BZ$14,4,FALSE)</f>
        <v>3791.5074330667439</v>
      </c>
      <c r="D12" s="11">
        <f>HLOOKUP(D$3,'Qual F1'!$M$4:$BZ$14,4,FALSE)</f>
        <v>3433.340797516591</v>
      </c>
      <c r="E12" s="11">
        <f>HLOOKUP(E$3,'Qual F1'!$M$4:$BZ$14,4,FALSE)</f>
        <v>3089.2371506087961</v>
      </c>
      <c r="F12" s="11">
        <f>HLOOKUP(F$3,'Qual F1'!$M$4:$BZ$14,4,FALSE)</f>
        <v>2049.7111319645246</v>
      </c>
      <c r="G12" s="11"/>
    </row>
    <row r="13" spans="1:7">
      <c r="A13" t="str">
        <f>name!F12</f>
        <v>No Qualification</v>
      </c>
      <c r="B13" s="11">
        <f>HLOOKUP(B$3,'Qual F1'!$M$4:$BZ$14,3,FALSE)</f>
        <v>1486.5551957958014</v>
      </c>
      <c r="C13" s="11">
        <f>HLOOKUP(C$3,'Qual F1'!$M$4:$BZ$14,3,FALSE)</f>
        <v>1334.4322674854227</v>
      </c>
      <c r="D13" s="11">
        <f>HLOOKUP(D$3,'Qual F1'!$M$4:$BZ$14,3,FALSE)</f>
        <v>1139.2997279306785</v>
      </c>
      <c r="E13" s="11">
        <f>HLOOKUP(E$3,'Qual F1'!$M$4:$BZ$14,3,FALSE)</f>
        <v>936.86117983907172</v>
      </c>
      <c r="F13" s="11">
        <f>HLOOKUP(F$3,'Qual F1'!$M$4:$BZ$14,3,FALSE)</f>
        <v>694.03923533796922</v>
      </c>
      <c r="G13" s="11"/>
    </row>
    <row r="14" spans="1:7">
      <c r="B14" s="11"/>
      <c r="C14" s="11"/>
      <c r="D14" s="11"/>
      <c r="E14" s="11"/>
      <c r="F14" s="11"/>
      <c r="G14" s="11"/>
    </row>
    <row r="15" spans="1:7">
      <c r="A15" t="str">
        <f>name!F3</f>
        <v>All qualifications</v>
      </c>
      <c r="B15" s="11">
        <f>SUM(B5:B13)</f>
        <v>28656.171999997816</v>
      </c>
      <c r="C15" s="11">
        <f t="shared" ref="C15:F15" si="0">SUM(C5:C13)</f>
        <v>30212.759999993887</v>
      </c>
      <c r="D15" s="11">
        <f t="shared" si="0"/>
        <v>29859.680999995198</v>
      </c>
      <c r="E15" s="11">
        <f t="shared" si="0"/>
        <v>30754.748000010761</v>
      </c>
      <c r="F15" s="11">
        <f t="shared" si="0"/>
        <v>32070.091000012555</v>
      </c>
      <c r="G15" s="11"/>
    </row>
    <row r="16" spans="1:7">
      <c r="B16" s="11"/>
      <c r="C16" s="11"/>
      <c r="D16" s="11"/>
      <c r="E16" s="11"/>
      <c r="F16" s="11"/>
      <c r="G16" s="11"/>
    </row>
    <row r="17" spans="1:7">
      <c r="B17" s="11"/>
      <c r="C17" s="11"/>
      <c r="D17" s="11"/>
      <c r="E17" s="11"/>
      <c r="F17" s="11"/>
      <c r="G17" s="11"/>
    </row>
    <row r="18" spans="1:7" ht="12.95">
      <c r="A18" s="1" t="s">
        <v>124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>
      <c r="A19" t="str">
        <f>$A5</f>
        <v>RQF8 Doctorate</v>
      </c>
      <c r="B19" s="335">
        <f t="shared" ref="B19:F21" si="1">B5/B$15*100</f>
        <v>1.3739460006202431</v>
      </c>
      <c r="C19" s="335">
        <f t="shared" si="1"/>
        <v>1.6806568993387432</v>
      </c>
      <c r="D19" s="335">
        <f t="shared" si="1"/>
        <v>1.7503350614951234</v>
      </c>
      <c r="E19" s="335">
        <f>E5/E$15*100</f>
        <v>2.1776671436813291</v>
      </c>
      <c r="F19" s="335">
        <f t="shared" si="1"/>
        <v>2.9128862727891525</v>
      </c>
      <c r="G19" s="11"/>
    </row>
    <row r="20" spans="1:7">
      <c r="A20" t="str">
        <f>$A6</f>
        <v>RQF7 Other higher degree</v>
      </c>
      <c r="B20" s="335">
        <f t="shared" si="1"/>
        <v>9.610893782839824</v>
      </c>
      <c r="C20" s="335">
        <f t="shared" si="1"/>
        <v>11.923782501805157</v>
      </c>
      <c r="D20" s="335">
        <f t="shared" si="1"/>
        <v>12.609956934223543</v>
      </c>
      <c r="E20" s="335">
        <f t="shared" si="1"/>
        <v>15.678038240948911</v>
      </c>
      <c r="F20" s="335">
        <f t="shared" si="1"/>
        <v>21.170838746525895</v>
      </c>
      <c r="G20" s="11"/>
    </row>
    <row r="21" spans="1:7">
      <c r="A21" t="str">
        <f>$A7</f>
        <v>RQF6 First degree</v>
      </c>
      <c r="B21" s="335">
        <f t="shared" si="1"/>
        <v>19.487532308275501</v>
      </c>
      <c r="C21" s="335">
        <f t="shared" si="1"/>
        <v>20.215888065276598</v>
      </c>
      <c r="D21" s="335">
        <f t="shared" si="1"/>
        <v>21.406075608675383</v>
      </c>
      <c r="E21" s="335">
        <f t="shared" si="1"/>
        <v>22.067328123487062</v>
      </c>
      <c r="F21" s="335">
        <f t="shared" si="1"/>
        <v>23.702911053532048</v>
      </c>
      <c r="G21" s="11"/>
    </row>
    <row r="22" spans="1:7">
      <c r="A22" t="str">
        <f t="shared" ref="A22:A27" si="2">$A8</f>
        <v>RQF5 Foundation degree;Nursing;Teaching</v>
      </c>
      <c r="B22" s="335">
        <f t="shared" ref="B22:F22" si="3">B8/B$15*100</f>
        <v>5.7047475496935096</v>
      </c>
      <c r="C22" s="335">
        <f t="shared" si="3"/>
        <v>5.4099720095298274</v>
      </c>
      <c r="D22" s="335">
        <f t="shared" si="3"/>
        <v>5.7131965077143816</v>
      </c>
      <c r="E22" s="335">
        <f t="shared" si="3"/>
        <v>5.5386409730515309</v>
      </c>
      <c r="F22" s="335">
        <f t="shared" si="3"/>
        <v>5.8268510771170696</v>
      </c>
      <c r="G22" s="11"/>
    </row>
    <row r="23" spans="1:7">
      <c r="A23" t="str">
        <f t="shared" si="2"/>
        <v>RQF4 HE below degree level</v>
      </c>
      <c r="B23" s="335">
        <f t="shared" ref="B23:F23" si="4">B9/B$15*100</f>
        <v>5.369723109884923</v>
      </c>
      <c r="C23" s="335">
        <f t="shared" si="4"/>
        <v>5.4369443298884246</v>
      </c>
      <c r="D23" s="335">
        <f t="shared" si="4"/>
        <v>5.7884683031061552</v>
      </c>
      <c r="E23" s="335">
        <f t="shared" si="4"/>
        <v>5.8548640244835966</v>
      </c>
      <c r="F23" s="335">
        <f t="shared" si="4"/>
        <v>6.3580342842980144</v>
      </c>
      <c r="G23" s="11"/>
    </row>
    <row r="24" spans="1:7">
      <c r="A24" t="str">
        <f t="shared" si="2"/>
        <v>RQF3 A level &amp; equivalent</v>
      </c>
      <c r="B24" s="335">
        <f t="shared" ref="B24:F24" si="5">B10/B$15*100</f>
        <v>19.679047278343027</v>
      </c>
      <c r="C24" s="335">
        <f t="shared" si="5"/>
        <v>19.305914830552336</v>
      </c>
      <c r="D24" s="335">
        <f t="shared" si="5"/>
        <v>19.567506129423116</v>
      </c>
      <c r="E24" s="335">
        <f t="shared" si="5"/>
        <v>18.897670980116665</v>
      </c>
      <c r="F24" s="335">
        <f t="shared" si="5"/>
        <v>18.150483069394749</v>
      </c>
      <c r="G24" s="11"/>
    </row>
    <row r="25" spans="1:7">
      <c r="A25" t="str">
        <f t="shared" si="2"/>
        <v>RQF2 GCSE(A-C) &amp; equivalent</v>
      </c>
      <c r="B25" s="335">
        <f t="shared" ref="B25:F25" si="6">B11/B$15*100</f>
        <v>19.92680482510648</v>
      </c>
      <c r="C25" s="335">
        <f t="shared" si="6"/>
        <v>19.0606995726795</v>
      </c>
      <c r="D25" s="335">
        <f t="shared" si="6"/>
        <v>17.850699310857117</v>
      </c>
      <c r="E25" s="335">
        <f t="shared" si="6"/>
        <v>16.694809146259832</v>
      </c>
      <c r="F25" s="335">
        <f t="shared" si="6"/>
        <v>13.322515041668288</v>
      </c>
      <c r="G25" s="11"/>
    </row>
    <row r="26" spans="1:7">
      <c r="A26" t="str">
        <f t="shared" si="2"/>
        <v>RQF1 GCSE(below grade C) &amp; equivalent</v>
      </c>
      <c r="B26" s="335">
        <f t="shared" ref="B26:F26" si="7">B12/B$15*100</f>
        <v>13.659748357135438</v>
      </c>
      <c r="C26" s="335">
        <f>C12/C$15*100</f>
        <v>12.549358062843352</v>
      </c>
      <c r="D26" s="335">
        <f t="shared" si="7"/>
        <v>11.498250090204056</v>
      </c>
      <c r="E26" s="335">
        <f t="shared" si="7"/>
        <v>10.044748702241732</v>
      </c>
      <c r="F26" s="335">
        <f t="shared" si="7"/>
        <v>6.3913480381571794</v>
      </c>
      <c r="G26" s="11"/>
    </row>
    <row r="27" spans="1:7">
      <c r="A27" t="str">
        <f t="shared" si="2"/>
        <v>No Qualification</v>
      </c>
      <c r="B27" s="335">
        <f t="shared" ref="B27:F27" si="8">B13/B$15*100</f>
        <v>5.187556788101058</v>
      </c>
      <c r="C27" s="335">
        <f>C13/C$15*100</f>
        <v>4.416783728086056</v>
      </c>
      <c r="D27" s="335">
        <f t="shared" si="8"/>
        <v>3.8155120543011218</v>
      </c>
      <c r="E27" s="335">
        <f t="shared" si="8"/>
        <v>3.0462326657293497</v>
      </c>
      <c r="F27" s="335">
        <f t="shared" si="8"/>
        <v>2.1641324165176128</v>
      </c>
      <c r="G27" s="11"/>
    </row>
    <row r="28" spans="1:7">
      <c r="B28" s="335"/>
      <c r="C28" s="335"/>
      <c r="D28" s="335"/>
      <c r="E28" s="335"/>
      <c r="F28" s="335"/>
      <c r="G28" s="11"/>
    </row>
    <row r="29" spans="1:7">
      <c r="A29" t="str">
        <f>$A15</f>
        <v>All qualifications</v>
      </c>
      <c r="B29" s="335">
        <f>B15/B$15*100</f>
        <v>100</v>
      </c>
      <c r="C29" s="335">
        <f>C15/C$15*100</f>
        <v>100</v>
      </c>
      <c r="D29" s="335">
        <f>D15/D$15*100</f>
        <v>100</v>
      </c>
      <c r="E29" s="335">
        <f>E15/E$15*100</f>
        <v>100</v>
      </c>
      <c r="F29" s="335">
        <f>F15/F$15*100</f>
        <v>100</v>
      </c>
      <c r="G29" s="11"/>
    </row>
    <row r="30" spans="1:7">
      <c r="B30" s="335"/>
      <c r="C30" s="335"/>
      <c r="D30" s="335"/>
      <c r="E30" s="335"/>
      <c r="F30" s="335"/>
      <c r="G30" s="11"/>
    </row>
    <row r="32" spans="1:7" ht="12.95">
      <c r="A32" s="1" t="s">
        <v>125</v>
      </c>
      <c r="B32" s="18" t="str">
        <f>CONCATENATE(B$3,"-",C$3)</f>
        <v>2015-2019</v>
      </c>
      <c r="C32" s="18" t="str">
        <f>CONCATENATE(C$3,"-",D$3)</f>
        <v>2019-2020</v>
      </c>
      <c r="D32" s="18" t="str">
        <f>CONCATENATE(D$3,"-",E$3)</f>
        <v>2020-2025</v>
      </c>
      <c r="E32" s="18" t="str">
        <f>CONCATENATE(E$3,"-",F$3)</f>
        <v>2025-2035</v>
      </c>
      <c r="F32" s="18" t="str">
        <f>CONCATENATE(D$3,"-",F$3)</f>
        <v>2020-2035</v>
      </c>
    </row>
    <row r="33" spans="1:6">
      <c r="A33" t="str">
        <f>$A19</f>
        <v>RQF8 Doctorate</v>
      </c>
      <c r="B33" s="335">
        <f>IF(C$3-B$3 &lt;&gt; 0,(EXP(LN(C5/B5)/(C$3-B$3))-1)*100,0)</f>
        <v>6.5664272878815488</v>
      </c>
      <c r="C33" s="335">
        <f t="shared" ref="B33:E35" si="9">IF(D$3-C$3 &lt;&gt; 0,(EXP(LN(D5/C5)/(D$3-C$3))-1)*100,0)</f>
        <v>2.9287959763824478</v>
      </c>
      <c r="D33" s="335">
        <f t="shared" si="9"/>
        <v>5.0846937918853641</v>
      </c>
      <c r="E33" s="335">
        <f t="shared" si="9"/>
        <v>3.3836842633473196</v>
      </c>
      <c r="F33" s="335">
        <f>IF(F$3-D$3 &lt;&gt; 0,(EXP(LN(F5/D5)/(F$3-D$3))-1)*100,0)</f>
        <v>3.9476058530269142</v>
      </c>
    </row>
    <row r="34" spans="1:6">
      <c r="A34" t="str">
        <f>$A20</f>
        <v>RQF7 Other higher degree</v>
      </c>
      <c r="B34" s="335">
        <f t="shared" si="9"/>
        <v>6.9438028850269173</v>
      </c>
      <c r="C34" s="335">
        <f t="shared" si="9"/>
        <v>4.5187773305744416</v>
      </c>
      <c r="D34" s="335">
        <f t="shared" si="9"/>
        <v>5.0705546987109384</v>
      </c>
      <c r="E34" s="335">
        <f t="shared" si="9"/>
        <v>3.4816718171530647</v>
      </c>
      <c r="F34" s="335">
        <f t="shared" ref="F34:F43" si="10">IF(F$3-D$3 &lt;&gt; 0,(EXP(LN(F6/D6)/(F$3-D$3))-1)*100,0)</f>
        <v>4.0086116553877282</v>
      </c>
    </row>
    <row r="35" spans="1:6">
      <c r="A35" t="str">
        <f>$A21</f>
        <v>RQF6 First degree</v>
      </c>
      <c r="B35" s="335">
        <f t="shared" si="9"/>
        <v>2.2650065258754903</v>
      </c>
      <c r="C35" s="335">
        <f t="shared" si="9"/>
        <v>4.6499424223966246</v>
      </c>
      <c r="D35" s="335">
        <f t="shared" si="9"/>
        <v>1.2063917140095581</v>
      </c>
      <c r="E35" s="335">
        <f t="shared" si="9"/>
        <v>1.1402436103482794</v>
      </c>
      <c r="F35" s="335">
        <f t="shared" si="10"/>
        <v>1.1622881730457335</v>
      </c>
    </row>
    <row r="36" spans="1:6">
      <c r="A36" t="str">
        <f t="shared" ref="A36:A41" si="11">$A22</f>
        <v>RQF5 Foundation degree;Nursing;Teaching</v>
      </c>
      <c r="B36" s="335">
        <f>IF(C$3-B$3 &lt;&gt; 0,(EXP(LN(C8/B8)/(C$3-B$3))-1)*100,0)</f>
        <v>-3.9826319372826546E-3</v>
      </c>
      <c r="C36" s="335">
        <f t="shared" ref="C36:E36" si="12">IF(D$3-C$3 &lt;&gt; 0,(EXP(LN(D8/C8)/(D$3-C$3))-1)*100,0)</f>
        <v>4.370774642655717</v>
      </c>
      <c r="D36" s="335">
        <f t="shared" si="12"/>
        <v>-2.9880271484372667E-2</v>
      </c>
      <c r="E36" s="335">
        <f t="shared" si="12"/>
        <v>0.93037163793896482</v>
      </c>
      <c r="F36" s="335">
        <f t="shared" si="10"/>
        <v>0.60926717519047546</v>
      </c>
    </row>
    <row r="37" spans="1:6">
      <c r="A37" t="str">
        <f t="shared" si="11"/>
        <v>RQF4 HE below degree level</v>
      </c>
      <c r="B37" s="335">
        <f t="shared" ref="B37:E37" si="13">IF(C$3-B$3 &lt;&gt; 0,(EXP(LN(C9/B9)/(C$3-B$3))-1)*100,0)</f>
        <v>1.6468220138963874</v>
      </c>
      <c r="C37" s="335">
        <f t="shared" si="13"/>
        <v>5.2212692418349693</v>
      </c>
      <c r="D37" s="335">
        <f t="shared" si="13"/>
        <v>0.82216815300979462</v>
      </c>
      <c r="E37" s="335">
        <f t="shared" si="13"/>
        <v>1.2510200406947058</v>
      </c>
      <c r="F37" s="335">
        <f t="shared" si="10"/>
        <v>1.1078671112489946</v>
      </c>
    </row>
    <row r="38" spans="1:6">
      <c r="A38" t="str">
        <f t="shared" si="11"/>
        <v>RQF3 A level &amp; equivalent</v>
      </c>
      <c r="B38" s="335">
        <f t="shared" ref="B38:E38" si="14">IF(C$3-B$3 &lt;&gt; 0,(EXP(LN(C10/B10)/(C$3-B$3))-1)*100,0)</f>
        <v>0.84738367190442254</v>
      </c>
      <c r="C38" s="335">
        <f t="shared" si="14"/>
        <v>0.17050321593456985</v>
      </c>
      <c r="D38" s="335">
        <f t="shared" si="14"/>
        <v>-0.10587139790652067</v>
      </c>
      <c r="E38" s="335">
        <f t="shared" si="14"/>
        <v>1.5380705209877554E-2</v>
      </c>
      <c r="F38" s="335">
        <f t="shared" si="10"/>
        <v>-2.5053006629127683E-2</v>
      </c>
    </row>
    <row r="39" spans="1:6">
      <c r="A39" t="str">
        <f t="shared" si="11"/>
        <v>RQF2 GCSE(A-C) &amp; equivalent</v>
      </c>
      <c r="B39" s="335">
        <f t="shared" ref="B39:E39" si="15">IF(C$3-B$3 &lt;&gt; 0,(EXP(LN(C11/B11)/(C$3-B$3))-1)*100,0)</f>
        <v>0.21168132727671374</v>
      </c>
      <c r="C39" s="335">
        <f t="shared" si="15"/>
        <v>-7.4425968692607753</v>
      </c>
      <c r="D39" s="335">
        <f t="shared" si="15"/>
        <v>-0.74539927715874255</v>
      </c>
      <c r="E39" s="335">
        <f t="shared" si="15"/>
        <v>-1.8208476954261643</v>
      </c>
      <c r="F39" s="335">
        <f t="shared" si="10"/>
        <v>-1.4636659144008579</v>
      </c>
    </row>
    <row r="40" spans="1:6">
      <c r="A40" t="str">
        <f t="shared" si="11"/>
        <v>RQF1 GCSE(below grade C) &amp; equivalent</v>
      </c>
      <c r="B40" s="335">
        <f t="shared" ref="B40:E40" si="16">IF(C$3-B$3 &lt;&gt; 0,(EXP(LN(C12/B12)/(C$3-B$3))-1)*100,0)</f>
        <v>-0.79404105654011792</v>
      </c>
      <c r="C40" s="335">
        <f t="shared" si="16"/>
        <v>-9.4465497397284928</v>
      </c>
      <c r="D40" s="335">
        <f t="shared" si="16"/>
        <v>-2.0900413940598495</v>
      </c>
      <c r="E40" s="335">
        <f t="shared" si="16"/>
        <v>-4.0192495874224798</v>
      </c>
      <c r="F40" s="335">
        <f t="shared" si="10"/>
        <v>-3.3804412669577788</v>
      </c>
    </row>
    <row r="41" spans="1:6">
      <c r="A41" t="str">
        <f t="shared" si="11"/>
        <v>No Qualification</v>
      </c>
      <c r="B41" s="335">
        <f t="shared" ref="B41:E41" si="17">IF(C$3-B$3 &lt;&gt; 0,(EXP(LN(C13/B13)/(C$3-B$3))-1)*100,0)</f>
        <v>-2.6627944505365986</v>
      </c>
      <c r="C41" s="335">
        <f t="shared" si="17"/>
        <v>-14.622888273111679</v>
      </c>
      <c r="D41" s="335">
        <f t="shared" si="17"/>
        <v>-3.83712257060288</v>
      </c>
      <c r="E41" s="335">
        <f t="shared" si="17"/>
        <v>-2.9555109219178699</v>
      </c>
      <c r="F41" s="335">
        <f t="shared" si="10"/>
        <v>-3.250275890289156</v>
      </c>
    </row>
    <row r="42" spans="1:6">
      <c r="B42" s="335"/>
      <c r="C42" s="335"/>
      <c r="D42" s="335"/>
      <c r="E42" s="335"/>
      <c r="F42" s="335"/>
    </row>
    <row r="43" spans="1:6">
      <c r="A43" t="str">
        <f>$A29</f>
        <v>All qualifications</v>
      </c>
      <c r="B43" s="335">
        <f>IF(C$3-B$3 &lt;&gt; 0,(EXP(LN(C15/B15)/(C$3-B$3))-1)*100,0)</f>
        <v>1.3311698180238363</v>
      </c>
      <c r="C43" s="335">
        <f t="shared" ref="C43" si="18">IF(D$3-C$3 &lt;&gt; 0,(EXP(LN(D15/C15)/(D$3-C$3))-1)*100,0)</f>
        <v>-1.1686419909957224</v>
      </c>
      <c r="D43" s="335">
        <f>IF(E$3-D$3 &lt;&gt; 0,(EXP(LN(E15/D15)/(E$3-D$3))-1)*100,0)</f>
        <v>0.59245370532168273</v>
      </c>
      <c r="E43" s="335">
        <f>IF(F$3-E$3 &lt;&gt; 0,(EXP(LN(F15/E15)/(F$3-E$3))-1)*100,0)</f>
        <v>0.41967279423580361</v>
      </c>
      <c r="F43" s="335">
        <f t="shared" si="10"/>
        <v>0.47723343115719796</v>
      </c>
    </row>
    <row r="44" spans="1:6">
      <c r="B44" s="335"/>
      <c r="C44" s="335"/>
      <c r="D44" s="335"/>
      <c r="E44" s="335"/>
      <c r="F44" s="335"/>
    </row>
    <row r="46" spans="1:6" ht="12.95">
      <c r="A46" s="1" t="s">
        <v>126</v>
      </c>
      <c r="B46" s="18" t="str">
        <f>CONCATENATE(B$3,"-",C$3)</f>
        <v>2015-2019</v>
      </c>
      <c r="C46" s="18" t="str">
        <f>CONCATENATE(C$3,"-",D$3)</f>
        <v>2019-2020</v>
      </c>
      <c r="D46" s="18" t="str">
        <f>CONCATENATE(D$3,"-",E$3)</f>
        <v>2020-2025</v>
      </c>
      <c r="E46" s="18" t="str">
        <f>CONCATENATE(E$3,"-",F$3)</f>
        <v>2025-2035</v>
      </c>
      <c r="F46" s="18" t="str">
        <f>CONCATENATE(D$3,"-",F$3)</f>
        <v>2020-2035</v>
      </c>
    </row>
    <row r="47" spans="1:6">
      <c r="A47" t="str">
        <f>$A33</f>
        <v>RQF8 Doctorate</v>
      </c>
      <c r="B47" s="225">
        <f>C5-B5</f>
        <v>114.05250629572544</v>
      </c>
      <c r="C47" s="225">
        <f>D5-C5</f>
        <v>14.871630372960283</v>
      </c>
      <c r="D47" s="225">
        <f>E5-D5</f>
        <v>147.0915765247114</v>
      </c>
      <c r="E47" s="225">
        <f>F5-E5</f>
        <v>264.42923609213017</v>
      </c>
      <c r="F47" s="225">
        <f>F5-D5</f>
        <v>411.52081261684157</v>
      </c>
    </row>
    <row r="48" spans="1:6">
      <c r="A48" t="str">
        <f t="shared" ref="A48:A55" si="19">$A34</f>
        <v>RQF7 Other higher degree</v>
      </c>
      <c r="B48" s="225">
        <f t="shared" ref="B48:E48" si="20">C6-B6</f>
        <v>848.38953704398182</v>
      </c>
      <c r="C48" s="225">
        <f t="shared" si="20"/>
        <v>162.78912460426591</v>
      </c>
      <c r="D48" s="225">
        <f t="shared" si="20"/>
        <v>1056.448237553233</v>
      </c>
      <c r="E48" s="225">
        <f t="shared" si="20"/>
        <v>1967.7660991276152</v>
      </c>
      <c r="F48" s="225">
        <f t="shared" ref="F48:F57" si="21">F6-D6</f>
        <v>3024.2143366808482</v>
      </c>
    </row>
    <row r="49" spans="1:6">
      <c r="A49" t="str">
        <f t="shared" si="19"/>
        <v>RQF6 First degree</v>
      </c>
      <c r="B49" s="225">
        <f t="shared" ref="B49:E49" si="22">C7-B7</f>
        <v>523.39696621485382</v>
      </c>
      <c r="C49" s="225">
        <f t="shared" si="22"/>
        <v>284.00814833882396</v>
      </c>
      <c r="D49" s="225">
        <f t="shared" si="22"/>
        <v>394.96526334569899</v>
      </c>
      <c r="E49" s="225">
        <f t="shared" si="22"/>
        <v>814.79398980581391</v>
      </c>
      <c r="F49" s="225">
        <f t="shared" si="21"/>
        <v>1209.7592531515129</v>
      </c>
    </row>
    <row r="50" spans="1:6">
      <c r="A50" t="str">
        <f t="shared" si="19"/>
        <v>RQF5 Foundation degree;Nursing;Teaching</v>
      </c>
      <c r="B50" s="225">
        <f t="shared" ref="B50:E50" si="23">C8-B8</f>
        <v>-0.26041069973985032</v>
      </c>
      <c r="C50" s="225">
        <f t="shared" si="23"/>
        <v>71.4403928002871</v>
      </c>
      <c r="D50" s="225">
        <f t="shared" si="23"/>
        <v>-2.5471782190379599</v>
      </c>
      <c r="E50" s="225">
        <f t="shared" si="23"/>
        <v>165.28136897931381</v>
      </c>
      <c r="F50" s="225">
        <f t="shared" si="21"/>
        <v>162.73419076027585</v>
      </c>
    </row>
    <row r="51" spans="1:6">
      <c r="A51" t="str">
        <f t="shared" si="19"/>
        <v>RQF4 HE below degree level</v>
      </c>
      <c r="B51" s="225">
        <f t="shared" ref="B51:E51" si="24">C9-B9</f>
        <v>103.89385143021036</v>
      </c>
      <c r="C51" s="225">
        <f t="shared" si="24"/>
        <v>85.767228370867542</v>
      </c>
      <c r="D51" s="225">
        <f t="shared" si="24"/>
        <v>72.230506379885128</v>
      </c>
      <c r="E51" s="225">
        <f t="shared" si="24"/>
        <v>238.37870431315173</v>
      </c>
      <c r="F51" s="225">
        <f t="shared" si="21"/>
        <v>310.60921069303686</v>
      </c>
    </row>
    <row r="52" spans="1:6">
      <c r="A52" t="str">
        <f t="shared" si="19"/>
        <v>RQF3 A level &amp; equivalent</v>
      </c>
      <c r="B52" s="225">
        <f t="shared" ref="B52:E52" si="25">C10-B10</f>
        <v>193.58807751513632</v>
      </c>
      <c r="C52" s="225">
        <f t="shared" si="25"/>
        <v>9.9451963422470726</v>
      </c>
      <c r="D52" s="225">
        <f t="shared" si="25"/>
        <v>-30.863822094205716</v>
      </c>
      <c r="E52" s="225">
        <f t="shared" si="25"/>
        <v>8.9453494907238564</v>
      </c>
      <c r="F52" s="225">
        <f t="shared" si="21"/>
        <v>-21.91847260348186</v>
      </c>
    </row>
    <row r="53" spans="1:6">
      <c r="A53" t="str">
        <f t="shared" si="19"/>
        <v>RQF2 GCSE(A-C) &amp; equivalent</v>
      </c>
      <c r="B53" s="225">
        <f t="shared" ref="B53:E53" si="26">C11-B11</f>
        <v>48.503951427142056</v>
      </c>
      <c r="C53" s="225">
        <f>D11-C11</f>
        <v>-428.60154572324245</v>
      </c>
      <c r="D53" s="225">
        <f t="shared" si="26"/>
        <v>-195.71538847531701</v>
      </c>
      <c r="E53" s="225">
        <f t="shared" si="26"/>
        <v>-861.90378466157836</v>
      </c>
      <c r="F53" s="225">
        <f t="shared" si="21"/>
        <v>-1057.6191731368954</v>
      </c>
    </row>
    <row r="54" spans="1:6">
      <c r="A54" t="str">
        <f t="shared" si="19"/>
        <v>RQF1 GCSE(below grade C) &amp; equivalent</v>
      </c>
      <c r="B54" s="225">
        <f t="shared" ref="B54:E54" si="27">C12-B12</f>
        <v>-122.8535509208632</v>
      </c>
      <c r="C54" s="225">
        <f t="shared" si="27"/>
        <v>-358.16663555015293</v>
      </c>
      <c r="D54" s="225">
        <f t="shared" si="27"/>
        <v>-344.10364690779488</v>
      </c>
      <c r="E54" s="225">
        <f t="shared" si="27"/>
        <v>-1039.5260186442715</v>
      </c>
      <c r="F54" s="225">
        <f t="shared" si="21"/>
        <v>-1383.6296655520664</v>
      </c>
    </row>
    <row r="55" spans="1:6">
      <c r="A55" t="str">
        <f t="shared" si="19"/>
        <v>No Qualification</v>
      </c>
      <c r="B55" s="225">
        <f t="shared" ref="B55:E55" si="28">C13-B13</f>
        <v>-152.12292831037871</v>
      </c>
      <c r="C55" s="225">
        <f t="shared" si="28"/>
        <v>-195.1325395547442</v>
      </c>
      <c r="D55" s="225">
        <f t="shared" si="28"/>
        <v>-202.43854809160678</v>
      </c>
      <c r="E55" s="225">
        <f t="shared" si="28"/>
        <v>-242.82194450110251</v>
      </c>
      <c r="F55" s="225">
        <f t="shared" si="21"/>
        <v>-445.26049259270928</v>
      </c>
    </row>
    <row r="56" spans="1:6">
      <c r="B56" s="259"/>
      <c r="C56" s="225"/>
      <c r="D56" s="259"/>
      <c r="E56" s="259"/>
      <c r="F56" s="225"/>
    </row>
    <row r="57" spans="1:6">
      <c r="A57" s="21" t="str">
        <f>$A43</f>
        <v>All qualifications</v>
      </c>
      <c r="B57" s="337">
        <f>C15-B15</f>
        <v>1556.5879999960707</v>
      </c>
      <c r="C57" s="337">
        <f t="shared" ref="C57" si="29">D15-C15</f>
        <v>-353.07899999868823</v>
      </c>
      <c r="D57" s="337">
        <f>E15-D15</f>
        <v>895.06700001556237</v>
      </c>
      <c r="E57" s="337">
        <f>F15-E15</f>
        <v>1315.3430000017943</v>
      </c>
      <c r="F57" s="337">
        <f t="shared" si="21"/>
        <v>2210.4100000173567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6"/>
  <cols>
    <col min="1" max="1" width="17" style="62" customWidth="1"/>
    <col min="2" max="8" width="9.140625" style="62"/>
    <col min="9" max="9" width="31.85546875" style="62" customWidth="1"/>
    <col min="10" max="10" width="11.28515625" style="62" customWidth="1"/>
    <col min="11" max="11" width="6.140625" style="62" customWidth="1"/>
    <col min="12" max="12" width="27.140625" customWidth="1"/>
    <col min="13" max="32" width="6.42578125" bestFit="1" customWidth="1"/>
    <col min="33" max="33" width="6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6">
      <c r="A1" s="61" t="str">
        <f>CONCATENATE("Qualification Figure 1  Employment by Qualification, ",$M$2,"-",$O$2,", ",Info!B5)</f>
        <v>Qualification Figure 1  Employment by Qualification, 2010-2035, England</v>
      </c>
      <c r="H1"/>
      <c r="L1" s="35"/>
    </row>
    <row r="2" spans="1:68" ht="12.95">
      <c r="A2" s="1" t="s">
        <v>198</v>
      </c>
      <c r="L2" s="15" t="s">
        <v>165</v>
      </c>
      <c r="M2" s="15">
        <f>M4</f>
        <v>2010</v>
      </c>
      <c r="N2" s="36" t="s">
        <v>166</v>
      </c>
      <c r="O2" s="37">
        <f>MAX(M4:BP4)</f>
        <v>2035</v>
      </c>
    </row>
    <row r="3" spans="1:68">
      <c r="L3" s="15"/>
      <c r="M3" s="15"/>
      <c r="N3" s="36"/>
      <c r="O3" s="15"/>
    </row>
    <row r="4" spans="1:68">
      <c r="L4" s="64"/>
      <c r="M4" s="37">
        <v>2010</v>
      </c>
      <c r="N4" s="37">
        <v>2011</v>
      </c>
      <c r="O4" s="37">
        <v>2012</v>
      </c>
      <c r="P4" s="37">
        <v>2013</v>
      </c>
      <c r="Q4" s="37">
        <v>2014</v>
      </c>
      <c r="R4" s="37">
        <v>2015</v>
      </c>
      <c r="S4" s="37">
        <v>2016</v>
      </c>
      <c r="T4" s="37">
        <v>2017</v>
      </c>
      <c r="U4" s="37">
        <v>2018</v>
      </c>
      <c r="V4" s="37">
        <v>2019</v>
      </c>
      <c r="W4" s="37">
        <v>2020</v>
      </c>
      <c r="X4" s="37">
        <v>2021</v>
      </c>
      <c r="Y4" s="37">
        <v>2022</v>
      </c>
      <c r="Z4" s="37">
        <v>2023</v>
      </c>
      <c r="AA4" s="37">
        <v>2024</v>
      </c>
      <c r="AB4" s="37">
        <v>2025</v>
      </c>
      <c r="AC4" s="37">
        <v>2026</v>
      </c>
      <c r="AD4" s="37">
        <v>2027</v>
      </c>
      <c r="AE4" s="37">
        <v>2028</v>
      </c>
      <c r="AF4" s="37">
        <v>2029</v>
      </c>
      <c r="AG4" s="37">
        <v>2030</v>
      </c>
      <c r="AH4" s="37">
        <v>2031</v>
      </c>
      <c r="AI4" s="37">
        <v>2032</v>
      </c>
      <c r="AJ4" s="37">
        <v>2033</v>
      </c>
      <c r="AK4" s="37">
        <v>2034</v>
      </c>
      <c r="AL4" s="3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ht="12.95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>
      <c r="L6" s="107" t="str">
        <f>name!F12</f>
        <v>No Qualification</v>
      </c>
      <c r="M6" s="11">
        <v>1702.033110914967</v>
      </c>
      <c r="N6" s="11">
        <v>1655.5781152901332</v>
      </c>
      <c r="O6" s="11">
        <v>1572.8390264205864</v>
      </c>
      <c r="P6" s="11">
        <v>1556.8165204729598</v>
      </c>
      <c r="Q6" s="11">
        <v>1439.3135271229035</v>
      </c>
      <c r="R6" s="11">
        <v>1486.5551957958014</v>
      </c>
      <c r="S6" s="11">
        <v>1355.6873898979425</v>
      </c>
      <c r="T6" s="11">
        <v>1371.1009609128341</v>
      </c>
      <c r="U6" s="11">
        <v>1340.7294376486868</v>
      </c>
      <c r="V6" s="11">
        <v>1334.4322674854227</v>
      </c>
      <c r="W6" s="11">
        <v>1139.2997279306785</v>
      </c>
      <c r="X6" s="11">
        <v>1159.9409147864726</v>
      </c>
      <c r="Y6" s="11">
        <v>1078.4626013055065</v>
      </c>
      <c r="Z6" s="11">
        <v>1022.6650086377374</v>
      </c>
      <c r="AA6" s="11">
        <v>967.39642283354215</v>
      </c>
      <c r="AB6" s="11">
        <v>936.86117983907172</v>
      </c>
      <c r="AC6" s="11">
        <v>909.26112734762205</v>
      </c>
      <c r="AD6" s="11">
        <v>881.45097909603112</v>
      </c>
      <c r="AE6" s="11">
        <v>853.82044513731114</v>
      </c>
      <c r="AF6" s="11">
        <v>826.34056328394922</v>
      </c>
      <c r="AG6" s="11">
        <v>799.30152857704502</v>
      </c>
      <c r="AH6" s="11">
        <v>772.3200632714088</v>
      </c>
      <c r="AI6" s="11">
        <v>745.45861033493247</v>
      </c>
      <c r="AJ6" s="11">
        <v>718.72897053449265</v>
      </c>
      <c r="AK6" s="11">
        <v>693.76905385968394</v>
      </c>
      <c r="AL6" s="11">
        <v>694.03923533796922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>
      <c r="L7" s="107" t="str">
        <f>name!F11</f>
        <v>RQF1 GCSE(below grade C) &amp; equivalent</v>
      </c>
      <c r="M7" s="11">
        <v>4299.4224123435461</v>
      </c>
      <c r="N7" s="11">
        <v>4121.354747411162</v>
      </c>
      <c r="O7" s="11">
        <v>3938.2864331166511</v>
      </c>
      <c r="P7" s="11">
        <v>3844.9513771826159</v>
      </c>
      <c r="Q7" s="11">
        <v>3965.1700118986337</v>
      </c>
      <c r="R7" s="11">
        <v>3914.3609839876071</v>
      </c>
      <c r="S7" s="11">
        <v>3874.7574018367691</v>
      </c>
      <c r="T7" s="11">
        <v>3820.9234838812968</v>
      </c>
      <c r="U7" s="11">
        <v>3863.9134791191509</v>
      </c>
      <c r="V7" s="11">
        <v>3791.5074330667439</v>
      </c>
      <c r="W7" s="11">
        <v>3433.340797516591</v>
      </c>
      <c r="X7" s="11">
        <v>3365.8472383153608</v>
      </c>
      <c r="Y7" s="11">
        <v>3354.1186519836747</v>
      </c>
      <c r="Z7" s="11">
        <v>3269.2645943556477</v>
      </c>
      <c r="AA7" s="11">
        <v>3184.9429452760264</v>
      </c>
      <c r="AB7" s="11">
        <v>3089.2371506087961</v>
      </c>
      <c r="AC7" s="11">
        <v>2990.0774183305948</v>
      </c>
      <c r="AD7" s="11">
        <v>2888.7883257422272</v>
      </c>
      <c r="AE7" s="11">
        <v>2786.6746158692818</v>
      </c>
      <c r="AF7" s="11">
        <v>2683.6784936009117</v>
      </c>
      <c r="AG7" s="11">
        <v>2580.8115017704163</v>
      </c>
      <c r="AH7" s="11">
        <v>2476.847973988059</v>
      </c>
      <c r="AI7" s="11">
        <v>2372.0500521952599</v>
      </c>
      <c r="AJ7" s="11">
        <v>2266.4680939351047</v>
      </c>
      <c r="AK7" s="11">
        <v>2159.741276372587</v>
      </c>
      <c r="AL7" s="11">
        <v>2049.7111319645246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>
      <c r="L8" s="107" t="str">
        <f>name!F10</f>
        <v>RQF2 GCSE(A-C) &amp; equivalent</v>
      </c>
      <c r="M8" s="11">
        <v>5614.7737073058643</v>
      </c>
      <c r="N8" s="11">
        <v>5731.6055328011389</v>
      </c>
      <c r="O8" s="11">
        <v>5672.1253127801583</v>
      </c>
      <c r="P8" s="11">
        <v>5606.676552596854</v>
      </c>
      <c r="Q8" s="11">
        <v>5717.9252290811482</v>
      </c>
      <c r="R8" s="11">
        <v>5710.2594647863762</v>
      </c>
      <c r="S8" s="11">
        <v>5754.3399614225855</v>
      </c>
      <c r="T8" s="11">
        <v>5778.0327195727277</v>
      </c>
      <c r="U8" s="11">
        <v>5761.0058164643779</v>
      </c>
      <c r="V8" s="11">
        <v>5758.7634162135182</v>
      </c>
      <c r="W8" s="11">
        <v>5330.1618704902758</v>
      </c>
      <c r="X8" s="11">
        <v>5375.3338954896335</v>
      </c>
      <c r="Y8" s="11">
        <v>5335.0517235481902</v>
      </c>
      <c r="Z8" s="11">
        <v>5272.032041328308</v>
      </c>
      <c r="AA8" s="11">
        <v>5211.9846646078413</v>
      </c>
      <c r="AB8" s="11">
        <v>5134.4464820149587</v>
      </c>
      <c r="AC8" s="11">
        <v>5051.9991499693479</v>
      </c>
      <c r="AD8" s="11">
        <v>4966.9775925419099</v>
      </c>
      <c r="AE8" s="11">
        <v>4881.4527445955091</v>
      </c>
      <c r="AF8" s="11">
        <v>4795.3688622124901</v>
      </c>
      <c r="AG8" s="11">
        <v>4710.4932247567458</v>
      </c>
      <c r="AH8" s="11">
        <v>4624.7283846023211</v>
      </c>
      <c r="AI8" s="11">
        <v>4538.5326177396737</v>
      </c>
      <c r="AJ8" s="11">
        <v>4452.0670878190986</v>
      </c>
      <c r="AK8" s="11">
        <v>4364.6689797752288</v>
      </c>
      <c r="AL8" s="11">
        <v>4272.5426973533804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>
      <c r="L9" s="107" t="str">
        <f>name!F9</f>
        <v>RQF3 A level &amp; equivalent</v>
      </c>
      <c r="M9" s="11">
        <v>5176.5478075817146</v>
      </c>
      <c r="N9" s="11">
        <v>5146.2491521045486</v>
      </c>
      <c r="O9" s="11">
        <v>5396.4145960233054</v>
      </c>
      <c r="P9" s="11">
        <v>5316.2153223493924</v>
      </c>
      <c r="Q9" s="11">
        <v>5610.693512954058</v>
      </c>
      <c r="R9" s="11">
        <v>5639.2616360428665</v>
      </c>
      <c r="S9" s="11">
        <v>5755.4462883345395</v>
      </c>
      <c r="T9" s="11">
        <v>5808.9951878718466</v>
      </c>
      <c r="U9" s="11">
        <v>5785.3725328638066</v>
      </c>
      <c r="V9" s="11">
        <v>5832.8497135580028</v>
      </c>
      <c r="W9" s="11">
        <v>5842.7949099002499</v>
      </c>
      <c r="X9" s="11">
        <v>5646.1692468657393</v>
      </c>
      <c r="Y9" s="11">
        <v>5765.1396618735862</v>
      </c>
      <c r="Z9" s="11">
        <v>5783.663520351547</v>
      </c>
      <c r="AA9" s="11">
        <v>5806.8852209820188</v>
      </c>
      <c r="AB9" s="11">
        <v>5811.9310878060442</v>
      </c>
      <c r="AC9" s="11">
        <v>5812.4635161776787</v>
      </c>
      <c r="AD9" s="11">
        <v>5811.0199975540736</v>
      </c>
      <c r="AE9" s="11">
        <v>5809.9381751003993</v>
      </c>
      <c r="AF9" s="11">
        <v>5809.18514705093</v>
      </c>
      <c r="AG9" s="11">
        <v>5810.9477863702141</v>
      </c>
      <c r="AH9" s="11">
        <v>5812.7535122206127</v>
      </c>
      <c r="AI9" s="11">
        <v>5815.1880767682796</v>
      </c>
      <c r="AJ9" s="11">
        <v>5818.5118039142781</v>
      </c>
      <c r="AK9" s="11">
        <v>5821.9464357303214</v>
      </c>
      <c r="AL9" s="11">
        <v>5820.876437296768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>
      <c r="L10" s="107" t="str">
        <f>name!F8</f>
        <v>RQF4 HE below degree level</v>
      </c>
      <c r="M10" s="11">
        <v>1337.7813742381975</v>
      </c>
      <c r="N10" s="11">
        <v>1366.2096281080082</v>
      </c>
      <c r="O10" s="11">
        <v>1450.2489275019566</v>
      </c>
      <c r="P10" s="11">
        <v>1483.3850866338123</v>
      </c>
      <c r="Q10" s="11">
        <v>1544.1819476824976</v>
      </c>
      <c r="R10" s="11">
        <v>1538.7570902922553</v>
      </c>
      <c r="S10" s="11">
        <v>1574.9342076581547</v>
      </c>
      <c r="T10" s="11">
        <v>1593.9074486767472</v>
      </c>
      <c r="U10" s="11">
        <v>1586.6920738276021</v>
      </c>
      <c r="V10" s="11">
        <v>1642.6509417224656</v>
      </c>
      <c r="W10" s="11">
        <v>1728.4181700933332</v>
      </c>
      <c r="X10" s="11">
        <v>1761.3656420677587</v>
      </c>
      <c r="Y10" s="11">
        <v>1723.0214114960327</v>
      </c>
      <c r="Z10" s="11">
        <v>1750.2514700713521</v>
      </c>
      <c r="AA10" s="11">
        <v>1778.5457188223768</v>
      </c>
      <c r="AB10" s="11">
        <v>1800.6486764732183</v>
      </c>
      <c r="AC10" s="11">
        <v>1822.3217280081176</v>
      </c>
      <c r="AD10" s="11">
        <v>1844.0972901561859</v>
      </c>
      <c r="AE10" s="11">
        <v>1866.3199877772656</v>
      </c>
      <c r="AF10" s="11">
        <v>1888.8266886816411</v>
      </c>
      <c r="AG10" s="11">
        <v>1912.8622352522257</v>
      </c>
      <c r="AH10">
        <v>1937.165625209977</v>
      </c>
      <c r="AI10">
        <v>1962.0433694238322</v>
      </c>
      <c r="AJ10">
        <v>1987.960892622003</v>
      </c>
      <c r="AK10">
        <v>2014.5760890597153</v>
      </c>
      <c r="AL10" s="11">
        <v>2039.02738078637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>
      <c r="L11" s="107" t="str">
        <f>name!F7</f>
        <v>RQF5 Foundation degree;Nursing;Teaching</v>
      </c>
      <c r="M11" s="11">
        <v>1586.7825100113255</v>
      </c>
      <c r="N11" s="11">
        <v>1581.1973123132025</v>
      </c>
      <c r="O11" s="11">
        <v>1626.8618345029072</v>
      </c>
      <c r="P11" s="11">
        <v>1652.4536883945136</v>
      </c>
      <c r="Q11" s="11">
        <v>1673.3476881371764</v>
      </c>
      <c r="R11" s="11">
        <v>1634.762270005833</v>
      </c>
      <c r="S11" s="11">
        <v>1633.8100155683692</v>
      </c>
      <c r="T11" s="11">
        <v>1637.2711289112337</v>
      </c>
      <c r="U11" s="11">
        <v>1612.1871333606869</v>
      </c>
      <c r="V11" s="11">
        <v>1634.5018593060931</v>
      </c>
      <c r="W11" s="11">
        <v>1705.9422521063802</v>
      </c>
      <c r="X11" s="11">
        <v>1705.0732548960543</v>
      </c>
      <c r="Y11" s="11">
        <v>1662.0263656049631</v>
      </c>
      <c r="Z11" s="11">
        <v>1675.6755286961748</v>
      </c>
      <c r="AA11" s="11">
        <v>1692.1877400381134</v>
      </c>
      <c r="AB11" s="11">
        <v>1703.3950738873423</v>
      </c>
      <c r="AC11" s="11">
        <v>1714.3297085684014</v>
      </c>
      <c r="AD11" s="11">
        <v>1725.9673003963715</v>
      </c>
      <c r="AE11" s="11">
        <v>1739.5969636777363</v>
      </c>
      <c r="AF11" s="11">
        <v>1755.0236499218126</v>
      </c>
      <c r="AG11" s="11">
        <v>1771.8305640587414</v>
      </c>
      <c r="AH11">
        <v>1789.7525221947687</v>
      </c>
      <c r="AI11">
        <v>1808.8580143407682</v>
      </c>
      <c r="AJ11">
        <v>1828.6975029297862</v>
      </c>
      <c r="AK11">
        <v>1848.7645924960107</v>
      </c>
      <c r="AL11" s="11">
        <v>1868.6764428666561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>
      <c r="L12" s="107" t="str">
        <f>name!F6</f>
        <v>RQF6 First degree</v>
      </c>
      <c r="M12" s="11">
        <v>4372.5617107630305</v>
      </c>
      <c r="N12" s="11">
        <v>4612.6261793400472</v>
      </c>
      <c r="O12" s="11">
        <v>4984.1203975720473</v>
      </c>
      <c r="P12" s="11">
        <v>5230.1180480360144</v>
      </c>
      <c r="Q12" s="11">
        <v>5552.1107814229317</v>
      </c>
      <c r="R12" s="11">
        <v>5584.3807768145725</v>
      </c>
      <c r="S12" s="11">
        <v>5669.8041895566903</v>
      </c>
      <c r="T12" s="11">
        <v>5828.2145674073563</v>
      </c>
      <c r="U12" s="11">
        <v>5885.8422607909206</v>
      </c>
      <c r="V12" s="11">
        <v>6107.7777430294263</v>
      </c>
      <c r="W12" s="11">
        <v>6391.7858913682503</v>
      </c>
      <c r="X12" s="11">
        <v>6563.4886340303219</v>
      </c>
      <c r="Y12" s="11">
        <v>6466.1153563407061</v>
      </c>
      <c r="Z12" s="11">
        <v>6577.7745215240211</v>
      </c>
      <c r="AA12" s="11">
        <v>6692.7163763733051</v>
      </c>
      <c r="AB12" s="11">
        <v>6786.7511547139493</v>
      </c>
      <c r="AC12" s="11">
        <v>6873.5327373538594</v>
      </c>
      <c r="AD12" s="11">
        <v>6956.262363584975</v>
      </c>
      <c r="AE12" s="11">
        <v>7037.2624005339339</v>
      </c>
      <c r="AF12" s="11">
        <v>7117.0477022541254</v>
      </c>
      <c r="AG12" s="11">
        <v>7198.8493872356894</v>
      </c>
      <c r="AH12">
        <v>7279.8858291090201</v>
      </c>
      <c r="AI12">
        <v>7360.9185021520307</v>
      </c>
      <c r="AJ12">
        <v>7442.4783862446129</v>
      </c>
      <c r="AK12">
        <v>7524.1515345395173</v>
      </c>
      <c r="AL12">
        <v>7601.5451445197632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>
      <c r="L13" s="107" t="str">
        <f>name!F5</f>
        <v>RQF7 Other higher degree</v>
      </c>
      <c r="M13" s="11">
        <v>2083.3354002916944</v>
      </c>
      <c r="N13" s="11">
        <v>1994.7773838239889</v>
      </c>
      <c r="O13" s="11">
        <v>2069.1596124927773</v>
      </c>
      <c r="P13" s="11">
        <v>2165.9854077016348</v>
      </c>
      <c r="Q13" s="11">
        <v>2381.9020884923293</v>
      </c>
      <c r="R13" s="11">
        <v>2754.1142531476767</v>
      </c>
      <c r="S13" s="11">
        <v>3201.4171963419108</v>
      </c>
      <c r="T13" s="11">
        <v>3261.3467888964292</v>
      </c>
      <c r="U13" s="11">
        <v>3380.9957730962628</v>
      </c>
      <c r="V13" s="11">
        <v>3602.5037901916585</v>
      </c>
      <c r="W13" s="11">
        <v>3765.2929147959244</v>
      </c>
      <c r="X13" s="11">
        <v>3880.0478346440882</v>
      </c>
      <c r="Y13" s="11">
        <v>4181.7615526292011</v>
      </c>
      <c r="Z13" s="11">
        <v>4397.7831401837047</v>
      </c>
      <c r="AA13" s="11">
        <v>4617.0465200105264</v>
      </c>
      <c r="AB13" s="11">
        <v>4821.7411523491573</v>
      </c>
      <c r="AC13" s="11">
        <v>5022.4226435407372</v>
      </c>
      <c r="AD13" s="11">
        <v>5220.7941485805704</v>
      </c>
      <c r="AE13" s="11">
        <v>5418.5224529126335</v>
      </c>
      <c r="AF13" s="11">
        <v>5615.6464147724855</v>
      </c>
      <c r="AG13" s="11">
        <v>5814.0939845296452</v>
      </c>
      <c r="AH13">
        <v>6011.4999914214386</v>
      </c>
      <c r="AI13">
        <v>6208.3069688398245</v>
      </c>
      <c r="AJ13">
        <v>6404.6727406799173</v>
      </c>
      <c r="AK13">
        <v>6599.5961192929017</v>
      </c>
      <c r="AL13">
        <v>6789.5072514767726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>
      <c r="L14" s="107" t="str">
        <f>name!F4</f>
        <v>RQF8 Doctorate</v>
      </c>
      <c r="M14" s="11">
        <v>298.02296654885254</v>
      </c>
      <c r="N14" s="11">
        <v>286.00094880658258</v>
      </c>
      <c r="O14" s="11">
        <v>294.38285958991185</v>
      </c>
      <c r="P14" s="11">
        <v>310.52899663042643</v>
      </c>
      <c r="Q14" s="11">
        <v>342.72621320522296</v>
      </c>
      <c r="R14" s="11">
        <v>393.72032912482791</v>
      </c>
      <c r="S14" s="11">
        <v>451.19334937865506</v>
      </c>
      <c r="T14" s="11">
        <v>460.59471386481101</v>
      </c>
      <c r="U14" s="11">
        <v>477.28649282427057</v>
      </c>
      <c r="V14" s="11">
        <v>507.77283542055335</v>
      </c>
      <c r="W14" s="11">
        <v>522.64446579351363</v>
      </c>
      <c r="X14" s="11">
        <v>543.85233890759594</v>
      </c>
      <c r="Y14" s="11">
        <v>583.4736752262138</v>
      </c>
      <c r="Z14" s="11">
        <v>612.53017486125327</v>
      </c>
      <c r="AA14" s="11">
        <v>642.09639106674808</v>
      </c>
      <c r="AB14" s="11">
        <v>669.73604231822503</v>
      </c>
      <c r="AC14" s="11">
        <v>696.77897071595828</v>
      </c>
      <c r="AD14" s="11">
        <v>723.55600235826114</v>
      </c>
      <c r="AE14" s="11">
        <v>750.23221440485622</v>
      </c>
      <c r="AF14" s="11">
        <v>776.70647823138461</v>
      </c>
      <c r="AG14" s="11">
        <v>803.3357874601503</v>
      </c>
      <c r="AH14">
        <v>829.79509799235109</v>
      </c>
      <c r="AI14">
        <v>856.17178821619075</v>
      </c>
      <c r="AJ14">
        <v>882.38952133138491</v>
      </c>
      <c r="AK14">
        <v>908.58291888589872</v>
      </c>
      <c r="AL14">
        <v>934.1652784103552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>
      <c r="L15" s="107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L16" s="107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>
      <c r="A48" s="6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6">
      <c r="A51" s="61" t="str">
        <f>CONCATENATE("Qualification Figure 1.1  Employment by Qualification, ",$M$2,"-",$O$2," ",Info!B5)</f>
        <v>Qualification Figure 1.1  Employment by Qualification, 2010-2035 England</v>
      </c>
    </row>
    <row r="52" spans="1:1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6"/>
  <cols>
    <col min="1" max="1" width="57.85546875" style="72" customWidth="1"/>
    <col min="2" max="6" width="11.7109375" style="72" customWidth="1"/>
    <col min="7" max="7" width="5.7109375" style="72" customWidth="1"/>
    <col min="8" max="12" width="11.7109375" style="72" customWidth="1"/>
    <col min="13" max="16384" width="9.140625" style="72"/>
  </cols>
  <sheetData>
    <row r="1" spans="1:12" ht="15.6">
      <c r="A1" s="17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>
      <c r="F3" s="98"/>
      <c r="L3" s="98" t="s">
        <v>130</v>
      </c>
    </row>
    <row r="4" spans="1:12" ht="12.95">
      <c r="A4" s="77"/>
      <c r="B4" s="99" t="s">
        <v>131</v>
      </c>
      <c r="C4" s="77"/>
      <c r="D4" s="77"/>
      <c r="E4" s="77"/>
      <c r="F4" s="100"/>
      <c r="H4" s="99" t="s">
        <v>120</v>
      </c>
      <c r="I4" s="77"/>
      <c r="J4" s="77"/>
      <c r="K4" s="77"/>
      <c r="L4" s="77"/>
    </row>
    <row r="5" spans="1:12" ht="12.95">
      <c r="A5" s="73"/>
      <c r="B5" s="101">
        <v>2008</v>
      </c>
      <c r="C5" s="101">
        <v>2010</v>
      </c>
      <c r="D5" s="101">
        <v>2012</v>
      </c>
      <c r="E5" s="101">
        <v>2015</v>
      </c>
      <c r="F5" s="101">
        <v>2020</v>
      </c>
      <c r="H5" s="102" t="str">
        <f>CONCATENATE(B$5,"-",C$5)</f>
        <v>2008-2010</v>
      </c>
      <c r="I5" s="102" t="str">
        <f>CONCATENATE(B$5,"-",D$5)</f>
        <v>2008-2012</v>
      </c>
      <c r="J5" s="102" t="str">
        <f>CONCATENATE(D$5,"-",E$5)</f>
        <v>2012-2015</v>
      </c>
      <c r="K5" s="102" t="str">
        <f>CONCATENATE(E$5,"-",F$5)</f>
        <v>2015-2020</v>
      </c>
      <c r="L5" s="102" t="str">
        <f>CONCATENATE(D$5,"-",F$5)</f>
        <v>2012-2020</v>
      </c>
    </row>
    <row r="7" spans="1:12" s="103" customFormat="1" ht="12.95">
      <c r="A7" s="103" t="str">
        <f>name!F4</f>
        <v>RQF8 Doctorate</v>
      </c>
      <c r="B7" s="104">
        <v>71325.851049592791</v>
      </c>
      <c r="C7" s="104">
        <v>67875.205285452204</v>
      </c>
      <c r="D7" s="104">
        <v>65953.088065984106</v>
      </c>
      <c r="E7" s="104">
        <v>63161.5699830265</v>
      </c>
      <c r="F7" s="104">
        <v>59517.030027737295</v>
      </c>
      <c r="H7" s="104">
        <f>C7-B7</f>
        <v>-3450.6457641405868</v>
      </c>
      <c r="I7" s="104">
        <f>D7-B7</f>
        <v>-5372.7629836086853</v>
      </c>
      <c r="J7" s="104">
        <f>E7-D7</f>
        <v>-2791.5180829576057</v>
      </c>
      <c r="K7" s="104">
        <f>F7-E7</f>
        <v>-3644.539955289205</v>
      </c>
      <c r="L7" s="104">
        <f>F7-D7</f>
        <v>-6436.0580382468106</v>
      </c>
    </row>
    <row r="8" spans="1:12">
      <c r="A8" s="72" t="str">
        <f>name!J4</f>
        <v>SE</v>
      </c>
      <c r="B8" s="75">
        <v>21828.171692536111</v>
      </c>
      <c r="C8" s="75">
        <v>20792.172573048945</v>
      </c>
      <c r="D8" s="75">
        <v>20234.216118009812</v>
      </c>
      <c r="E8" s="75">
        <v>19430.497541178578</v>
      </c>
      <c r="F8" s="75">
        <v>18413.968008235337</v>
      </c>
      <c r="H8" s="75">
        <f>C8-B8</f>
        <v>-1035.9991194871654</v>
      </c>
      <c r="I8" s="75">
        <f>D8-B8</f>
        <v>-1593.9555745262987</v>
      </c>
      <c r="J8" s="75">
        <f t="shared" ref="J8:K10" si="0">E8-D8</f>
        <v>-803.7185768312338</v>
      </c>
      <c r="K8" s="75">
        <f t="shared" si="0"/>
        <v>-1016.5295329432411</v>
      </c>
      <c r="L8" s="75">
        <f>F8-D8</f>
        <v>-1820.2481097744749</v>
      </c>
    </row>
    <row r="9" spans="1:12">
      <c r="A9" s="72" t="str">
        <f>name!J5</f>
        <v>FT</v>
      </c>
      <c r="B9" s="75">
        <v>49497.679357056688</v>
      </c>
      <c r="C9" s="75">
        <v>47083.032712403263</v>
      </c>
      <c r="D9" s="75">
        <v>45718.871947974287</v>
      </c>
      <c r="E9" s="75">
        <v>43731.072441847915</v>
      </c>
      <c r="F9" s="75">
        <v>41103.062019501958</v>
      </c>
      <c r="H9" s="75">
        <f>C9-B9</f>
        <v>-2414.646644653425</v>
      </c>
      <c r="I9" s="75">
        <f>D9-B9</f>
        <v>-3778.8074090824011</v>
      </c>
      <c r="J9" s="75">
        <f t="shared" si="0"/>
        <v>-1987.7995061263719</v>
      </c>
      <c r="K9" s="75">
        <f t="shared" si="0"/>
        <v>-2628.0104223459566</v>
      </c>
      <c r="L9" s="75">
        <f>F9-D9</f>
        <v>-4615.8099284723285</v>
      </c>
    </row>
    <row r="10" spans="1:12">
      <c r="A10" s="72" t="str">
        <f>name!J6</f>
        <v>PT</v>
      </c>
      <c r="B10" s="75">
        <v>0</v>
      </c>
      <c r="C10" s="75">
        <v>0</v>
      </c>
      <c r="D10" s="75">
        <v>0</v>
      </c>
      <c r="E10" s="75">
        <v>0</v>
      </c>
      <c r="F10" s="75">
        <v>0</v>
      </c>
      <c r="H10" s="75">
        <f>C10-B10</f>
        <v>0</v>
      </c>
      <c r="I10" s="75">
        <f>D10-B10</f>
        <v>0</v>
      </c>
      <c r="J10" s="75">
        <f t="shared" si="0"/>
        <v>0</v>
      </c>
      <c r="K10" s="75">
        <f t="shared" si="0"/>
        <v>0</v>
      </c>
      <c r="L10" s="75">
        <f>F10-D10</f>
        <v>0</v>
      </c>
    </row>
    <row r="11" spans="1:12">
      <c r="H11" s="75"/>
      <c r="I11" s="75"/>
      <c r="J11" s="75"/>
      <c r="K11" s="75"/>
      <c r="L11" s="75"/>
    </row>
    <row r="12" spans="1:12" s="103" customFormat="1" ht="12.95">
      <c r="A12" s="103" t="str">
        <f>name!F5</f>
        <v>RQF7 Other higher degree</v>
      </c>
      <c r="B12" s="104">
        <v>117603.36216609999</v>
      </c>
      <c r="C12" s="104">
        <v>115939.95604983499</v>
      </c>
      <c r="D12" s="104">
        <v>117782.27837055401</v>
      </c>
      <c r="E12" s="104">
        <v>118889.39584623399</v>
      </c>
      <c r="F12" s="104">
        <v>120707.41471465</v>
      </c>
      <c r="H12" s="104">
        <f>C12-B12</f>
        <v>-1663.4061162650032</v>
      </c>
      <c r="I12" s="104">
        <f>D12-B12</f>
        <v>178.9162044540135</v>
      </c>
      <c r="J12" s="104">
        <f t="shared" ref="J12:K14" si="1">E12-D12</f>
        <v>1107.1174756799883</v>
      </c>
      <c r="K12" s="104">
        <f t="shared" si="1"/>
        <v>1818.0188684160094</v>
      </c>
      <c r="L12" s="104">
        <f>F12-D12</f>
        <v>2925.1363440959976</v>
      </c>
    </row>
    <row r="13" spans="1:12">
      <c r="A13" s="72">
        <f>name!J7</f>
        <v>0</v>
      </c>
      <c r="B13" s="75">
        <v>85684.696366442135</v>
      </c>
      <c r="C13" s="75">
        <v>84496.661838978005</v>
      </c>
      <c r="D13" s="75">
        <v>85862.536135946357</v>
      </c>
      <c r="E13" s="75">
        <v>86649.544796460745</v>
      </c>
      <c r="F13" s="75">
        <v>87931.502704386687</v>
      </c>
      <c r="H13" s="75">
        <f>C13-B13</f>
        <v>-1188.0345274641295</v>
      </c>
      <c r="I13" s="75">
        <f>D13-B13</f>
        <v>177.8397695042222</v>
      </c>
      <c r="J13" s="75">
        <f t="shared" si="1"/>
        <v>787.00866051438788</v>
      </c>
      <c r="K13" s="75">
        <f t="shared" si="1"/>
        <v>1281.957907925942</v>
      </c>
      <c r="L13" s="75">
        <f>F13-D13</f>
        <v>2068.9665684403299</v>
      </c>
    </row>
    <row r="14" spans="1:12">
      <c r="A14" s="72">
        <f>name!J8</f>
        <v>0</v>
      </c>
      <c r="B14" s="75">
        <v>31918.665799657861</v>
      </c>
      <c r="C14" s="75">
        <v>31443.29421085698</v>
      </c>
      <c r="D14" s="75">
        <v>31919.742234607653</v>
      </c>
      <c r="E14" s="75">
        <v>32239.851049773246</v>
      </c>
      <c r="F14" s="75">
        <v>32775.912010263324</v>
      </c>
      <c r="H14" s="75">
        <f>C14-B14</f>
        <v>-475.371588800881</v>
      </c>
      <c r="I14" s="75">
        <f>D14-B14</f>
        <v>1.0764349497912917</v>
      </c>
      <c r="J14" s="75">
        <f t="shared" si="1"/>
        <v>320.10881516559311</v>
      </c>
      <c r="K14" s="75">
        <f t="shared" si="1"/>
        <v>536.06096049007829</v>
      </c>
      <c r="L14" s="75">
        <f>F14-D14</f>
        <v>856.1697756556714</v>
      </c>
    </row>
    <row r="15" spans="1:12">
      <c r="H15" s="75"/>
      <c r="I15" s="75"/>
      <c r="J15" s="75"/>
      <c r="K15" s="75"/>
      <c r="L15" s="75"/>
    </row>
    <row r="16" spans="1:12" s="103" customFormat="1" ht="12.95">
      <c r="A16" s="103" t="str">
        <f>name!F6</f>
        <v>RQF6 First degree</v>
      </c>
      <c r="B16" s="104">
        <v>10699.858351711669</v>
      </c>
      <c r="C16" s="104">
        <v>10970.73916072664</v>
      </c>
      <c r="D16" s="104">
        <v>11301.540359819686</v>
      </c>
      <c r="E16" s="104">
        <v>11603.888290360199</v>
      </c>
      <c r="F16" s="104">
        <v>11675.073262162417</v>
      </c>
      <c r="H16" s="104">
        <f>C16-B16</f>
        <v>270.88080901497051</v>
      </c>
      <c r="I16" s="104">
        <f>D16-B16</f>
        <v>601.68200810801682</v>
      </c>
      <c r="J16" s="104">
        <f t="shared" ref="J16:K18" si="2">E16-D16</f>
        <v>302.34793054051261</v>
      </c>
      <c r="K16" s="104">
        <f t="shared" si="2"/>
        <v>71.18497180221857</v>
      </c>
      <c r="L16" s="104">
        <f>F16-D16</f>
        <v>373.53290234273118</v>
      </c>
    </row>
    <row r="17" spans="1:12">
      <c r="A17" s="72">
        <f>name!J9</f>
        <v>0</v>
      </c>
      <c r="B17" s="75">
        <v>8525.1872183076739</v>
      </c>
      <c r="C17" s="75">
        <v>8709.9422108052859</v>
      </c>
      <c r="D17" s="75">
        <v>8966.579956519352</v>
      </c>
      <c r="E17" s="75">
        <v>9198.0093388787081</v>
      </c>
      <c r="F17" s="75">
        <v>9243.5195858644965</v>
      </c>
      <c r="H17" s="75">
        <f>C17-B17</f>
        <v>184.75499249761197</v>
      </c>
      <c r="I17" s="75">
        <f>D17-B17</f>
        <v>441.39273821167808</v>
      </c>
      <c r="J17" s="75">
        <f t="shared" si="2"/>
        <v>231.42938235935617</v>
      </c>
      <c r="K17" s="75">
        <f t="shared" si="2"/>
        <v>45.510246985788399</v>
      </c>
      <c r="L17" s="75">
        <f>F17-D17</f>
        <v>276.93962934514457</v>
      </c>
    </row>
    <row r="18" spans="1:12">
      <c r="A18" s="72">
        <f>name!J10</f>
        <v>0</v>
      </c>
      <c r="B18" s="75">
        <v>2174.6711334039956</v>
      </c>
      <c r="C18" s="75">
        <v>2260.7969499213555</v>
      </c>
      <c r="D18" s="75">
        <v>2334.9604033003338</v>
      </c>
      <c r="E18" s="75">
        <v>2405.8789514814907</v>
      </c>
      <c r="F18" s="75">
        <v>2431.5536762979191</v>
      </c>
      <c r="H18" s="75">
        <f>C18-B18</f>
        <v>86.125816517359908</v>
      </c>
      <c r="I18" s="75">
        <f>D18-B18</f>
        <v>160.28926989633828</v>
      </c>
      <c r="J18" s="75">
        <f t="shared" si="2"/>
        <v>70.918548181156893</v>
      </c>
      <c r="K18" s="75">
        <f t="shared" si="2"/>
        <v>25.674724816428352</v>
      </c>
      <c r="L18" s="75">
        <f>F18-D18</f>
        <v>96.593272997585245</v>
      </c>
    </row>
    <row r="19" spans="1:12">
      <c r="H19" s="75"/>
      <c r="I19" s="75"/>
      <c r="J19" s="75"/>
      <c r="K19" s="75"/>
      <c r="L19" s="75"/>
    </row>
    <row r="20" spans="1:12">
      <c r="A20" s="73" t="str">
        <f>name!J3</f>
        <v>EE</v>
      </c>
      <c r="B20" s="74">
        <v>199629.07156740446</v>
      </c>
      <c r="C20" s="74">
        <v>194785.90049601384</v>
      </c>
      <c r="D20" s="74">
        <v>195036.90679635777</v>
      </c>
      <c r="E20" s="74">
        <v>193654.85411962072</v>
      </c>
      <c r="F20" s="74">
        <v>191899.51800454973</v>
      </c>
      <c r="H20" s="74">
        <f>C20-B20</f>
        <v>-4843.1710713906214</v>
      </c>
      <c r="I20" s="74">
        <f>D20-B20</f>
        <v>-4592.1647710466932</v>
      </c>
      <c r="J20" s="74">
        <f>E20-D20</f>
        <v>-1382.0526767370466</v>
      </c>
      <c r="K20" s="74">
        <f>F20-E20</f>
        <v>-1755.336115070997</v>
      </c>
      <c r="L20" s="74">
        <f>F20-D20</f>
        <v>-3137.3887918080436</v>
      </c>
    </row>
    <row r="23" spans="1:12">
      <c r="A23" s="72" t="str">
        <f>CONCATENATE("Note: For ",Info!$A$1," there is no European LFS data for some of the ISCED Qualifications.")</f>
        <v>Note: For Country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6"/>
  <cols>
    <col min="1" max="1" width="50.7109375" style="111" customWidth="1"/>
    <col min="2" max="2" width="13" style="111" customWidth="1"/>
    <col min="3" max="3" width="10.140625" style="111" customWidth="1"/>
    <col min="4" max="4" width="3.7109375" style="111" customWidth="1"/>
    <col min="5" max="6" width="10.140625" style="111" customWidth="1"/>
    <col min="7" max="7" width="3.7109375" style="111" customWidth="1"/>
    <col min="8" max="9" width="10.140625" style="111" customWidth="1"/>
    <col min="10" max="10" width="3.7109375" style="111" customWidth="1"/>
    <col min="11" max="12" width="10.140625" style="111" customWidth="1"/>
    <col min="13" max="13" width="3.7109375" style="111" customWidth="1"/>
    <col min="14" max="15" width="10.140625" style="111" customWidth="1"/>
    <col min="16" max="16" width="3.7109375" style="111" customWidth="1"/>
    <col min="17" max="18" width="10.140625" style="111" customWidth="1"/>
    <col min="19" max="19" width="9.140625" style="111"/>
    <col min="20" max="20" width="16.7109375" style="111" customWidth="1"/>
    <col min="21" max="21" width="9.140625" style="111"/>
    <col min="22" max="22" width="8.85546875" style="111" customWidth="1"/>
    <col min="23" max="41" width="9.140625" style="111"/>
    <col min="42" max="46" width="9.140625" style="118" customWidth="1"/>
    <col min="47" max="49" width="9.140625" style="111"/>
    <col min="50" max="50" width="9.140625" style="111" customWidth="1"/>
    <col min="51" max="16384" width="9.140625" style="111"/>
  </cols>
  <sheetData>
    <row r="1" spans="1:97" ht="18.75" customHeight="1">
      <c r="A1" s="252" t="str">
        <f>CONCATENATE("ShiftShare Table 1  Shift-share by occupation, ",I4,", ",Info!B5)</f>
        <v>ShiftShare Table 1  Shift-share by occupation, 2015-2020, England</v>
      </c>
      <c r="W1" s="180" t="str">
        <f>CONCATENATE("Shift-share Figure 1: Levels of Employment, ",C4," - ",F40,", ",Info!B5)</f>
        <v>Shift-share Figure 1: Levels of Employment, 2015 - 2035, England</v>
      </c>
      <c r="AK1" s="180" t="str">
        <f>CONCATENATE("Shift-share Figure 1.1: Net Changes, ",C4,"-",F40,", ",Info!B5)</f>
        <v>Shift-share Figure 1.1: Net Changes, 2015-2035, England</v>
      </c>
    </row>
    <row r="2" spans="1:97" ht="18.75" customHeight="1">
      <c r="A2" s="117" t="s">
        <v>179</v>
      </c>
      <c r="W2" s="180"/>
      <c r="AK2" s="180"/>
    </row>
    <row r="3" spans="1:97" ht="12.95">
      <c r="A3" s="126"/>
      <c r="B3" s="251"/>
      <c r="C3" s="251"/>
      <c r="D3" s="251"/>
      <c r="E3" s="251"/>
      <c r="F3" s="251"/>
      <c r="G3" s="251"/>
      <c r="H3" s="251"/>
      <c r="I3" s="251"/>
      <c r="J3" s="251"/>
      <c r="K3" s="372" t="s">
        <v>199</v>
      </c>
      <c r="L3" s="372"/>
      <c r="M3" s="372"/>
      <c r="N3" s="372"/>
      <c r="O3" s="372"/>
      <c r="P3" s="372"/>
      <c r="Q3" s="372"/>
      <c r="R3" s="372"/>
      <c r="AT3" s="119"/>
      <c r="AU3" s="107"/>
      <c r="AW3" s="119"/>
      <c r="AX3" s="118"/>
      <c r="AY3" s="120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</row>
    <row r="4" spans="1:97" ht="12.95">
      <c r="B4" s="246" t="s">
        <v>200</v>
      </c>
      <c r="C4" s="247">
        <v>2015</v>
      </c>
      <c r="D4" s="117"/>
      <c r="E4" s="246" t="s">
        <v>201</v>
      </c>
      <c r="F4" s="247">
        <v>2020</v>
      </c>
      <c r="G4" s="117"/>
      <c r="H4" s="246" t="s">
        <v>120</v>
      </c>
      <c r="I4" s="246" t="str">
        <f>CONCATENATE(C4,"-",F4)</f>
        <v>2015-2020</v>
      </c>
      <c r="J4" s="117"/>
      <c r="K4" s="371" t="s">
        <v>202</v>
      </c>
      <c r="L4" s="371"/>
      <c r="M4" s="117"/>
      <c r="N4" s="371" t="s">
        <v>203</v>
      </c>
      <c r="O4" s="371"/>
      <c r="P4" s="117"/>
      <c r="Q4" s="371" t="s">
        <v>204</v>
      </c>
      <c r="R4" s="371"/>
      <c r="AW4" s="118"/>
      <c r="AX4" s="118"/>
      <c r="AY4" s="120"/>
    </row>
    <row r="5" spans="1:97" ht="12.95">
      <c r="A5" s="123" t="s">
        <v>205</v>
      </c>
      <c r="B5" s="248" t="s">
        <v>142</v>
      </c>
      <c r="C5" s="248" t="s">
        <v>185</v>
      </c>
      <c r="D5" s="117"/>
      <c r="E5" s="248" t="str">
        <f>B5</f>
        <v>000s</v>
      </c>
      <c r="F5" s="248" t="str">
        <f>C5</f>
        <v>% share</v>
      </c>
      <c r="G5" s="117"/>
      <c r="H5" s="248" t="str">
        <f>E5</f>
        <v>000s</v>
      </c>
      <c r="I5" s="248" t="s">
        <v>206</v>
      </c>
      <c r="J5" s="117"/>
      <c r="K5" s="248" t="str">
        <f>H5</f>
        <v>000s</v>
      </c>
      <c r="L5" s="248" t="str">
        <f>I5</f>
        <v xml:space="preserve">%   </v>
      </c>
      <c r="M5" s="117"/>
      <c r="N5" s="248" t="str">
        <f>K5</f>
        <v>000s</v>
      </c>
      <c r="O5" s="248" t="str">
        <f>L5</f>
        <v xml:space="preserve">%   </v>
      </c>
      <c r="P5" s="117"/>
      <c r="Q5" s="248" t="str">
        <f>N5</f>
        <v>000s</v>
      </c>
      <c r="R5" s="248" t="str">
        <f>O5</f>
        <v xml:space="preserve">%   </v>
      </c>
      <c r="Z5" s="120" t="e">
        <f>"Levels of Employment, "&amp;#REF!&amp;"-"&amp;#REF!</f>
        <v>#REF!</v>
      </c>
      <c r="AM5" s="111" t="e">
        <f>"Net Changes, "&amp;#REF!&amp;"-"&amp;#REF!</f>
        <v>#REF!</v>
      </c>
      <c r="AV5" s="118"/>
      <c r="AW5" s="118"/>
      <c r="AX5" s="118"/>
    </row>
    <row r="6" spans="1:97" ht="12.95">
      <c r="A6" s="123"/>
      <c r="B6" s="246"/>
      <c r="C6" s="246"/>
      <c r="D6" s="117"/>
      <c r="E6" s="246"/>
      <c r="F6" s="246"/>
      <c r="G6" s="117"/>
      <c r="H6" s="246"/>
      <c r="I6" s="246"/>
      <c r="J6" s="117"/>
      <c r="K6" s="246"/>
      <c r="L6" s="246"/>
      <c r="M6" s="117"/>
      <c r="N6" s="246"/>
      <c r="O6" s="246"/>
      <c r="P6" s="117"/>
      <c r="Q6" s="246"/>
      <c r="R6" s="246"/>
      <c r="T6" s="117"/>
      <c r="AV6" s="118"/>
      <c r="AW6" s="118"/>
      <c r="AX6" s="118"/>
      <c r="AY6" s="120"/>
    </row>
    <row r="7" spans="1:97" ht="12.95">
      <c r="A7" s="253"/>
      <c r="B7" s="246"/>
      <c r="C7" s="246"/>
      <c r="D7" s="251"/>
      <c r="E7" s="246"/>
      <c r="F7" s="246"/>
      <c r="G7" s="251"/>
      <c r="H7" s="246"/>
      <c r="I7" s="246"/>
      <c r="J7" s="251"/>
      <c r="K7" s="246"/>
      <c r="L7" s="246"/>
      <c r="M7" s="251"/>
      <c r="N7" s="246"/>
      <c r="O7" s="246"/>
      <c r="P7" s="251"/>
      <c r="Q7" s="246"/>
      <c r="R7" s="246"/>
      <c r="T7" s="117"/>
      <c r="AV7" s="118"/>
      <c r="AW7" s="118"/>
      <c r="AX7" s="118"/>
      <c r="AY7" s="120"/>
    </row>
    <row r="8" spans="1:97">
      <c r="A8" s="10" t="str">
        <f>name!$D4</f>
        <v>11 Corporate managers and directors</v>
      </c>
      <c r="B8" s="131">
        <v>1899.4336390268675</v>
      </c>
      <c r="C8" s="121">
        <f t="shared" ref="C8:C33" si="0">B8/B$35*100</f>
        <v>6.6283578945122725</v>
      </c>
      <c r="E8" s="131">
        <v>2307.7401043917707</v>
      </c>
      <c r="F8" s="121">
        <f t="shared" ref="F8:F33" si="1">E8/E$35*100</f>
        <v>7.7286160705874272</v>
      </c>
      <c r="H8" s="131">
        <f>E8-B8</f>
        <v>408.30646536490326</v>
      </c>
      <c r="I8" s="121">
        <f>IF(B8&lt;&gt;0,((E8/B8)-1)*100,0)</f>
        <v>21.496221661847059</v>
      </c>
      <c r="K8" s="184">
        <f t="shared" ref="K8:K33" si="2">(($E$35/$B$35)-1)*B8</f>
        <v>79.772883812496431</v>
      </c>
      <c r="L8" s="121">
        <f>IF(B8&lt;&gt;0,K8/B8*100,0)</f>
        <v>4.199824735828428</v>
      </c>
      <c r="N8" s="131">
        <f>H8-(K8+Q8)</f>
        <v>326.95901371597949</v>
      </c>
      <c r="O8" s="121">
        <f>IF(B8&lt;&gt;0,N8/B8*100,0)</f>
        <v>17.213500224387396</v>
      </c>
      <c r="Q8" s="131">
        <v>1.5745678364273497</v>
      </c>
      <c r="R8" s="121">
        <f>IF(B8&lt;&gt;0,Q8/B8*100,0)</f>
        <v>8.2896701631231737E-2</v>
      </c>
      <c r="AT8" s="118" t="e">
        <f ca="1">CONCATENATE("C:",INT(CELL("col",#REF!))," R:",INT(CELL("row",#REF!)))</f>
        <v>#REF!</v>
      </c>
    </row>
    <row r="9" spans="1:97" ht="12.95">
      <c r="A9" s="10" t="str">
        <f>name!$D5</f>
        <v>12 Other managers and proprietors</v>
      </c>
      <c r="B9" s="131">
        <v>923.52132759385643</v>
      </c>
      <c r="C9" s="121">
        <f t="shared" si="0"/>
        <v>3.2227658585868633</v>
      </c>
      <c r="E9" s="131">
        <v>999.77365535930846</v>
      </c>
      <c r="F9" s="121">
        <f t="shared" si="1"/>
        <v>3.3482395721490414</v>
      </c>
      <c r="H9" s="131">
        <f t="shared" ref="H9:H32" si="3">E9-B9</f>
        <v>76.252327765452037</v>
      </c>
      <c r="I9" s="121">
        <f t="shared" ref="I9:I35" si="4">IF(B9&lt;&gt;0,((E9/B9)-1)*100,0)</f>
        <v>8.256693753258503</v>
      </c>
      <c r="K9" s="184">
        <f t="shared" si="2"/>
        <v>38.786277156937871</v>
      </c>
      <c r="L9" s="121">
        <f t="shared" ref="L9:L32" si="5">IF(B9&lt;&gt;0,K9/B9*100,0)</f>
        <v>4.199824735828428</v>
      </c>
      <c r="N9" s="131">
        <f t="shared" ref="N9:N31" si="6">H9-(K9+Q9)</f>
        <v>35.410590056723265</v>
      </c>
      <c r="O9" s="121">
        <f>IF(B9&lt;&gt;0,N9/B9*100,0)</f>
        <v>3.834301276937703</v>
      </c>
      <c r="Q9" s="131">
        <v>2.0554605517909024</v>
      </c>
      <c r="R9" s="121">
        <f>IF(B9&lt;&gt;0,Q9/B9*100,0)</f>
        <v>0.22256774049238276</v>
      </c>
      <c r="T9" s="117"/>
    </row>
    <row r="10" spans="1:97">
      <c r="A10" s="10" t="str">
        <f>name!$D6</f>
        <v>21 Science, research, engineering and technology professionals</v>
      </c>
      <c r="B10" s="131">
        <v>1585.0798970775459</v>
      </c>
      <c r="C10" s="121">
        <f t="shared" si="0"/>
        <v>5.531373475416288</v>
      </c>
      <c r="E10" s="131">
        <v>1898.0720341129449</v>
      </c>
      <c r="F10" s="121">
        <f t="shared" si="1"/>
        <v>6.3566386865058906</v>
      </c>
      <c r="H10" s="131">
        <f t="shared" si="3"/>
        <v>312.99213703539908</v>
      </c>
      <c r="I10" s="121">
        <f t="shared" si="4"/>
        <v>19.746142614796327</v>
      </c>
      <c r="K10" s="184">
        <f t="shared" si="2"/>
        <v>66.57057760010656</v>
      </c>
      <c r="L10" s="121">
        <f t="shared" si="5"/>
        <v>4.199824735828428</v>
      </c>
      <c r="N10" s="131">
        <f t="shared" si="6"/>
        <v>228.1472830020588</v>
      </c>
      <c r="O10" s="121">
        <f t="shared" ref="O10:O32" si="7">IF(B10&lt;&gt;0,N10/B10*100,0)</f>
        <v>14.393424799765617</v>
      </c>
      <c r="Q10" s="131">
        <v>18.274276433233727</v>
      </c>
      <c r="R10" s="121">
        <f t="shared" ref="R10:R32" si="8">IF(B10&lt;&gt;0,Q10/B10*100,0)</f>
        <v>1.1528930792022849</v>
      </c>
      <c r="AT10" s="118" t="e">
        <f ca="1">CONCATENATE("C:",INT(CELL("col",#REF!))," R:",INT(CELL("row",#REF!)))</f>
        <v>#REF!</v>
      </c>
    </row>
    <row r="11" spans="1:97" ht="12.95">
      <c r="A11" s="10" t="str">
        <f>name!$D7</f>
        <v>22 Health professionals</v>
      </c>
      <c r="B11" s="131">
        <v>1169.4428202608058</v>
      </c>
      <c r="C11" s="121">
        <f t="shared" si="0"/>
        <v>4.0809457043351669</v>
      </c>
      <c r="E11" s="131">
        <v>1355.932796971927</v>
      </c>
      <c r="F11" s="121">
        <f t="shared" si="1"/>
        <v>4.5410156825591814</v>
      </c>
      <c r="H11" s="131">
        <f>E11-B11</f>
        <v>186.48997671112124</v>
      </c>
      <c r="I11" s="121">
        <f>IF(B11&lt;&gt;0,((E11/B11)-1)*100,0)</f>
        <v>15.946908517470803</v>
      </c>
      <c r="K11" s="184">
        <f t="shared" si="2"/>
        <v>49.114548836682907</v>
      </c>
      <c r="L11" s="121">
        <f t="shared" si="5"/>
        <v>4.199824735828428</v>
      </c>
      <c r="N11" s="131">
        <f t="shared" si="6"/>
        <v>126.03279538444357</v>
      </c>
      <c r="O11" s="121">
        <f t="shared" si="7"/>
        <v>10.7771661171374</v>
      </c>
      <c r="Q11" s="131">
        <v>11.342632489994765</v>
      </c>
      <c r="R11" s="121">
        <f>IF(B11&lt;&gt;0,Q11/B11*100,0)</f>
        <v>0.96991766450497885</v>
      </c>
      <c r="T11" s="117"/>
    </row>
    <row r="12" spans="1:97">
      <c r="A12" s="10" t="str">
        <f>name!$D8</f>
        <v>23 Teaching and other educational professionals</v>
      </c>
      <c r="B12" s="131">
        <v>1361.7491851591385</v>
      </c>
      <c r="C12" s="121">
        <f t="shared" si="0"/>
        <v>4.7520275393351374</v>
      </c>
      <c r="E12" s="131">
        <v>1503.6331126652781</v>
      </c>
      <c r="F12" s="121">
        <f t="shared" si="1"/>
        <v>5.0356636853070169</v>
      </c>
      <c r="H12" s="131">
        <f t="shared" si="3"/>
        <v>141.88392750613957</v>
      </c>
      <c r="I12" s="121">
        <f t="shared" si="4"/>
        <v>10.419240859656442</v>
      </c>
      <c r="K12" s="184">
        <f t="shared" si="2"/>
        <v>57.191079118255558</v>
      </c>
      <c r="L12" s="121">
        <f t="shared" si="5"/>
        <v>4.199824735828428</v>
      </c>
      <c r="N12" s="131">
        <f t="shared" si="6"/>
        <v>129.16812335888199</v>
      </c>
      <c r="O12" s="121">
        <f t="shared" si="7"/>
        <v>9.4854562621814207</v>
      </c>
      <c r="Q12" s="131">
        <v>-44.47527497099798</v>
      </c>
      <c r="R12" s="121">
        <f t="shared" si="8"/>
        <v>-3.2660401383534112</v>
      </c>
      <c r="AT12" s="118" t="e">
        <f ca="1">CONCATENATE("C:",INT(CELL("col",#REF!))," R:",INT(CELL("row",#REF!)))</f>
        <v>#REF!</v>
      </c>
    </row>
    <row r="13" spans="1:97" ht="12.95">
      <c r="A13" s="10" t="str">
        <f>name!$D9</f>
        <v>24 Business, media and public service professionals</v>
      </c>
      <c r="B13" s="131">
        <v>1796.9718795456633</v>
      </c>
      <c r="C13" s="121">
        <f t="shared" si="0"/>
        <v>6.2708022535103547</v>
      </c>
      <c r="E13" s="131">
        <v>2294.7408922369627</v>
      </c>
      <c r="F13" s="121">
        <f t="shared" si="1"/>
        <v>7.6850817402815865</v>
      </c>
      <c r="H13" s="131">
        <f t="shared" si="3"/>
        <v>497.76901269129939</v>
      </c>
      <c r="I13" s="121">
        <f t="shared" si="4"/>
        <v>27.700434178032474</v>
      </c>
      <c r="K13" s="184">
        <f t="shared" si="2"/>
        <v>75.469669493039788</v>
      </c>
      <c r="L13" s="121">
        <f t="shared" si="5"/>
        <v>4.199824735828428</v>
      </c>
      <c r="N13" s="131">
        <f>H13-(K13+Q13)</f>
        <v>414.85461248675756</v>
      </c>
      <c r="O13" s="121">
        <f>IF(B13&lt;&gt;0,N13/B13*100,0)</f>
        <v>23.086316330762347</v>
      </c>
      <c r="Q13" s="131">
        <v>7.4447307115020784</v>
      </c>
      <c r="R13" s="121">
        <f t="shared" si="8"/>
        <v>0.41429311144169734</v>
      </c>
      <c r="T13" s="117"/>
    </row>
    <row r="14" spans="1:97">
      <c r="A14" s="10" t="str">
        <f>name!$D10</f>
        <v>31 Science, engineering and technology associate professionals</v>
      </c>
      <c r="B14" s="131">
        <v>463.28274271165401</v>
      </c>
      <c r="C14" s="121">
        <f t="shared" si="0"/>
        <v>1.6166944514141319</v>
      </c>
      <c r="E14" s="131">
        <v>588.40741770343891</v>
      </c>
      <c r="F14" s="121">
        <f t="shared" si="1"/>
        <v>1.9705750295977147</v>
      </c>
      <c r="H14" s="131">
        <f t="shared" si="3"/>
        <v>125.1246749917849</v>
      </c>
      <c r="I14" s="121">
        <f t="shared" si="4"/>
        <v>27.008274527864764</v>
      </c>
      <c r="K14" s="184">
        <f t="shared" si="2"/>
        <v>19.457063225228417</v>
      </c>
      <c r="L14" s="121">
        <f>IF(B14&lt;&gt;0,K14/B14*100,0)</f>
        <v>4.199824735828428</v>
      </c>
      <c r="N14" s="131">
        <f t="shared" si="6"/>
        <v>101.76833679145443</v>
      </c>
      <c r="O14" s="121">
        <f t="shared" si="7"/>
        <v>21.966787753800443</v>
      </c>
      <c r="Q14" s="131">
        <v>3.8992749751020592</v>
      </c>
      <c r="R14" s="121">
        <f t="shared" si="8"/>
        <v>0.84166203823589392</v>
      </c>
      <c r="AT14" s="118" t="e">
        <f ca="1">CONCATENATE("C:",INT(CELL("col",#REF!))," R:",INT(CELL("row",#REF!)))</f>
        <v>#REF!</v>
      </c>
    </row>
    <row r="15" spans="1:97">
      <c r="A15" s="10" t="str">
        <f>name!$D11</f>
        <v>32 Health and social care associate professionals</v>
      </c>
      <c r="B15" s="131">
        <v>493.00201988165986</v>
      </c>
      <c r="C15" s="121">
        <f t="shared" si="0"/>
        <v>1.7204043159766709</v>
      </c>
      <c r="E15" s="131">
        <v>567.17631851210399</v>
      </c>
      <c r="F15" s="121">
        <f t="shared" si="1"/>
        <v>1.8994721293646604</v>
      </c>
      <c r="H15" s="131">
        <f t="shared" si="3"/>
        <v>74.174298630444127</v>
      </c>
      <c r="I15" s="121">
        <f t="shared" si="4"/>
        <v>15.045435036604694</v>
      </c>
      <c r="K15" s="184">
        <f t="shared" si="2"/>
        <v>20.705220779123735</v>
      </c>
      <c r="L15" s="121">
        <f t="shared" si="5"/>
        <v>4.199824735828428</v>
      </c>
      <c r="N15" s="131">
        <f t="shared" si="6"/>
        <v>50.392743466481477</v>
      </c>
      <c r="O15" s="121">
        <f t="shared" si="7"/>
        <v>10.221609939565306</v>
      </c>
      <c r="Q15" s="131">
        <v>3.0763343848389151</v>
      </c>
      <c r="R15" s="121">
        <f t="shared" si="8"/>
        <v>0.6240003612109658</v>
      </c>
      <c r="T15" s="11"/>
    </row>
    <row r="16" spans="1:97">
      <c r="A16" s="10" t="str">
        <f>name!$D12</f>
        <v>33 Protective service occupations</v>
      </c>
      <c r="B16" s="131">
        <v>294.53338224612924</v>
      </c>
      <c r="C16" s="121">
        <f t="shared" si="0"/>
        <v>1.0278183082030361</v>
      </c>
      <c r="E16" s="131">
        <v>320.85693432953025</v>
      </c>
      <c r="F16" s="121">
        <f t="shared" si="1"/>
        <v>1.0745491029511725</v>
      </c>
      <c r="H16" s="131">
        <f t="shared" si="3"/>
        <v>26.323552083401012</v>
      </c>
      <c r="I16" s="121">
        <f t="shared" si="4"/>
        <v>8.9373747324177799</v>
      </c>
      <c r="K16" s="184">
        <f t="shared" si="2"/>
        <v>12.369885842845031</v>
      </c>
      <c r="L16" s="121">
        <f t="shared" si="5"/>
        <v>4.199824735828428</v>
      </c>
      <c r="N16" s="131">
        <f t="shared" si="6"/>
        <v>12.031565643338194</v>
      </c>
      <c r="O16" s="121">
        <f t="shared" si="7"/>
        <v>4.0849582317578914</v>
      </c>
      <c r="Q16" s="131">
        <v>1.922100597217786</v>
      </c>
      <c r="R16" s="121">
        <f t="shared" si="8"/>
        <v>0.65259176483145354</v>
      </c>
      <c r="T16" s="11"/>
    </row>
    <row r="17" spans="1:20">
      <c r="A17" s="10" t="str">
        <f>name!$D13</f>
        <v>34 Culture, media and sports occupations</v>
      </c>
      <c r="B17" s="131">
        <v>627.36985128235642</v>
      </c>
      <c r="C17" s="121">
        <f t="shared" si="0"/>
        <v>2.1893009690282614</v>
      </c>
      <c r="E17" s="131">
        <v>680.96833755090472</v>
      </c>
      <c r="F17" s="121">
        <f t="shared" si="1"/>
        <v>2.2805613280028472</v>
      </c>
      <c r="H17" s="131">
        <f t="shared" si="3"/>
        <v>53.598486268548299</v>
      </c>
      <c r="I17" s="121">
        <f t="shared" si="4"/>
        <v>8.5433634018261984</v>
      </c>
      <c r="K17" s="184">
        <f t="shared" si="2"/>
        <v>26.348434199286427</v>
      </c>
      <c r="L17" s="121">
        <f t="shared" si="5"/>
        <v>4.199824735828428</v>
      </c>
      <c r="N17" s="131">
        <f t="shared" si="6"/>
        <v>32.832817626711332</v>
      </c>
      <c r="O17" s="121">
        <f t="shared" si="7"/>
        <v>5.2334069862618362</v>
      </c>
      <c r="Q17" s="131">
        <v>-5.5827655574494601</v>
      </c>
      <c r="R17" s="121">
        <f t="shared" si="8"/>
        <v>-0.88986832026406382</v>
      </c>
      <c r="T17" s="11"/>
    </row>
    <row r="18" spans="1:20">
      <c r="A18" s="10" t="str">
        <f>name!$D14</f>
        <v>35 Business and public service associate professionals</v>
      </c>
      <c r="B18" s="131">
        <v>1794.8908672659011</v>
      </c>
      <c r="C18" s="121">
        <f t="shared" si="0"/>
        <v>6.2635402497794921</v>
      </c>
      <c r="E18" s="131">
        <v>1991.1109140397323</v>
      </c>
      <c r="F18" s="121">
        <f t="shared" si="1"/>
        <v>6.6682256720694753</v>
      </c>
      <c r="H18" s="131">
        <f t="shared" si="3"/>
        <v>196.2200467738312</v>
      </c>
      <c r="I18" s="121">
        <f t="shared" si="4"/>
        <v>10.93214358334369</v>
      </c>
      <c r="K18" s="184">
        <f t="shared" si="2"/>
        <v>75.382270624558714</v>
      </c>
      <c r="L18" s="121">
        <f t="shared" si="5"/>
        <v>4.199824735828428</v>
      </c>
      <c r="N18" s="131">
        <f t="shared" si="6"/>
        <v>121.50357490853719</v>
      </c>
      <c r="O18" s="121">
        <f t="shared" si="7"/>
        <v>6.7694129556533786</v>
      </c>
      <c r="Q18" s="131">
        <v>-0.66579875926469734</v>
      </c>
      <c r="R18" s="121">
        <f t="shared" si="8"/>
        <v>-3.7094108138111315E-2</v>
      </c>
      <c r="T18" s="11"/>
    </row>
    <row r="19" spans="1:20">
      <c r="A19" s="10" t="str">
        <f>name!$D15</f>
        <v>41 Administrative occupations</v>
      </c>
      <c r="B19" s="131">
        <v>2509.3095493403998</v>
      </c>
      <c r="C19" s="121">
        <f t="shared" si="0"/>
        <v>8.7566111389218193</v>
      </c>
      <c r="E19" s="131">
        <v>2567.7596878310501</v>
      </c>
      <c r="F19" s="121">
        <f t="shared" si="1"/>
        <v>8.5994210314285056</v>
      </c>
      <c r="H19" s="131">
        <f t="shared" si="3"/>
        <v>58.450138490650261</v>
      </c>
      <c r="I19" s="121">
        <f t="shared" si="4"/>
        <v>2.3293315289065974</v>
      </c>
      <c r="K19" s="184">
        <f t="shared" si="2"/>
        <v>105.38660315170296</v>
      </c>
      <c r="L19" s="121">
        <f t="shared" si="5"/>
        <v>4.199824735828428</v>
      </c>
      <c r="N19" s="131">
        <f t="shared" si="6"/>
        <v>-47.755252674766851</v>
      </c>
      <c r="O19" s="121">
        <f t="shared" si="7"/>
        <v>-1.9031232191867222</v>
      </c>
      <c r="Q19" s="131">
        <v>0.81878801371415422</v>
      </c>
      <c r="R19" s="121">
        <f t="shared" si="8"/>
        <v>3.2630012264902981E-2</v>
      </c>
      <c r="T19" s="11"/>
    </row>
    <row r="20" spans="1:20">
      <c r="A20" s="10" t="str">
        <f>name!$D16</f>
        <v>42 Secretarial and related occupations</v>
      </c>
      <c r="B20" s="131">
        <v>640.18421130639149</v>
      </c>
      <c r="C20" s="121">
        <f t="shared" si="0"/>
        <v>2.2340185957372163</v>
      </c>
      <c r="E20" s="131">
        <v>571.84680079936788</v>
      </c>
      <c r="F20" s="121">
        <f t="shared" si="1"/>
        <v>1.9151135633346499</v>
      </c>
      <c r="H20" s="131">
        <f t="shared" si="3"/>
        <v>-68.337410507023606</v>
      </c>
      <c r="I20" s="121">
        <f t="shared" si="4"/>
        <v>-10.674647906041123</v>
      </c>
      <c r="K20" s="184">
        <f t="shared" si="2"/>
        <v>26.886614861313962</v>
      </c>
      <c r="L20" s="121">
        <f t="shared" si="5"/>
        <v>4.199824735828428</v>
      </c>
      <c r="N20" s="131">
        <f t="shared" si="6"/>
        <v>-97.295239845468728</v>
      </c>
      <c r="O20" s="121">
        <f t="shared" si="7"/>
        <v>-15.198006781036236</v>
      </c>
      <c r="Q20" s="131">
        <v>2.0712144771311678</v>
      </c>
      <c r="R20" s="121">
        <f t="shared" si="8"/>
        <v>0.32353413916668533</v>
      </c>
      <c r="T20" s="11"/>
    </row>
    <row r="21" spans="1:20">
      <c r="A21" s="10" t="str">
        <f>name!$D17</f>
        <v>51 Skilled agricultural and related trades</v>
      </c>
      <c r="B21" s="131">
        <v>298.83864607965563</v>
      </c>
      <c r="C21" s="121">
        <f t="shared" si="0"/>
        <v>1.0428421705441986</v>
      </c>
      <c r="E21" s="131">
        <v>271.9670256457141</v>
      </c>
      <c r="F21" s="121">
        <f t="shared" si="1"/>
        <v>0.91081691611426674</v>
      </c>
      <c r="H21" s="131">
        <f t="shared" si="3"/>
        <v>-26.87162043394153</v>
      </c>
      <c r="I21" s="121">
        <f t="shared" si="4"/>
        <v>-8.9920165234515519</v>
      </c>
      <c r="K21" s="184">
        <f t="shared" si="2"/>
        <v>12.550699378268147</v>
      </c>
      <c r="L21" s="121">
        <f t="shared" si="5"/>
        <v>4.199824735828428</v>
      </c>
      <c r="N21" s="131">
        <f t="shared" si="6"/>
        <v>-24.956620379451412</v>
      </c>
      <c r="O21" s="121">
        <f t="shared" si="7"/>
        <v>-8.3512024655603643</v>
      </c>
      <c r="Q21" s="131">
        <v>-14.465699432758266</v>
      </c>
      <c r="R21" s="121">
        <f t="shared" si="8"/>
        <v>-4.8406387937196129</v>
      </c>
      <c r="T21" s="11"/>
    </row>
    <row r="22" spans="1:20">
      <c r="A22" s="10" t="str">
        <f>name!$D18</f>
        <v>52 Skilled metal, electrical and electronic trades</v>
      </c>
      <c r="B22" s="131">
        <v>1042.1574658136535</v>
      </c>
      <c r="C22" s="121">
        <f t="shared" si="0"/>
        <v>3.6367644143597917</v>
      </c>
      <c r="E22" s="131">
        <v>921.97868029404242</v>
      </c>
      <c r="F22" s="121">
        <f t="shared" si="1"/>
        <v>3.0877043873783854</v>
      </c>
      <c r="H22" s="131">
        <f t="shared" si="3"/>
        <v>-120.1787855196111</v>
      </c>
      <c r="I22" s="121">
        <f t="shared" si="4"/>
        <v>-11.531730037147769</v>
      </c>
      <c r="K22" s="184">
        <f t="shared" si="2"/>
        <v>43.768787035524511</v>
      </c>
      <c r="L22" s="121">
        <f t="shared" si="5"/>
        <v>4.199824735828428</v>
      </c>
      <c r="N22" s="131">
        <f t="shared" si="6"/>
        <v>-158.60443803327078</v>
      </c>
      <c r="O22" s="121">
        <f t="shared" si="7"/>
        <v>-15.218855425983255</v>
      </c>
      <c r="Q22" s="131">
        <v>-5.3431345218648332</v>
      </c>
      <c r="R22" s="121">
        <f t="shared" si="8"/>
        <v>-0.51269934699294573</v>
      </c>
      <c r="T22" s="11"/>
    </row>
    <row r="23" spans="1:20">
      <c r="A23" s="10" t="str">
        <f>name!$D19</f>
        <v>53 Skilled construction and building trades</v>
      </c>
      <c r="B23" s="131">
        <v>918.22690874959676</v>
      </c>
      <c r="C23" s="121">
        <f t="shared" si="0"/>
        <v>3.2042901918290698</v>
      </c>
      <c r="E23" s="131">
        <v>769.61235836915148</v>
      </c>
      <c r="F23" s="121">
        <f t="shared" si="1"/>
        <v>2.5774299409604366</v>
      </c>
      <c r="H23" s="131">
        <f t="shared" si="3"/>
        <v>-148.61455038044528</v>
      </c>
      <c r="I23" s="121">
        <f t="shared" si="4"/>
        <v>-16.184948291574507</v>
      </c>
      <c r="K23" s="184">
        <f t="shared" si="2"/>
        <v>38.563920844698295</v>
      </c>
      <c r="L23" s="121">
        <f t="shared" si="5"/>
        <v>4.199824735828428</v>
      </c>
      <c r="N23" s="131">
        <f t="shared" si="6"/>
        <v>-231.04638776335088</v>
      </c>
      <c r="O23" s="121">
        <f t="shared" si="7"/>
        <v>-25.162232293756258</v>
      </c>
      <c r="Q23" s="131">
        <v>43.867916538207311</v>
      </c>
      <c r="R23" s="121">
        <f t="shared" si="8"/>
        <v>4.7774592663533264</v>
      </c>
      <c r="T23" s="11"/>
    </row>
    <row r="24" spans="1:20">
      <c r="A24" s="10" t="str">
        <f>name!$D20</f>
        <v>54 Textiles, printing and other skilled trades</v>
      </c>
      <c r="B24" s="131">
        <v>630.46793566083784</v>
      </c>
      <c r="C24" s="121">
        <f t="shared" si="0"/>
        <v>2.2001121980314986</v>
      </c>
      <c r="E24" s="131">
        <v>543.77413661579681</v>
      </c>
      <c r="F24" s="121">
        <f t="shared" si="1"/>
        <v>1.8210982783636702</v>
      </c>
      <c r="H24" s="131">
        <f t="shared" si="3"/>
        <v>-86.693799045041033</v>
      </c>
      <c r="I24" s="121">
        <f t="shared" si="4"/>
        <v>-13.750707076668567</v>
      </c>
      <c r="K24" s="184">
        <f t="shared" si="2"/>
        <v>26.478548313350725</v>
      </c>
      <c r="L24" s="121">
        <f t="shared" si="5"/>
        <v>4.199824735828428</v>
      </c>
      <c r="N24" s="131">
        <f t="shared" si="6"/>
        <v>-115.08867678102644</v>
      </c>
      <c r="O24" s="121">
        <f t="shared" si="7"/>
        <v>-18.254485322936194</v>
      </c>
      <c r="Q24" s="131">
        <v>1.9163294226346781</v>
      </c>
      <c r="R24" s="121">
        <f t="shared" si="8"/>
        <v>0.30395351043920077</v>
      </c>
      <c r="T24" s="11"/>
    </row>
    <row r="25" spans="1:20">
      <c r="A25" s="10" t="str">
        <f>name!$D21</f>
        <v>61 Caring personal service occupations</v>
      </c>
      <c r="B25" s="131">
        <v>2030.2468142039766</v>
      </c>
      <c r="C25" s="121">
        <f t="shared" si="0"/>
        <v>7.0848500427905536</v>
      </c>
      <c r="E25" s="131">
        <v>2019.8340014923285</v>
      </c>
      <c r="F25" s="121">
        <f t="shared" si="1"/>
        <v>6.7644192230072786</v>
      </c>
      <c r="H25" s="131">
        <f t="shared" si="3"/>
        <v>-10.41281271164803</v>
      </c>
      <c r="I25" s="121">
        <f t="shared" si="4"/>
        <v>-0.51288408083185466</v>
      </c>
      <c r="K25" s="184">
        <f t="shared" si="2"/>
        <v>85.266807901307232</v>
      </c>
      <c r="L25" s="121">
        <f t="shared" si="5"/>
        <v>4.199824735828428</v>
      </c>
      <c r="N25" s="131">
        <f t="shared" si="6"/>
        <v>-90.79262799459427</v>
      </c>
      <c r="O25" s="121">
        <f t="shared" si="7"/>
        <v>-4.4719995302734867</v>
      </c>
      <c r="Q25" s="131">
        <v>-4.8869926183609875</v>
      </c>
      <c r="R25" s="121">
        <f t="shared" si="8"/>
        <v>-0.24070928638679281</v>
      </c>
      <c r="T25" s="11"/>
    </row>
    <row r="26" spans="1:20">
      <c r="A26" s="10" t="str">
        <f>name!$D22</f>
        <v>62 Leisure, travel and related personal service occupations</v>
      </c>
      <c r="B26" s="131">
        <v>627.3899065379079</v>
      </c>
      <c r="C26" s="121">
        <f t="shared" si="0"/>
        <v>2.1893709548433642</v>
      </c>
      <c r="E26" s="131">
        <v>627.66767668036812</v>
      </c>
      <c r="F26" s="121">
        <f t="shared" si="1"/>
        <v>2.1020575426792694</v>
      </c>
      <c r="H26" s="131">
        <f t="shared" si="3"/>
        <v>0.27777014246021281</v>
      </c>
      <c r="I26" s="121">
        <f t="shared" si="4"/>
        <v>4.4273925921611834E-2</v>
      </c>
      <c r="K26" s="184">
        <f t="shared" si="2"/>
        <v>26.349276484869911</v>
      </c>
      <c r="L26" s="121">
        <f t="shared" si="5"/>
        <v>4.199824735828428</v>
      </c>
      <c r="N26" s="131">
        <f t="shared" si="6"/>
        <v>-33.253809259358114</v>
      </c>
      <c r="O26" s="121">
        <f t="shared" si="7"/>
        <v>-5.3003417671892148</v>
      </c>
      <c r="Q26" s="131">
        <v>7.1823029169484149</v>
      </c>
      <c r="R26" s="121">
        <f t="shared" si="8"/>
        <v>1.1447909572823911</v>
      </c>
      <c r="T26" s="11"/>
    </row>
    <row r="27" spans="1:20">
      <c r="A27" s="10" t="str">
        <f>name!$D23</f>
        <v>63 Community and civil enforcement occupations</v>
      </c>
      <c r="B27" s="131">
        <v>28.840224624383737</v>
      </c>
      <c r="C27" s="121">
        <f t="shared" si="0"/>
        <v>0.10064227917247978</v>
      </c>
      <c r="E27" s="131">
        <v>31.002949965390982</v>
      </c>
      <c r="F27" s="121">
        <f t="shared" si="1"/>
        <v>0.10382880502104476</v>
      </c>
      <c r="H27" s="131">
        <f t="shared" si="3"/>
        <v>2.1627253410072456</v>
      </c>
      <c r="I27" s="121">
        <f t="shared" si="4"/>
        <v>7.4989892387270496</v>
      </c>
      <c r="K27" s="184">
        <f t="shared" si="2"/>
        <v>1.2112388876433495</v>
      </c>
      <c r="L27" s="121">
        <f t="shared" si="5"/>
        <v>4.199824735828428</v>
      </c>
      <c r="N27" s="131">
        <f t="shared" si="6"/>
        <v>0.823600353742727</v>
      </c>
      <c r="O27" s="121">
        <f t="shared" si="7"/>
        <v>2.8557348788691197</v>
      </c>
      <c r="Q27" s="131">
        <v>0.12788609962116904</v>
      </c>
      <c r="R27" s="121">
        <f t="shared" si="8"/>
        <v>0.44342962402950331</v>
      </c>
      <c r="T27" s="149"/>
    </row>
    <row r="28" spans="1:20">
      <c r="A28" s="10" t="str">
        <f>name!$D24</f>
        <v>71 Sales occupations</v>
      </c>
      <c r="B28" s="131">
        <v>1992.1189392123574</v>
      </c>
      <c r="C28" s="121">
        <f t="shared" si="0"/>
        <v>6.9517971179559934</v>
      </c>
      <c r="E28" s="131">
        <v>1855.6966390660123</v>
      </c>
      <c r="F28" s="121">
        <f t="shared" si="1"/>
        <v>6.2147235902028211</v>
      </c>
      <c r="H28" s="131">
        <f t="shared" si="3"/>
        <v>-136.42230014634515</v>
      </c>
      <c r="I28" s="121">
        <f t="shared" si="4"/>
        <v>-6.8481001541144781</v>
      </c>
      <c r="K28" s="184">
        <f t="shared" si="2"/>
        <v>83.665503976163478</v>
      </c>
      <c r="L28" s="121">
        <f t="shared" si="5"/>
        <v>4.199824735828428</v>
      </c>
      <c r="N28" s="131">
        <f t="shared" si="6"/>
        <v>-164.52000950913219</v>
      </c>
      <c r="O28" s="121">
        <f t="shared" si="7"/>
        <v>-8.2585435171948127</v>
      </c>
      <c r="Q28" s="131">
        <v>-55.567794613376428</v>
      </c>
      <c r="R28" s="121">
        <f t="shared" si="8"/>
        <v>-2.7893813727480943</v>
      </c>
      <c r="T28" s="11"/>
    </row>
    <row r="29" spans="1:20">
      <c r="A29" s="10" t="str">
        <f>name!$D25</f>
        <v>72 Customer service occupations</v>
      </c>
      <c r="B29" s="131">
        <v>459.59571905867102</v>
      </c>
      <c r="C29" s="121">
        <f t="shared" si="0"/>
        <v>1.6038280306898869</v>
      </c>
      <c r="E29" s="131">
        <v>508.15214932829099</v>
      </c>
      <c r="F29" s="121">
        <f t="shared" si="1"/>
        <v>1.7018003284374417</v>
      </c>
      <c r="H29" s="131">
        <f t="shared" si="3"/>
        <v>48.556430269619966</v>
      </c>
      <c r="I29" s="121">
        <f t="shared" si="4"/>
        <v>10.56503101662296</v>
      </c>
      <c r="K29" s="184">
        <f t="shared" si="2"/>
        <v>19.302214693834593</v>
      </c>
      <c r="L29" s="121">
        <f t="shared" si="5"/>
        <v>4.1998247358284271</v>
      </c>
      <c r="N29" s="131">
        <f t="shared" si="6"/>
        <v>33.444012605101321</v>
      </c>
      <c r="O29" s="121">
        <f t="shared" si="7"/>
        <v>7.276832924727902</v>
      </c>
      <c r="Q29" s="131">
        <v>-4.1897970293159492</v>
      </c>
      <c r="R29" s="121">
        <f t="shared" si="8"/>
        <v>-0.91162664393335846</v>
      </c>
      <c r="T29" s="11"/>
    </row>
    <row r="30" spans="1:20">
      <c r="A30" s="10" t="str">
        <f>name!$D26</f>
        <v>81 Process, plant and machine operatives</v>
      </c>
      <c r="B30" s="131">
        <v>713.31333030825101</v>
      </c>
      <c r="C30" s="121">
        <f t="shared" si="0"/>
        <v>2.4892135987608763</v>
      </c>
      <c r="E30" s="131">
        <v>609.71859517402538</v>
      </c>
      <c r="F30" s="121">
        <f t="shared" si="1"/>
        <v>2.0419461117957791</v>
      </c>
      <c r="H30" s="131">
        <f t="shared" si="3"/>
        <v>-103.59473513422563</v>
      </c>
      <c r="I30" s="121">
        <f t="shared" si="4"/>
        <v>-14.523033670134588</v>
      </c>
      <c r="K30" s="184">
        <f t="shared" si="2"/>
        <v>29.957909690247465</v>
      </c>
      <c r="L30" s="121">
        <f t="shared" si="5"/>
        <v>4.199824735828428</v>
      </c>
      <c r="N30" s="131">
        <f t="shared" si="6"/>
        <v>-131.55997430766061</v>
      </c>
      <c r="O30" s="121">
        <f t="shared" si="7"/>
        <v>-18.443504238285904</v>
      </c>
      <c r="Q30" s="131">
        <v>-1.9926705168124865</v>
      </c>
      <c r="R30" s="121">
        <f t="shared" si="8"/>
        <v>-0.27935416767710963</v>
      </c>
      <c r="T30" s="11"/>
    </row>
    <row r="31" spans="1:20">
      <c r="A31" s="10" t="str">
        <f>name!$D27</f>
        <v>82 Transport and mobile machine drivers and operatives</v>
      </c>
      <c r="B31" s="131">
        <v>1054.0123740558722</v>
      </c>
      <c r="C31" s="121">
        <f t="shared" si="0"/>
        <v>3.6781338905138981</v>
      </c>
      <c r="E31" s="131">
        <v>1056.0707054043842</v>
      </c>
      <c r="F31" s="121">
        <f t="shared" si="1"/>
        <v>3.5367782576262399</v>
      </c>
      <c r="H31" s="131">
        <f t="shared" si="3"/>
        <v>2.0583313485119561</v>
      </c>
      <c r="I31" s="121">
        <f t="shared" si="4"/>
        <v>0.19528531155581508</v>
      </c>
      <c r="K31" s="184">
        <f t="shared" si="2"/>
        <v>44.266672404290979</v>
      </c>
      <c r="L31" s="121">
        <f t="shared" si="5"/>
        <v>4.199824735828428</v>
      </c>
      <c r="N31" s="131">
        <f t="shared" si="6"/>
        <v>-69.56242897930855</v>
      </c>
      <c r="O31" s="121">
        <f t="shared" si="7"/>
        <v>-6.5997734648626727</v>
      </c>
      <c r="Q31" s="131">
        <v>27.354087923529523</v>
      </c>
      <c r="R31" s="121">
        <f t="shared" si="8"/>
        <v>2.5952340405900687</v>
      </c>
      <c r="T31" s="11"/>
    </row>
    <row r="32" spans="1:20">
      <c r="A32" s="10" t="str">
        <f>name!$D28</f>
        <v>91 Elementary trades and related occupations</v>
      </c>
      <c r="B32" s="131">
        <v>475.90883310534304</v>
      </c>
      <c r="C32" s="121">
        <f t="shared" si="0"/>
        <v>1.6607550830773212</v>
      </c>
      <c r="E32" s="131">
        <v>379.27178924284834</v>
      </c>
      <c r="F32" s="121">
        <f t="shared" si="1"/>
        <v>1.270180311848975</v>
      </c>
      <c r="H32" s="131">
        <f t="shared" si="3"/>
        <v>-96.637043862494693</v>
      </c>
      <c r="I32" s="121">
        <f t="shared" si="4"/>
        <v>-20.305789079797133</v>
      </c>
      <c r="K32" s="184">
        <f t="shared" si="2"/>
        <v>19.987336892750626</v>
      </c>
      <c r="L32" s="121">
        <f t="shared" si="5"/>
        <v>4.199824735828428</v>
      </c>
      <c r="N32" s="131">
        <f>H32-(K32+Q32)</f>
        <v>-119.04424838301219</v>
      </c>
      <c r="O32" s="121">
        <f t="shared" si="7"/>
        <v>-25.014086754019459</v>
      </c>
      <c r="Q32" s="131">
        <v>2.4198676277668674</v>
      </c>
      <c r="R32" s="121">
        <f t="shared" si="8"/>
        <v>0.50847293839390173</v>
      </c>
      <c r="T32" s="11"/>
    </row>
    <row r="33" spans="1:20">
      <c r="A33" s="10" t="str">
        <f>name!$D29</f>
        <v>92 Elementary administration and service occupations</v>
      </c>
      <c r="B33" s="131">
        <v>2826.2835298888981</v>
      </c>
      <c r="C33" s="121">
        <f t="shared" si="0"/>
        <v>9.862739272674375</v>
      </c>
      <c r="E33" s="131">
        <v>2616.9152862125429</v>
      </c>
      <c r="F33" s="121">
        <f t="shared" si="1"/>
        <v>8.7640430124252244</v>
      </c>
      <c r="H33" s="131">
        <f t="shared" ref="H33" si="9">E33-B33</f>
        <v>-209.36824367635518</v>
      </c>
      <c r="I33" s="121">
        <f>IF(B33&lt;&gt;0,((E33/B33)-1)*100,0)</f>
        <v>-7.4078995069749904</v>
      </c>
      <c r="K33" s="184">
        <f t="shared" si="2"/>
        <v>118.69895479291878</v>
      </c>
      <c r="L33" s="121">
        <f t="shared" ref="L33" si="10">IF(B33&lt;&gt;0,K33/B33*100,0)</f>
        <v>4.199824735828428</v>
      </c>
      <c r="N33" s="131">
        <f>H33-(K33+Q33)</f>
        <v>-329.88935548991697</v>
      </c>
      <c r="O33" s="121">
        <f t="shared" ref="O33" si="11">IF(B33&lt;&gt;0,N33/B33*100,0)</f>
        <v>-11.672196083698829</v>
      </c>
      <c r="Q33" s="131">
        <v>1.8221570206429774</v>
      </c>
      <c r="R33" s="121">
        <f t="shared" ref="R33" si="12">IF(B33&lt;&gt;0,Q33/B33*100,0)</f>
        <v>6.4471840895403962E-2</v>
      </c>
      <c r="T33" s="11"/>
    </row>
    <row r="34" spans="1:20">
      <c r="A34" s="10"/>
      <c r="B34" s="131"/>
      <c r="C34" s="121"/>
      <c r="E34" s="131"/>
      <c r="F34" s="121"/>
      <c r="H34" s="131"/>
      <c r="I34" s="121"/>
      <c r="K34" s="184"/>
      <c r="L34" s="121"/>
      <c r="N34" s="131"/>
      <c r="O34" s="121"/>
      <c r="Q34" s="131"/>
      <c r="R34" s="121"/>
      <c r="T34" s="11"/>
    </row>
    <row r="35" spans="1:20">
      <c r="A35" s="129" t="str">
        <f>name!$D$3</f>
        <v>All occupations</v>
      </c>
      <c r="B35" s="132">
        <f>SUM(B8:B33)</f>
        <v>28656.171999997769</v>
      </c>
      <c r="C35" s="127">
        <f>B35/B$35*100</f>
        <v>100</v>
      </c>
      <c r="D35" s="125"/>
      <c r="E35" s="132">
        <f>SUM(E8:E33)</f>
        <v>29859.680999995217</v>
      </c>
      <c r="F35" s="127">
        <f t="shared" ref="F35" si="13">E35/E$35*100</f>
        <v>100</v>
      </c>
      <c r="G35" s="125"/>
      <c r="H35" s="132">
        <f>E35-B35</f>
        <v>1203.508999997448</v>
      </c>
      <c r="I35" s="127">
        <f t="shared" si="4"/>
        <v>4.199824735828428</v>
      </c>
      <c r="J35" s="125"/>
      <c r="K35" s="132"/>
      <c r="L35" s="127"/>
      <c r="M35" s="125"/>
      <c r="N35" s="128"/>
      <c r="O35" s="127"/>
      <c r="P35" s="125"/>
      <c r="Q35" s="128"/>
      <c r="R35" s="127"/>
    </row>
    <row r="37" spans="1:20" ht="15.6">
      <c r="A37" s="252" t="str">
        <f>CONCATENATE("ShiftShare Table 1.1  Shift-share by occupation, ",I40,", ",Info!B5)</f>
        <v>ShiftShare Table 1.1  Shift-share by occupation, 2020-2035, England</v>
      </c>
    </row>
    <row r="38" spans="1:20" ht="15.6">
      <c r="A38" s="252"/>
    </row>
    <row r="39" spans="1:20" ht="12.95">
      <c r="A39" s="126"/>
      <c r="B39" s="251"/>
      <c r="C39" s="251"/>
      <c r="D39" s="251"/>
      <c r="E39" s="251"/>
      <c r="F39" s="251"/>
      <c r="G39" s="251"/>
      <c r="H39" s="251"/>
      <c r="I39" s="251"/>
      <c r="J39" s="251"/>
      <c r="K39" s="372" t="str">
        <f>K3</f>
        <v>Components of change</v>
      </c>
      <c r="L39" s="372"/>
      <c r="M39" s="372"/>
      <c r="N39" s="372"/>
      <c r="O39" s="372"/>
      <c r="P39" s="372"/>
      <c r="Q39" s="372"/>
      <c r="R39" s="372"/>
    </row>
    <row r="40" spans="1:20" ht="12.95">
      <c r="B40" s="246" t="str">
        <f>B4</f>
        <v>Base year</v>
      </c>
      <c r="C40" s="247">
        <v>2020</v>
      </c>
      <c r="D40" s="117"/>
      <c r="E40" s="246" t="str">
        <f>E4</f>
        <v>Target year</v>
      </c>
      <c r="F40" s="251">
        <v>2035</v>
      </c>
      <c r="G40" s="117"/>
      <c r="H40" s="246" t="str">
        <f>H4</f>
        <v>Change</v>
      </c>
      <c r="I40" s="246" t="str">
        <f>CONCATENATE(C40,"-",F40)</f>
        <v>2020-2035</v>
      </c>
      <c r="J40" s="117"/>
      <c r="K40" s="371" t="str">
        <f>K4</f>
        <v>Scale effect</v>
      </c>
      <c r="L40" s="371"/>
      <c r="M40" s="117"/>
      <c r="N40" s="371" t="str">
        <f>N4</f>
        <v>Occupation effect</v>
      </c>
      <c r="O40" s="371"/>
      <c r="P40" s="117"/>
      <c r="Q40" s="371" t="str">
        <f>Q4</f>
        <v>Industry mix effect</v>
      </c>
      <c r="R40" s="371"/>
    </row>
    <row r="41" spans="1:20" ht="12.95">
      <c r="A41" s="123" t="str">
        <f>A5</f>
        <v>SOC2020 Sub-Major Groups</v>
      </c>
      <c r="B41" s="248" t="str">
        <f>B5</f>
        <v>000s</v>
      </c>
      <c r="C41" s="248" t="str">
        <f>C5</f>
        <v>% share</v>
      </c>
      <c r="D41" s="117"/>
      <c r="E41" s="248" t="str">
        <f>E5</f>
        <v>000s</v>
      </c>
      <c r="F41" s="248" t="str">
        <f>F5</f>
        <v>% share</v>
      </c>
      <c r="G41" s="117"/>
      <c r="H41" s="248" t="str">
        <f>H5</f>
        <v>000s</v>
      </c>
      <c r="I41" s="248" t="str">
        <f>I5</f>
        <v xml:space="preserve">%   </v>
      </c>
      <c r="J41" s="117"/>
      <c r="K41" s="248" t="str">
        <f>H41</f>
        <v>000s</v>
      </c>
      <c r="L41" s="248" t="str">
        <f>I41</f>
        <v xml:space="preserve">%   </v>
      </c>
      <c r="M41" s="117"/>
      <c r="N41" s="248" t="str">
        <f>K41</f>
        <v>000s</v>
      </c>
      <c r="O41" s="248" t="str">
        <f>L41</f>
        <v xml:space="preserve">%   </v>
      </c>
      <c r="P41" s="117"/>
      <c r="Q41" s="248" t="str">
        <f>Q5</f>
        <v>000s</v>
      </c>
      <c r="R41" s="248" t="str">
        <f>O41</f>
        <v xml:space="preserve">%   </v>
      </c>
    </row>
    <row r="42" spans="1:20" ht="12.95">
      <c r="A42" s="249"/>
      <c r="B42" s="248"/>
      <c r="C42" s="248"/>
      <c r="D42" s="250"/>
      <c r="E42" s="248"/>
      <c r="F42" s="248"/>
      <c r="G42" s="250"/>
      <c r="H42" s="248"/>
      <c r="I42" s="248"/>
      <c r="J42" s="250"/>
      <c r="K42" s="248"/>
      <c r="L42" s="248"/>
      <c r="M42" s="250"/>
      <c r="N42" s="248"/>
      <c r="O42" s="248"/>
      <c r="P42" s="250"/>
      <c r="Q42" s="248"/>
      <c r="R42" s="248"/>
    </row>
    <row r="43" spans="1:20" ht="12.95">
      <c r="A43" s="123"/>
      <c r="B43" s="246"/>
      <c r="C43" s="246"/>
      <c r="D43" s="251"/>
      <c r="E43" s="246"/>
      <c r="F43" s="246"/>
      <c r="G43" s="251"/>
      <c r="H43" s="246"/>
      <c r="I43" s="246"/>
      <c r="J43" s="251"/>
      <c r="K43" s="246"/>
      <c r="L43" s="246"/>
      <c r="M43" s="251"/>
      <c r="N43" s="246"/>
      <c r="O43" s="246"/>
      <c r="P43" s="251"/>
      <c r="Q43" s="246"/>
      <c r="R43" s="124"/>
    </row>
    <row r="44" spans="1:20">
      <c r="A44" s="116" t="str">
        <f t="shared" ref="A44:A69" si="14">A8</f>
        <v>11 Corporate managers and directors</v>
      </c>
      <c r="B44" s="131">
        <v>2307.7401043917707</v>
      </c>
      <c r="C44" s="121">
        <f t="shared" ref="C44:C69" si="15">B44/B$71*100</f>
        <v>7.7286160705874272</v>
      </c>
      <c r="E44" s="131">
        <v>2283.7260613096219</v>
      </c>
      <c r="F44" s="121">
        <f t="shared" ref="F44:F69" si="16">E44/E$71*100</f>
        <v>7.1210464021094628</v>
      </c>
      <c r="H44" s="131">
        <f>E44-B44</f>
        <v>-24.014043082148874</v>
      </c>
      <c r="I44" s="121">
        <f>IF(B44&gt;0,((E44/B44)-1)*100,0)</f>
        <v>-1.0405869810230617</v>
      </c>
      <c r="K44" s="131">
        <f>(($E$71/$B$71)-1)*B44</f>
        <v>170.8341024872083</v>
      </c>
      <c r="L44" s="121">
        <f>IF(B44&gt;0,K44/B44*100,0)</f>
        <v>7.4026577846483033</v>
      </c>
      <c r="N44" s="131">
        <f>H44-(K44+Q44)</f>
        <v>-158.11748961877822</v>
      </c>
      <c r="O44" s="121">
        <f>IF(B44&gt;0,N44/B44*100,0)</f>
        <v>-6.8516159734742637</v>
      </c>
      <c r="Q44" s="131">
        <v>-36.730655950578964</v>
      </c>
      <c r="R44" s="121">
        <f>IF(B44&gt;0,Q44/B44*100,0)</f>
        <v>-1.5916287921971057</v>
      </c>
      <c r="T44" s="131"/>
    </row>
    <row r="45" spans="1:20">
      <c r="A45" s="116" t="str">
        <f t="shared" si="14"/>
        <v>12 Other managers and proprietors</v>
      </c>
      <c r="B45" s="131">
        <v>999.77365535930846</v>
      </c>
      <c r="C45" s="121">
        <f t="shared" si="15"/>
        <v>3.3482395721490414</v>
      </c>
      <c r="E45" s="131">
        <v>1168.6471608444135</v>
      </c>
      <c r="F45" s="121">
        <f t="shared" si="16"/>
        <v>3.6440406759181241</v>
      </c>
      <c r="H45" s="131">
        <f t="shared" ref="H45:H71" si="17">E45-B45</f>
        <v>168.87350548510506</v>
      </c>
      <c r="I45" s="121">
        <f t="shared" ref="I45:I71" si="18">IF(B45&gt;0,((E45/B45)-1)*100,0)</f>
        <v>16.891173775169509</v>
      </c>
      <c r="K45" s="131">
        <f t="shared" ref="K45:K68" si="19">(($E$71/$B$71)-1)*B45</f>
        <v>74.009822327318744</v>
      </c>
      <c r="L45" s="121">
        <f t="shared" ref="L45:L68" si="20">IF(B45&gt;0,K45/B45*100,0)</f>
        <v>7.4026577846483033</v>
      </c>
      <c r="N45" s="131">
        <f t="shared" ref="N45:N68" si="21">H45-(K45+Q45)</f>
        <v>80.195005107843713</v>
      </c>
      <c r="O45" s="121">
        <f t="shared" ref="O45:O68" si="22">IF(B45&gt;0,N45/B45*100,0)</f>
        <v>8.0213160926932456</v>
      </c>
      <c r="Q45" s="131">
        <v>14.668678049942601</v>
      </c>
      <c r="R45" s="121">
        <f>IF(B45&gt;0,Q45/B45*100,0)</f>
        <v>1.4671998978279568</v>
      </c>
      <c r="T45" s="131"/>
    </row>
    <row r="46" spans="1:20">
      <c r="A46" s="116" t="str">
        <f t="shared" si="14"/>
        <v>21 Science, research, engineering and technology professionals</v>
      </c>
      <c r="B46" s="131">
        <v>1898.0720341129449</v>
      </c>
      <c r="C46" s="121">
        <f t="shared" si="15"/>
        <v>6.3566386865058906</v>
      </c>
      <c r="E46" s="131">
        <v>2681.3748075213884</v>
      </c>
      <c r="F46" s="121">
        <f t="shared" si="16"/>
        <v>8.3609828469783327</v>
      </c>
      <c r="H46" s="131">
        <f t="shared" si="17"/>
        <v>783.3027734084435</v>
      </c>
      <c r="I46" s="121">
        <f t="shared" si="18"/>
        <v>41.268337519893784</v>
      </c>
      <c r="K46" s="131">
        <f t="shared" si="19"/>
        <v>140.50777719149431</v>
      </c>
      <c r="L46" s="121">
        <f t="shared" si="20"/>
        <v>7.4026577846483033</v>
      </c>
      <c r="N46" s="131">
        <f t="shared" si="21"/>
        <v>650.10955727411329</v>
      </c>
      <c r="O46" s="121">
        <f t="shared" si="22"/>
        <v>34.251047673116311</v>
      </c>
      <c r="Q46" s="131">
        <v>-7.3145610571641626</v>
      </c>
      <c r="R46" s="121">
        <f t="shared" ref="R46:R68" si="23">IF(B46&gt;0,Q46/B46*100,0)</f>
        <v>-0.38536793787083995</v>
      </c>
      <c r="T46" s="131"/>
    </row>
    <row r="47" spans="1:20">
      <c r="A47" s="116" t="str">
        <f t="shared" si="14"/>
        <v>22 Health professionals</v>
      </c>
      <c r="B47" s="131">
        <v>1355.932796971927</v>
      </c>
      <c r="C47" s="121">
        <f t="shared" si="15"/>
        <v>4.5410156825591814</v>
      </c>
      <c r="E47" s="131">
        <v>1436.7895221098097</v>
      </c>
      <c r="F47" s="121">
        <f t="shared" si="16"/>
        <v>4.4801541788866421</v>
      </c>
      <c r="H47" s="131">
        <f t="shared" si="17"/>
        <v>80.856725137882677</v>
      </c>
      <c r="I47" s="121">
        <f t="shared" si="18"/>
        <v>5.9631808684362575</v>
      </c>
      <c r="K47" s="131">
        <f t="shared" si="19"/>
        <v>100.37506474964182</v>
      </c>
      <c r="L47" s="121">
        <f t="shared" si="20"/>
        <v>7.4026577846483033</v>
      </c>
      <c r="N47" s="131">
        <f t="shared" si="21"/>
        <v>-67.982478153203346</v>
      </c>
      <c r="O47" s="121">
        <f t="shared" si="22"/>
        <v>-5.013705568964923</v>
      </c>
      <c r="Q47" s="131">
        <v>48.4641385414442</v>
      </c>
      <c r="R47" s="121">
        <f t="shared" si="23"/>
        <v>3.5742286527528839</v>
      </c>
      <c r="T47" s="131"/>
    </row>
    <row r="48" spans="1:20">
      <c r="A48" s="116" t="str">
        <f t="shared" si="14"/>
        <v>23 Teaching and other educational professionals</v>
      </c>
      <c r="B48" s="131">
        <v>1503.6331126652781</v>
      </c>
      <c r="C48" s="121">
        <f t="shared" si="15"/>
        <v>5.0356636853070169</v>
      </c>
      <c r="E48" s="131">
        <v>1586.4211218808052</v>
      </c>
      <c r="F48" s="121">
        <f t="shared" si="16"/>
        <v>4.946730964624285</v>
      </c>
      <c r="H48" s="131">
        <f t="shared" si="17"/>
        <v>82.788009215527154</v>
      </c>
      <c r="I48" s="121">
        <f t="shared" si="18"/>
        <v>5.5058649958021011</v>
      </c>
      <c r="K48" s="131">
        <f t="shared" si="19"/>
        <v>111.3088136672658</v>
      </c>
      <c r="L48" s="121">
        <f t="shared" si="20"/>
        <v>7.4026577846483033</v>
      </c>
      <c r="N48" s="131">
        <f t="shared" si="21"/>
        <v>5.0954981858273669</v>
      </c>
      <c r="O48" s="121">
        <f t="shared" si="22"/>
        <v>0.33887908844966158</v>
      </c>
      <c r="Q48" s="131">
        <v>-33.616302637566008</v>
      </c>
      <c r="R48" s="121">
        <f t="shared" si="23"/>
        <v>-2.2356718772958608</v>
      </c>
      <c r="T48" s="131"/>
    </row>
    <row r="49" spans="1:20">
      <c r="A49" s="116" t="str">
        <f t="shared" si="14"/>
        <v>24 Business, media and public service professionals</v>
      </c>
      <c r="B49" s="131">
        <v>2294.7408922369627</v>
      </c>
      <c r="C49" s="121">
        <f t="shared" si="15"/>
        <v>7.6850817402815865</v>
      </c>
      <c r="E49" s="131">
        <v>2682.5731170680497</v>
      </c>
      <c r="F49" s="121">
        <f t="shared" si="16"/>
        <v>8.3647193800198547</v>
      </c>
      <c r="H49" s="131">
        <f t="shared" si="17"/>
        <v>387.83222483108693</v>
      </c>
      <c r="I49" s="121">
        <f t="shared" si="18"/>
        <v>16.900915747965772</v>
      </c>
      <c r="K49" s="131">
        <f t="shared" si="19"/>
        <v>169.87181529668746</v>
      </c>
      <c r="L49" s="121">
        <f t="shared" si="20"/>
        <v>7.4026577846483033</v>
      </c>
      <c r="N49" s="131">
        <f t="shared" si="21"/>
        <v>219.59913943586892</v>
      </c>
      <c r="O49" s="121">
        <f t="shared" si="22"/>
        <v>9.5696703788547985</v>
      </c>
      <c r="Q49" s="131">
        <v>-1.6387299014694507</v>
      </c>
      <c r="R49" s="121">
        <f t="shared" si="23"/>
        <v>-7.1412415537336835E-2</v>
      </c>
      <c r="T49" s="131"/>
    </row>
    <row r="50" spans="1:20">
      <c r="A50" s="116" t="str">
        <f t="shared" si="14"/>
        <v>31 Science, engineering and technology associate professionals</v>
      </c>
      <c r="B50" s="131">
        <v>588.40741770343891</v>
      </c>
      <c r="C50" s="121">
        <f t="shared" si="15"/>
        <v>1.9705750295977147</v>
      </c>
      <c r="E50" s="131">
        <v>604.33246394772175</v>
      </c>
      <c r="F50" s="121">
        <f t="shared" si="16"/>
        <v>1.8844114410136406</v>
      </c>
      <c r="H50" s="131">
        <f t="shared" si="17"/>
        <v>15.925046244282839</v>
      </c>
      <c r="I50" s="121">
        <f t="shared" si="18"/>
        <v>2.7064659222751697</v>
      </c>
      <c r="K50" s="131">
        <f t="shared" si="19"/>
        <v>43.557787512071677</v>
      </c>
      <c r="L50" s="121">
        <f t="shared" si="20"/>
        <v>7.4026577846483033</v>
      </c>
      <c r="N50" s="131">
        <f t="shared" si="21"/>
        <v>-19.938969544216818</v>
      </c>
      <c r="O50" s="121">
        <f t="shared" si="22"/>
        <v>-3.3886332742097047</v>
      </c>
      <c r="Q50" s="131">
        <v>-7.6937717235720164</v>
      </c>
      <c r="R50" s="121">
        <f t="shared" si="23"/>
        <v>-1.3075585881634357</v>
      </c>
      <c r="T50" s="131"/>
    </row>
    <row r="51" spans="1:20">
      <c r="A51" s="116" t="str">
        <f t="shared" si="14"/>
        <v>32 Health and social care associate professionals</v>
      </c>
      <c r="B51" s="131">
        <v>567.17631851210399</v>
      </c>
      <c r="C51" s="121">
        <f t="shared" si="15"/>
        <v>1.8994721293646604</v>
      </c>
      <c r="E51" s="131">
        <v>1055.204133353878</v>
      </c>
      <c r="F51" s="121">
        <f t="shared" si="16"/>
        <v>3.2903060155129156</v>
      </c>
      <c r="H51" s="131">
        <f t="shared" si="17"/>
        <v>488.02781484177399</v>
      </c>
      <c r="I51" s="121">
        <f t="shared" si="18"/>
        <v>86.045167774641328</v>
      </c>
      <c r="K51" s="131">
        <f t="shared" si="19"/>
        <v>41.986121895017924</v>
      </c>
      <c r="L51" s="121">
        <f t="shared" si="20"/>
        <v>7.4026577846483033</v>
      </c>
      <c r="N51" s="131">
        <f t="shared" si="21"/>
        <v>425.82711659278573</v>
      </c>
      <c r="O51" s="121">
        <f t="shared" si="22"/>
        <v>75.07843728558251</v>
      </c>
      <c r="Q51" s="131">
        <v>20.214576353970358</v>
      </c>
      <c r="R51" s="121">
        <f t="shared" si="23"/>
        <v>3.5640727044105183</v>
      </c>
      <c r="T51" s="131"/>
    </row>
    <row r="52" spans="1:20">
      <c r="A52" s="116" t="str">
        <f t="shared" si="14"/>
        <v>33 Protective service occupations</v>
      </c>
      <c r="B52" s="131">
        <v>320.85693432953025</v>
      </c>
      <c r="C52" s="121">
        <f t="shared" si="15"/>
        <v>1.0745491029511725</v>
      </c>
      <c r="E52" s="131">
        <v>294.04112821504583</v>
      </c>
      <c r="F52" s="121">
        <f t="shared" si="16"/>
        <v>0.91687026461799281</v>
      </c>
      <c r="H52" s="131">
        <f t="shared" si="17"/>
        <v>-26.815806114484417</v>
      </c>
      <c r="I52" s="121">
        <f t="shared" si="18"/>
        <v>-8.3575585394528922</v>
      </c>
      <c r="K52" s="131">
        <f t="shared" si="19"/>
        <v>23.751940826728866</v>
      </c>
      <c r="L52" s="121">
        <f t="shared" si="20"/>
        <v>7.4026577846483033</v>
      </c>
      <c r="N52" s="131">
        <f t="shared" si="21"/>
        <v>-47.17379536420605</v>
      </c>
      <c r="O52" s="121">
        <f t="shared" si="22"/>
        <v>-14.702439098840564</v>
      </c>
      <c r="Q52" s="131">
        <v>-3.3939515770072313</v>
      </c>
      <c r="R52" s="121">
        <f t="shared" si="23"/>
        <v>-1.0577772252606314</v>
      </c>
      <c r="T52" s="131"/>
    </row>
    <row r="53" spans="1:20">
      <c r="A53" s="116" t="str">
        <f t="shared" si="14"/>
        <v>34 Culture, media and sports occupations</v>
      </c>
      <c r="B53" s="131">
        <v>680.96833755090472</v>
      </c>
      <c r="C53" s="121">
        <f t="shared" si="15"/>
        <v>2.2805613280028472</v>
      </c>
      <c r="E53" s="131">
        <v>678.61701625076512</v>
      </c>
      <c r="F53" s="121">
        <f t="shared" si="16"/>
        <v>2.1160433135362799</v>
      </c>
      <c r="H53" s="131">
        <f t="shared" si="17"/>
        <v>-2.3513213001396025</v>
      </c>
      <c r="I53" s="121">
        <f t="shared" si="18"/>
        <v>-0.34529084106849073</v>
      </c>
      <c r="K53" s="131">
        <f t="shared" si="19"/>
        <v>50.409755650702181</v>
      </c>
      <c r="L53" s="121">
        <f t="shared" si="20"/>
        <v>7.4026577846483033</v>
      </c>
      <c r="N53" s="131">
        <f t="shared" si="21"/>
        <v>-49.896458260529727</v>
      </c>
      <c r="O53" s="121">
        <f t="shared" si="22"/>
        <v>-7.3272802139350262</v>
      </c>
      <c r="Q53" s="131">
        <v>-2.8646186903120539</v>
      </c>
      <c r="R53" s="121">
        <f t="shared" si="23"/>
        <v>-0.42066841178176129</v>
      </c>
      <c r="T53" s="131"/>
    </row>
    <row r="54" spans="1:20">
      <c r="A54" s="116" t="str">
        <f t="shared" si="14"/>
        <v>35 Business and public service associate professionals</v>
      </c>
      <c r="B54" s="131">
        <v>1991.1109140397323</v>
      </c>
      <c r="C54" s="121">
        <f t="shared" si="15"/>
        <v>6.6682256720694753</v>
      </c>
      <c r="E54" s="131">
        <v>2140.9414533872537</v>
      </c>
      <c r="F54" s="121">
        <f t="shared" si="16"/>
        <v>6.6758197018724337</v>
      </c>
      <c r="H54" s="131">
        <f t="shared" si="17"/>
        <v>149.83053934752138</v>
      </c>
      <c r="I54" s="121">
        <f t="shared" si="18"/>
        <v>7.5249720289831901</v>
      </c>
      <c r="K54" s="131">
        <f t="shared" si="19"/>
        <v>147.39512707914423</v>
      </c>
      <c r="L54" s="121">
        <f t="shared" si="20"/>
        <v>7.4026577846483033</v>
      </c>
      <c r="N54" s="131">
        <f t="shared" si="21"/>
        <v>30.206670501210368</v>
      </c>
      <c r="O54" s="121">
        <f t="shared" si="22"/>
        <v>1.5170762355937546</v>
      </c>
      <c r="Q54" s="131">
        <v>-27.771258232833212</v>
      </c>
      <c r="R54" s="121">
        <f t="shared" si="23"/>
        <v>-1.3947619912588678</v>
      </c>
      <c r="T54" s="131"/>
    </row>
    <row r="55" spans="1:20">
      <c r="A55" s="116" t="str">
        <f t="shared" si="14"/>
        <v>41 Administrative occupations</v>
      </c>
      <c r="B55" s="131">
        <v>2567.7596878310501</v>
      </c>
      <c r="C55" s="121">
        <f t="shared" si="15"/>
        <v>8.5994210314285056</v>
      </c>
      <c r="E55" s="131">
        <v>2608.0002276081527</v>
      </c>
      <c r="F55" s="121">
        <f t="shared" si="16"/>
        <v>8.1321884231857506</v>
      </c>
      <c r="H55" s="131">
        <f t="shared" si="17"/>
        <v>40.24053977710264</v>
      </c>
      <c r="I55" s="121">
        <f t="shared" si="18"/>
        <v>1.5671458652384063</v>
      </c>
      <c r="K55" s="131">
        <f t="shared" si="19"/>
        <v>190.0824624222862</v>
      </c>
      <c r="L55" s="121">
        <f t="shared" si="20"/>
        <v>7.4026577846483033</v>
      </c>
      <c r="N55" s="131">
        <f t="shared" si="21"/>
        <v>-127.56881610031189</v>
      </c>
      <c r="O55" s="121">
        <f t="shared" si="22"/>
        <v>-4.9680979378591088</v>
      </c>
      <c r="Q55" s="131">
        <v>-22.273106544871652</v>
      </c>
      <c r="R55" s="121">
        <f t="shared" si="23"/>
        <v>-0.86741398155079796</v>
      </c>
      <c r="T55" s="131"/>
    </row>
    <row r="56" spans="1:20">
      <c r="A56" s="116" t="str">
        <f t="shared" si="14"/>
        <v>42 Secretarial and related occupations</v>
      </c>
      <c r="B56" s="131">
        <v>571.84680079936788</v>
      </c>
      <c r="C56" s="121">
        <f t="shared" si="15"/>
        <v>1.9151135633346499</v>
      </c>
      <c r="E56" s="131">
        <v>398.32398571153078</v>
      </c>
      <c r="F56" s="121">
        <f t="shared" si="16"/>
        <v>1.2420419565113656</v>
      </c>
      <c r="H56" s="131">
        <f t="shared" si="17"/>
        <v>-173.5228150878371</v>
      </c>
      <c r="I56" s="121">
        <f t="shared" si="18"/>
        <v>-30.344283616743972</v>
      </c>
      <c r="K56" s="131">
        <f t="shared" si="19"/>
        <v>42.331861715636684</v>
      </c>
      <c r="L56" s="121">
        <f t="shared" si="20"/>
        <v>7.4026577846483033</v>
      </c>
      <c r="N56" s="131">
        <f t="shared" si="21"/>
        <v>-224.31444604816724</v>
      </c>
      <c r="O56" s="121">
        <f t="shared" si="22"/>
        <v>-39.226318261220428</v>
      </c>
      <c r="Q56" s="131">
        <v>8.4597692446934563</v>
      </c>
      <c r="R56" s="121">
        <f t="shared" si="23"/>
        <v>1.4793768598281556</v>
      </c>
      <c r="T56" s="131"/>
    </row>
    <row r="57" spans="1:20">
      <c r="A57" s="116" t="str">
        <f t="shared" si="14"/>
        <v>51 Skilled agricultural and related trades</v>
      </c>
      <c r="B57" s="131">
        <v>271.9670256457141</v>
      </c>
      <c r="C57" s="121">
        <f t="shared" si="15"/>
        <v>0.91081691611426674</v>
      </c>
      <c r="E57" s="131">
        <v>298.01795271042778</v>
      </c>
      <c r="F57" s="121">
        <f t="shared" si="16"/>
        <v>0.9292706799937408</v>
      </c>
      <c r="H57" s="131">
        <f t="shared" si="17"/>
        <v>26.050927064713676</v>
      </c>
      <c r="I57" s="121">
        <f t="shared" si="18"/>
        <v>9.5787079344867632</v>
      </c>
      <c r="K57" s="131">
        <f t="shared" si="19"/>
        <v>20.132788195638902</v>
      </c>
      <c r="L57" s="121">
        <f t="shared" si="20"/>
        <v>7.4026577846483033</v>
      </c>
      <c r="N57" s="131">
        <f t="shared" si="21"/>
        <v>11.10708196346182</v>
      </c>
      <c r="O57" s="121">
        <f t="shared" si="22"/>
        <v>4.0839811139203288</v>
      </c>
      <c r="Q57" s="131">
        <v>-5.1889430943870449</v>
      </c>
      <c r="R57" s="121">
        <f t="shared" si="23"/>
        <v>-1.9079309640818647</v>
      </c>
      <c r="T57" s="131"/>
    </row>
    <row r="58" spans="1:20">
      <c r="A58" s="116" t="str">
        <f t="shared" si="14"/>
        <v>52 Skilled metal, electrical and electronic trades</v>
      </c>
      <c r="B58" s="131">
        <v>921.97868029404242</v>
      </c>
      <c r="C58" s="121">
        <f t="shared" si="15"/>
        <v>3.0877043873783854</v>
      </c>
      <c r="E58" s="131">
        <v>865.475059700835</v>
      </c>
      <c r="F58" s="121">
        <f t="shared" si="16"/>
        <v>2.6986984842060391</v>
      </c>
      <c r="H58" s="131">
        <f t="shared" si="17"/>
        <v>-56.503620593207415</v>
      </c>
      <c r="I58" s="121">
        <f t="shared" si="18"/>
        <v>-6.1285170471823687</v>
      </c>
      <c r="K58" s="131">
        <f t="shared" si="19"/>
        <v>68.250926549584619</v>
      </c>
      <c r="L58" s="121">
        <f t="shared" si="20"/>
        <v>7.4026577846483033</v>
      </c>
      <c r="N58" s="131">
        <f t="shared" si="21"/>
        <v>-86.611439461246761</v>
      </c>
      <c r="O58" s="121">
        <f t="shared" si="22"/>
        <v>-9.3940826737581578</v>
      </c>
      <c r="Q58" s="131">
        <v>-38.143107681545281</v>
      </c>
      <c r="R58" s="121">
        <f t="shared" si="23"/>
        <v>-4.1370921580725142</v>
      </c>
      <c r="T58" s="131"/>
    </row>
    <row r="59" spans="1:20">
      <c r="A59" s="116" t="str">
        <f t="shared" si="14"/>
        <v>53 Skilled construction and building trades</v>
      </c>
      <c r="B59" s="131">
        <v>769.61235836915148</v>
      </c>
      <c r="C59" s="121">
        <f t="shared" si="15"/>
        <v>2.5774299409604366</v>
      </c>
      <c r="E59" s="131">
        <v>718.69802351717806</v>
      </c>
      <c r="F59" s="121">
        <f t="shared" si="16"/>
        <v>2.2410227133964091</v>
      </c>
      <c r="H59" s="131">
        <f t="shared" si="17"/>
        <v>-50.914334851973422</v>
      </c>
      <c r="I59" s="121">
        <f t="shared" si="18"/>
        <v>-6.615581766366585</v>
      </c>
      <c r="K59" s="131">
        <f t="shared" si="19"/>
        <v>56.971769158429389</v>
      </c>
      <c r="L59" s="121">
        <f t="shared" si="20"/>
        <v>7.4026577846483033</v>
      </c>
      <c r="N59" s="131">
        <f t="shared" si="21"/>
        <v>-123.81366870431042</v>
      </c>
      <c r="O59" s="121">
        <f t="shared" si="22"/>
        <v>-16.08779632472093</v>
      </c>
      <c r="Q59" s="131">
        <v>15.927564693907602</v>
      </c>
      <c r="R59" s="121">
        <f t="shared" si="23"/>
        <v>2.0695567737060432</v>
      </c>
      <c r="T59" s="131"/>
    </row>
    <row r="60" spans="1:20">
      <c r="A60" s="116" t="str">
        <f t="shared" si="14"/>
        <v>54 Textiles, printing and other skilled trades</v>
      </c>
      <c r="B60" s="131">
        <v>543.77413661579681</v>
      </c>
      <c r="C60" s="121">
        <f t="shared" si="15"/>
        <v>1.8210982783636702</v>
      </c>
      <c r="E60" s="131">
        <v>587.56830356877924</v>
      </c>
      <c r="F60" s="121">
        <f t="shared" si="16"/>
        <v>1.8321379367727704</v>
      </c>
      <c r="H60" s="131">
        <f t="shared" si="17"/>
        <v>43.794166952982437</v>
      </c>
      <c r="I60" s="121">
        <f t="shared" si="18"/>
        <v>8.0537421705153989</v>
      </c>
      <c r="K60" s="131">
        <f t="shared" si="19"/>
        <v>40.253738455093384</v>
      </c>
      <c r="L60" s="121">
        <f t="shared" si="20"/>
        <v>7.4026577846483033</v>
      </c>
      <c r="N60" s="131">
        <f t="shared" si="21"/>
        <v>-6.4903557219990802</v>
      </c>
      <c r="O60" s="121">
        <f t="shared" si="22"/>
        <v>-1.1935756566857163</v>
      </c>
      <c r="Q60" s="131">
        <v>10.030784219888137</v>
      </c>
      <c r="R60" s="121">
        <f t="shared" si="23"/>
        <v>1.8446600425528106</v>
      </c>
      <c r="T60" s="131"/>
    </row>
    <row r="61" spans="1:20">
      <c r="A61" s="116" t="str">
        <f t="shared" si="14"/>
        <v>61 Caring personal service occupations</v>
      </c>
      <c r="B61" s="131">
        <v>2019.8340014923285</v>
      </c>
      <c r="C61" s="121">
        <f t="shared" si="15"/>
        <v>6.7644192230072786</v>
      </c>
      <c r="E61" s="131">
        <v>2292.0510206757358</v>
      </c>
      <c r="F61" s="121">
        <f t="shared" si="16"/>
        <v>7.1470050417843876</v>
      </c>
      <c r="H61" s="131">
        <f t="shared" si="17"/>
        <v>272.21701918340727</v>
      </c>
      <c r="I61" s="121">
        <f t="shared" si="18"/>
        <v>13.47719758070629</v>
      </c>
      <c r="K61" s="131">
        <f t="shared" si="19"/>
        <v>149.52139894844518</v>
      </c>
      <c r="L61" s="121">
        <f t="shared" si="20"/>
        <v>7.4026577846483033</v>
      </c>
      <c r="N61" s="131">
        <f t="shared" si="21"/>
        <v>57.278231272460516</v>
      </c>
      <c r="O61" s="121">
        <f t="shared" si="22"/>
        <v>2.8357890415816955</v>
      </c>
      <c r="Q61" s="131">
        <v>65.41738896250159</v>
      </c>
      <c r="R61" s="121">
        <f t="shared" si="23"/>
        <v>3.2387507544762979</v>
      </c>
      <c r="T61" s="131"/>
    </row>
    <row r="62" spans="1:20">
      <c r="A62" s="116" t="str">
        <f t="shared" si="14"/>
        <v>62 Leisure, travel and related personal service occupations</v>
      </c>
      <c r="B62" s="131">
        <v>627.66767668036812</v>
      </c>
      <c r="C62" s="121">
        <f t="shared" si="15"/>
        <v>2.1020575426792694</v>
      </c>
      <c r="E62" s="131">
        <v>602.79487172872302</v>
      </c>
      <c r="F62" s="121">
        <f t="shared" si="16"/>
        <v>1.8796169668757343</v>
      </c>
      <c r="H62" s="131">
        <f t="shared" si="17"/>
        <v>-24.872804951645094</v>
      </c>
      <c r="I62" s="121">
        <f t="shared" si="18"/>
        <v>-3.962734720257266</v>
      </c>
      <c r="K62" s="131">
        <f t="shared" si="19"/>
        <v>46.464090129500413</v>
      </c>
      <c r="L62" s="121">
        <f t="shared" si="20"/>
        <v>7.4026577846483033</v>
      </c>
      <c r="N62" s="131">
        <f t="shared" si="21"/>
        <v>-68.140602889682114</v>
      </c>
      <c r="O62" s="121">
        <f t="shared" si="22"/>
        <v>-10.856159305520819</v>
      </c>
      <c r="Q62" s="131">
        <v>-3.1962921914633959</v>
      </c>
      <c r="R62" s="121">
        <f t="shared" si="23"/>
        <v>-0.50923319938475464</v>
      </c>
      <c r="T62" s="131"/>
    </row>
    <row r="63" spans="1:20">
      <c r="A63" s="116" t="str">
        <f t="shared" si="14"/>
        <v>63 Community and civil enforcement occupations</v>
      </c>
      <c r="B63" s="131">
        <v>31.002949965390982</v>
      </c>
      <c r="C63" s="121">
        <f t="shared" si="15"/>
        <v>0.10382880502104476</v>
      </c>
      <c r="E63" s="131">
        <v>25.111456131993485</v>
      </c>
      <c r="F63" s="121">
        <f t="shared" si="16"/>
        <v>7.8301792570478479E-2</v>
      </c>
      <c r="H63" s="131">
        <f t="shared" si="17"/>
        <v>-5.8914938333974973</v>
      </c>
      <c r="I63" s="121">
        <f t="shared" si="18"/>
        <v>-19.0030104876286</v>
      </c>
      <c r="K63" s="131">
        <f t="shared" si="19"/>
        <v>2.2950422890836339</v>
      </c>
      <c r="L63" s="121">
        <f t="shared" si="20"/>
        <v>7.4026577846483033</v>
      </c>
      <c r="N63" s="131">
        <f t="shared" si="21"/>
        <v>-8.7825654622090497</v>
      </c>
      <c r="O63" s="121">
        <f t="shared" si="22"/>
        <v>-28.328160617015953</v>
      </c>
      <c r="Q63" s="131">
        <v>0.59602933972791805</v>
      </c>
      <c r="R63" s="121">
        <f t="shared" si="23"/>
        <v>1.922492344739045</v>
      </c>
      <c r="T63" s="131"/>
    </row>
    <row r="64" spans="1:20">
      <c r="A64" s="116" t="str">
        <f t="shared" si="14"/>
        <v>71 Sales occupations</v>
      </c>
      <c r="B64" s="131">
        <v>1855.6966390660123</v>
      </c>
      <c r="C64" s="121">
        <f t="shared" si="15"/>
        <v>6.2147235902028211</v>
      </c>
      <c r="E64" s="131">
        <v>1776.4423055232701</v>
      </c>
      <c r="F64" s="121">
        <f t="shared" si="16"/>
        <v>5.5392493445764686</v>
      </c>
      <c r="H64" s="131">
        <f t="shared" si="17"/>
        <v>-79.254333542742188</v>
      </c>
      <c r="I64" s="121">
        <f t="shared" si="18"/>
        <v>-4.2708669011025213</v>
      </c>
      <c r="K64" s="131">
        <f t="shared" si="19"/>
        <v>137.37087171127709</v>
      </c>
      <c r="L64" s="121">
        <f t="shared" si="20"/>
        <v>7.4026577846483033</v>
      </c>
      <c r="N64" s="131">
        <f t="shared" si="21"/>
        <v>-152.32152600515153</v>
      </c>
      <c r="O64" s="121">
        <f t="shared" si="22"/>
        <v>-8.2083204117789546</v>
      </c>
      <c r="Q64" s="131">
        <v>-64.303679248867752</v>
      </c>
      <c r="R64" s="121">
        <f t="shared" si="23"/>
        <v>-3.4652042739718669</v>
      </c>
      <c r="T64" s="131"/>
    </row>
    <row r="65" spans="1:20">
      <c r="A65" s="116" t="str">
        <f t="shared" si="14"/>
        <v>72 Customer service occupations</v>
      </c>
      <c r="B65" s="131">
        <v>508.15214932829099</v>
      </c>
      <c r="C65" s="121">
        <f t="shared" si="15"/>
        <v>1.7018003284374417</v>
      </c>
      <c r="E65" s="131">
        <v>631.80430785816031</v>
      </c>
      <c r="F65" s="121">
        <f t="shared" si="16"/>
        <v>1.970073324263139</v>
      </c>
      <c r="H65" s="131">
        <f t="shared" si="17"/>
        <v>123.65215852986933</v>
      </c>
      <c r="I65" s="121">
        <f t="shared" si="18"/>
        <v>24.333687989575736</v>
      </c>
      <c r="K65" s="131">
        <f t="shared" si="19"/>
        <v>37.616764640108407</v>
      </c>
      <c r="L65" s="121">
        <f t="shared" si="20"/>
        <v>7.4026577846483033</v>
      </c>
      <c r="N65" s="131">
        <f t="shared" si="21"/>
        <v>89.161698597420241</v>
      </c>
      <c r="O65" s="121">
        <f t="shared" si="22"/>
        <v>17.546260252028855</v>
      </c>
      <c r="Q65" s="131">
        <v>-3.1263047076593251</v>
      </c>
      <c r="R65" s="121">
        <f t="shared" si="23"/>
        <v>-0.61523004710142049</v>
      </c>
      <c r="T65" s="131"/>
    </row>
    <row r="66" spans="1:20">
      <c r="A66" s="116" t="str">
        <f t="shared" si="14"/>
        <v>81 Process, plant and machine operatives</v>
      </c>
      <c r="B66" s="131">
        <v>609.71859517402538</v>
      </c>
      <c r="C66" s="121">
        <f t="shared" si="15"/>
        <v>2.0419461117957791</v>
      </c>
      <c r="E66" s="131">
        <v>598.38816602412339</v>
      </c>
      <c r="F66" s="121">
        <f t="shared" si="16"/>
        <v>1.8658761087515776</v>
      </c>
      <c r="H66" s="131">
        <f t="shared" si="17"/>
        <v>-11.330429149901988</v>
      </c>
      <c r="I66" s="121">
        <f t="shared" si="18"/>
        <v>-1.8583046735958675</v>
      </c>
      <c r="K66" s="131">
        <f t="shared" si="19"/>
        <v>45.13538105009826</v>
      </c>
      <c r="L66" s="121">
        <f t="shared" si="20"/>
        <v>7.4026577846483033</v>
      </c>
      <c r="N66" s="131">
        <f t="shared" si="21"/>
        <v>-13.58510617370753</v>
      </c>
      <c r="O66" s="121">
        <f t="shared" si="22"/>
        <v>-2.2280944490187444</v>
      </c>
      <c r="Q66" s="131">
        <v>-42.880704026292719</v>
      </c>
      <c r="R66" s="121">
        <f t="shared" si="23"/>
        <v>-7.0328680092254263</v>
      </c>
      <c r="T66" s="131"/>
    </row>
    <row r="67" spans="1:20">
      <c r="A67" s="116" t="str">
        <f t="shared" si="14"/>
        <v>82 Transport and mobile machine drivers and operatives</v>
      </c>
      <c r="B67" s="131">
        <v>1056.0707054043842</v>
      </c>
      <c r="C67" s="121">
        <f t="shared" si="15"/>
        <v>3.5367782576262399</v>
      </c>
      <c r="E67" s="131">
        <v>1066.5769444018338</v>
      </c>
      <c r="F67" s="121">
        <f t="shared" si="16"/>
        <v>3.3257683752796883</v>
      </c>
      <c r="H67" s="131">
        <f t="shared" si="17"/>
        <v>10.5062389974496</v>
      </c>
      <c r="I67" s="121">
        <f t="shared" si="18"/>
        <v>0.99484238542784098</v>
      </c>
      <c r="K67" s="131">
        <f t="shared" si="19"/>
        <v>78.177300285007888</v>
      </c>
      <c r="L67" s="121">
        <f t="shared" si="20"/>
        <v>7.4026577846483033</v>
      </c>
      <c r="N67" s="131">
        <f t="shared" si="21"/>
        <v>-68.618389856578929</v>
      </c>
      <c r="O67" s="121">
        <f t="shared" si="22"/>
        <v>-6.4975185378619127</v>
      </c>
      <c r="Q67" s="131">
        <v>0.94732856902063844</v>
      </c>
      <c r="R67" s="121">
        <f t="shared" si="23"/>
        <v>8.970313864145045E-2</v>
      </c>
      <c r="T67" s="131"/>
    </row>
    <row r="68" spans="1:20">
      <c r="A68" s="116" t="str">
        <f t="shared" si="14"/>
        <v>91 Elementary trades and related occupations</v>
      </c>
      <c r="B68" s="131">
        <v>379.27178924284834</v>
      </c>
      <c r="C68" s="121">
        <f t="shared" si="15"/>
        <v>1.270180311848975</v>
      </c>
      <c r="E68" s="131">
        <v>777.66227634020322</v>
      </c>
      <c r="F68" s="121">
        <f t="shared" si="16"/>
        <v>2.4248832856130647</v>
      </c>
      <c r="H68" s="131">
        <f t="shared" si="17"/>
        <v>398.39048709735488</v>
      </c>
      <c r="I68" s="121">
        <f t="shared" si="18"/>
        <v>105.04089636950687</v>
      </c>
      <c r="K68" s="131">
        <f t="shared" si="19"/>
        <v>28.07619263136062</v>
      </c>
      <c r="L68" s="121">
        <f t="shared" si="20"/>
        <v>7.4026577846483033</v>
      </c>
      <c r="N68" s="131">
        <f t="shared" si="21"/>
        <v>378.37104568168468</v>
      </c>
      <c r="O68" s="121">
        <f t="shared" si="22"/>
        <v>99.762507102634274</v>
      </c>
      <c r="Q68" s="131">
        <v>-8.0567512156904453</v>
      </c>
      <c r="R68" s="121">
        <f t="shared" si="23"/>
        <v>-2.1242685177757035</v>
      </c>
      <c r="T68" s="131"/>
    </row>
    <row r="69" spans="1:20">
      <c r="A69" s="116" t="str">
        <f t="shared" si="14"/>
        <v>92 Elementary administration and service occupations</v>
      </c>
      <c r="B69" s="131">
        <v>2616.9152862125429</v>
      </c>
      <c r="C69" s="121">
        <f t="shared" si="15"/>
        <v>8.7640430124252244</v>
      </c>
      <c r="E69" s="131">
        <v>2210.5081126228129</v>
      </c>
      <c r="F69" s="121">
        <f t="shared" si="16"/>
        <v>6.8927403811294159</v>
      </c>
      <c r="H69" s="131">
        <f t="shared" ref="H69" si="24">E69-B69</f>
        <v>-406.40717358973006</v>
      </c>
      <c r="I69" s="121">
        <f t="shared" ref="I69" si="25">IF(B69&gt;0,((E69/B69)-1)*100,0)</f>
        <v>-15.530008775252425</v>
      </c>
      <c r="K69" s="131">
        <f t="shared" ref="K69" si="26">(($E$71/$B$71)-1)*B69</f>
        <v>193.72128315246422</v>
      </c>
      <c r="L69" s="121">
        <f t="shared" ref="L69" si="27">IF(B69&gt;0,K69/B69*100,0)</f>
        <v>7.4026577846483033</v>
      </c>
      <c r="N69" s="131">
        <f t="shared" ref="N69" si="28">H69-(K69+Q69)</f>
        <v>-723.59493724821914</v>
      </c>
      <c r="O69" s="121">
        <f t="shared" ref="O69" si="29">IF(B69&gt;0,N69/B69*100,0)</f>
        <v>-27.650682506252501</v>
      </c>
      <c r="Q69" s="131">
        <v>123.46648050602478</v>
      </c>
      <c r="R69" s="121">
        <f t="shared" ref="R69" si="30">IF(B69&gt;0,Q69/B69*100,0)</f>
        <v>4.7180159463517679</v>
      </c>
      <c r="T69" s="131"/>
    </row>
    <row r="70" spans="1:20">
      <c r="A70" s="116"/>
      <c r="B70" s="131"/>
      <c r="C70" s="121"/>
      <c r="E70" s="131"/>
      <c r="F70" s="121"/>
      <c r="H70" s="131"/>
      <c r="I70" s="121"/>
      <c r="K70" s="131"/>
      <c r="L70" s="121"/>
      <c r="N70" s="131"/>
      <c r="O70" s="121"/>
      <c r="Q70" s="131"/>
      <c r="R70" s="121"/>
      <c r="T70" s="131"/>
    </row>
    <row r="71" spans="1:20">
      <c r="A71" s="129" t="str">
        <f>name!$D$3</f>
        <v>All occupations</v>
      </c>
      <c r="B71" s="132">
        <f>SUM(B44:B69)</f>
        <v>29859.680999995217</v>
      </c>
      <c r="C71" s="127">
        <f>B71/B$71*100</f>
        <v>100</v>
      </c>
      <c r="D71" s="125"/>
      <c r="E71" s="132">
        <f>SUM(E44:E69)</f>
        <v>32070.091000012515</v>
      </c>
      <c r="F71" s="127">
        <f>E71/E$71*100</f>
        <v>100</v>
      </c>
      <c r="G71" s="125"/>
      <c r="H71" s="132">
        <f t="shared" si="17"/>
        <v>2210.4100000172984</v>
      </c>
      <c r="I71" s="127">
        <f t="shared" si="18"/>
        <v>7.4026577846483033</v>
      </c>
      <c r="J71" s="125"/>
      <c r="K71" s="125"/>
      <c r="L71" s="125"/>
      <c r="M71" s="125"/>
      <c r="N71" s="125"/>
      <c r="O71" s="125"/>
      <c r="P71" s="125"/>
      <c r="Q71" s="125"/>
      <c r="R71" s="125"/>
    </row>
    <row r="78" spans="1:20">
      <c r="T78" s="131"/>
    </row>
    <row r="79" spans="1:20">
      <c r="T79" s="131"/>
    </row>
    <row r="80" spans="1:20">
      <c r="T80" s="131"/>
    </row>
    <row r="81" spans="20:20">
      <c r="T81" s="131"/>
    </row>
    <row r="82" spans="20:20">
      <c r="T82" s="131"/>
    </row>
    <row r="83" spans="20:20">
      <c r="T83" s="131"/>
    </row>
    <row r="84" spans="20:20">
      <c r="T84" s="131"/>
    </row>
    <row r="85" spans="20:20">
      <c r="T85" s="131"/>
    </row>
    <row r="86" spans="20:20">
      <c r="T86" s="131"/>
    </row>
    <row r="87" spans="20:20">
      <c r="T87" s="131"/>
    </row>
    <row r="88" spans="20:20">
      <c r="T88" s="131"/>
    </row>
    <row r="89" spans="20:20">
      <c r="T89" s="131"/>
    </row>
    <row r="90" spans="20:20">
      <c r="T90" s="131"/>
    </row>
    <row r="91" spans="20:20">
      <c r="T91" s="131"/>
    </row>
    <row r="92" spans="20:20">
      <c r="T92" s="131"/>
    </row>
    <row r="93" spans="20:20">
      <c r="T93" s="131"/>
    </row>
    <row r="94" spans="20:20">
      <c r="T94" s="131"/>
    </row>
    <row r="95" spans="20:20">
      <c r="T95" s="131"/>
    </row>
    <row r="96" spans="20:20">
      <c r="T96" s="131"/>
    </row>
    <row r="97" spans="20:20">
      <c r="T97" s="131"/>
    </row>
    <row r="98" spans="20:20">
      <c r="T98" s="131"/>
    </row>
    <row r="99" spans="20:20">
      <c r="T99" s="131"/>
    </row>
    <row r="100" spans="20:20">
      <c r="T100" s="131"/>
    </row>
    <row r="101" spans="20:20">
      <c r="T101" s="131"/>
    </row>
    <row r="102" spans="20:20">
      <c r="T102" s="13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6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>
      <c r="A1" s="373" t="str">
        <f>CONCATENATE("Replacement Demand Table 1  Replacement Demand by Occupation and Qualification, ",$B$6,"-",$C$6,", ",Info!B5)</f>
        <v>Replacement Demand Table 1  Replacement Demand by Occupation and Qualification, 2020-2035, England</v>
      </c>
      <c r="B1" s="373"/>
      <c r="C1" s="373"/>
      <c r="D1" s="373"/>
      <c r="E1" s="373"/>
      <c r="F1" s="373"/>
      <c r="G1" s="373"/>
      <c r="I1" s="373" t="str">
        <f>CONCATENATE("Replacement Demand Table 1.1  Replacement Demand by Occupation Group and Qualification, ",$B$6,"-",$C$6,", ",Info!B5)</f>
        <v>Replacement Demand Table 1.1  Replacement Demand by Occupation Group and Qualification, 2020-2035, England</v>
      </c>
      <c r="J1" s="373"/>
      <c r="K1" s="373"/>
      <c r="L1" s="373"/>
      <c r="M1" s="373"/>
      <c r="N1" s="373"/>
      <c r="P1" s="373" t="str">
        <f>CONCATENATE("Replacement Demand Table 1.2  Replacement Demand by Occupation and Gender, ",$B$6,"-",$C$6,", ",Info!B5)</f>
        <v>Replacement Demand Table 1.2  Replacement Demand by Occupation and Gender, 2020-2035, England</v>
      </c>
      <c r="Q1" s="373"/>
      <c r="R1" s="373"/>
      <c r="S1" s="373"/>
      <c r="T1" s="373"/>
      <c r="U1" s="373"/>
      <c r="V1" s="373"/>
      <c r="W1" s="71"/>
      <c r="X1" s="373" t="str">
        <f>CONCATENATE("Replacement Demand Table 1.3  Replacement Demand by Industry, ",$B$6,"-",$C$6,", ",Info!B5)</f>
        <v>Replacement Demand Table 1.3  Replacement Demand by Industry, 2020-2035, England</v>
      </c>
      <c r="Y1" s="373"/>
      <c r="Z1" s="373"/>
      <c r="AA1" s="373"/>
      <c r="AB1" s="373"/>
      <c r="AC1" s="373"/>
      <c r="AD1" s="373"/>
    </row>
    <row r="2" spans="1:30" ht="14.25" customHeight="1">
      <c r="A2" s="373"/>
      <c r="B2" s="373"/>
      <c r="C2" s="373"/>
      <c r="D2" s="373"/>
      <c r="E2" s="373"/>
      <c r="F2" s="373"/>
      <c r="G2" s="373"/>
      <c r="I2" s="373"/>
      <c r="J2" s="373"/>
      <c r="K2" s="373"/>
      <c r="L2" s="373"/>
      <c r="M2" s="373"/>
      <c r="N2" s="373"/>
      <c r="P2" s="373"/>
      <c r="Q2" s="373"/>
      <c r="R2" s="373"/>
      <c r="S2" s="373"/>
      <c r="T2" s="373"/>
      <c r="U2" s="373"/>
      <c r="V2" s="373"/>
      <c r="X2" s="373"/>
      <c r="Y2" s="373"/>
      <c r="Z2" s="373"/>
      <c r="AA2" s="373"/>
      <c r="AB2" s="373"/>
      <c r="AC2" s="373"/>
      <c r="AD2" s="373"/>
    </row>
    <row r="3" spans="1:30" ht="15.6">
      <c r="A3" s="1" t="s">
        <v>207</v>
      </c>
      <c r="B3" s="17"/>
      <c r="C3" s="17"/>
      <c r="D3" s="17"/>
      <c r="E3" s="17"/>
      <c r="F3" s="17"/>
      <c r="G3" s="17"/>
      <c r="I3" s="1" t="s">
        <v>208</v>
      </c>
      <c r="P3" s="158" t="s">
        <v>179</v>
      </c>
      <c r="S3" s="71"/>
      <c r="T3" s="71"/>
      <c r="U3" s="71"/>
      <c r="V3" s="71"/>
      <c r="W3" s="71"/>
      <c r="X3" s="1" t="s">
        <v>128</v>
      </c>
    </row>
    <row r="4" spans="1:30" ht="12.75" customHeight="1">
      <c r="A4" s="17"/>
      <c r="B4" s="17"/>
      <c r="C4" s="17"/>
      <c r="D4" s="17"/>
      <c r="E4" s="17"/>
      <c r="F4" s="17"/>
      <c r="G4" s="17"/>
      <c r="I4" s="1"/>
      <c r="P4" s="1"/>
      <c r="S4" s="71"/>
      <c r="T4" s="71"/>
      <c r="U4" s="71"/>
      <c r="V4" s="71"/>
      <c r="W4" s="71"/>
    </row>
    <row r="5" spans="1:30" s="55" customFormat="1">
      <c r="B5" s="15"/>
      <c r="F5" s="15" t="s">
        <v>114</v>
      </c>
      <c r="N5" s="15" t="s">
        <v>114</v>
      </c>
      <c r="Q5" s="15"/>
      <c r="S5" s="311"/>
      <c r="T5" s="311"/>
      <c r="U5" s="65" t="s">
        <v>114</v>
      </c>
      <c r="V5" s="311"/>
      <c r="W5" s="311"/>
      <c r="Y5" s="15"/>
      <c r="AA5" s="311"/>
      <c r="AB5" s="311"/>
      <c r="AC5" s="65" t="s">
        <v>114</v>
      </c>
      <c r="AD5" s="311"/>
    </row>
    <row r="6" spans="1:30" ht="24.95" customHeight="1">
      <c r="A6" s="178" t="str">
        <f>CONCATENATE(name!F3," (Constrained)")</f>
        <v>All qualifications (Constrained)</v>
      </c>
      <c r="B6" s="59">
        <v>2020</v>
      </c>
      <c r="C6" s="59">
        <v>2035</v>
      </c>
      <c r="D6" s="69" t="s">
        <v>209</v>
      </c>
      <c r="E6" s="69" t="s">
        <v>210</v>
      </c>
      <c r="F6" s="69" t="s">
        <v>211</v>
      </c>
      <c r="G6" s="69" t="s">
        <v>212</v>
      </c>
      <c r="I6" s="179"/>
      <c r="J6" s="59">
        <f>B6</f>
        <v>2020</v>
      </c>
      <c r="K6" s="59">
        <f>C6</f>
        <v>2035</v>
      </c>
      <c r="L6" s="69" t="str">
        <f>D6</f>
        <v>Net Change</v>
      </c>
      <c r="M6" s="69" t="str">
        <f>E6</f>
        <v>Replacement Demand level</v>
      </c>
      <c r="N6" s="69" t="str">
        <f>F6</f>
        <v>Total Requirement</v>
      </c>
      <c r="P6" s="178" t="s">
        <v>176</v>
      </c>
      <c r="Q6" s="59">
        <f>B6</f>
        <v>2020</v>
      </c>
      <c r="R6" s="59">
        <f>C6</f>
        <v>2035</v>
      </c>
      <c r="S6" s="312" t="str">
        <f t="shared" ref="S6:V6" si="0">D6</f>
        <v>Net Change</v>
      </c>
      <c r="T6" s="312" t="str">
        <f t="shared" si="0"/>
        <v>Replacement Demand level</v>
      </c>
      <c r="U6" s="312" t="str">
        <f t="shared" si="0"/>
        <v>Total Requirement</v>
      </c>
      <c r="V6" s="312" t="str">
        <f t="shared" si="0"/>
        <v>Replacement Demand rate</v>
      </c>
      <c r="W6" s="316"/>
      <c r="X6" s="178"/>
      <c r="Y6" s="59">
        <f>J6</f>
        <v>2020</v>
      </c>
      <c r="Z6" s="59">
        <f>K6</f>
        <v>2035</v>
      </c>
      <c r="AA6" s="312" t="str">
        <f t="shared" ref="AA6" si="1">L6</f>
        <v>Net Change</v>
      </c>
      <c r="AB6" s="312" t="str">
        <f t="shared" ref="AB6" si="2">M6</f>
        <v>Replacement Demand level</v>
      </c>
      <c r="AC6" s="312" t="str">
        <f t="shared" ref="AC6" si="3">N6</f>
        <v>Total Requirement</v>
      </c>
      <c r="AD6" s="312" t="str">
        <f>G6</f>
        <v>Replacement Demand rate</v>
      </c>
    </row>
    <row r="7" spans="1:30" ht="12.95">
      <c r="A7" s="10" t="str">
        <f>name!D4</f>
        <v>11 Corporate managers and directors</v>
      </c>
      <c r="B7" s="11">
        <f t="shared" ref="B7:F16" si="4">SUM(B36,B65,B94,B123,B152,B181,B210,B239,B268)</f>
        <v>2307.7401043917716</v>
      </c>
      <c r="C7" s="11">
        <f t="shared" si="4"/>
        <v>2283.7260613096228</v>
      </c>
      <c r="D7" s="11">
        <f t="shared" si="4"/>
        <v>-24.014043082148902</v>
      </c>
      <c r="E7" s="11">
        <f t="shared" si="4"/>
        <v>1128.9486261515453</v>
      </c>
      <c r="F7" s="11">
        <f t="shared" si="4"/>
        <v>1104.9345830693967</v>
      </c>
      <c r="G7" s="177">
        <f>IF(B7&gt;0,(1+(E7/B7))^(1/($C$6-$B$6))-1,0)</f>
        <v>2.6904885677180079E-2</v>
      </c>
      <c r="H7" s="11"/>
      <c r="I7" s="209" t="str">
        <f>name!F3</f>
        <v>All qualifications</v>
      </c>
      <c r="J7" s="28"/>
      <c r="K7" s="28"/>
      <c r="L7" s="28"/>
      <c r="M7" s="28"/>
      <c r="N7" s="28"/>
      <c r="O7" s="11"/>
      <c r="P7" s="10" t="str">
        <f>name!D4</f>
        <v>11 Corporate managers and directors</v>
      </c>
      <c r="Q7" s="11">
        <v>1518.4732166975457</v>
      </c>
      <c r="R7" s="11">
        <v>1372.7350954014596</v>
      </c>
      <c r="S7" s="313">
        <f>R7-Q7</f>
        <v>-145.73812129608609</v>
      </c>
      <c r="T7" s="313">
        <v>639.33468902265781</v>
      </c>
      <c r="U7" s="313">
        <f>SUM(S7:T7)</f>
        <v>493.59656772657172</v>
      </c>
      <c r="V7" s="314">
        <f>IF(Q7&gt;0,(1+(T7/Q7))^(1/($C$6-$B$6))-1,0)</f>
        <v>2.3702372012106565E-2</v>
      </c>
      <c r="W7" s="314"/>
      <c r="X7" s="10" t="str">
        <f>name!A4</f>
        <v>Agriculture, etc</v>
      </c>
      <c r="Y7" s="10">
        <v>239.69399999867431</v>
      </c>
      <c r="Z7" s="10">
        <v>249.14899999814918</v>
      </c>
      <c r="AA7" s="313">
        <f>Z7-Y7</f>
        <v>9.4549999994748646</v>
      </c>
      <c r="AB7" s="10">
        <v>126.15018432819649</v>
      </c>
      <c r="AC7" s="313">
        <f>SUM(AA7:AB7)</f>
        <v>135.60518432767134</v>
      </c>
      <c r="AD7" s="314">
        <f>IF(Y7&gt;0,(1+(AB7/Y7))^(1/($C$6-$B$6))-1,0)</f>
        <v>2.8590714640601478E-2</v>
      </c>
    </row>
    <row r="8" spans="1:30">
      <c r="A8" s="10" t="str">
        <f>name!D5</f>
        <v>12 Other managers and proprietors</v>
      </c>
      <c r="B8" s="11">
        <f t="shared" si="4"/>
        <v>999.77365535930824</v>
      </c>
      <c r="C8" s="11">
        <f t="shared" si="4"/>
        <v>1168.6471608444156</v>
      </c>
      <c r="D8" s="11">
        <f t="shared" si="4"/>
        <v>168.87350548510727</v>
      </c>
      <c r="E8" s="11">
        <f t="shared" si="4"/>
        <v>609.44312305414519</v>
      </c>
      <c r="F8" s="11">
        <f t="shared" si="4"/>
        <v>778.31662853925241</v>
      </c>
      <c r="G8" s="177">
        <f>IF(B8&gt;0,(1+(E8/B8))^(1/($C$6-$B$6))-1,0)</f>
        <v>3.2240411893677878E-2</v>
      </c>
      <c r="H8" s="11"/>
      <c r="I8" s="10" t="str">
        <f>name!E4</f>
        <v>Managers, directors and senior officials</v>
      </c>
      <c r="J8" s="11">
        <f t="array" ref="J8:J16">MMULT(aggregation!$B$38:$AA$46,B7:B32)</f>
        <v>3307.5137597510798</v>
      </c>
      <c r="K8" s="11">
        <f t="array" ref="K8:K16">MMULT(aggregation!$B$38:$AA$46,C7:C32)</f>
        <v>3452.3732221540386</v>
      </c>
      <c r="L8" s="11">
        <f t="array" ref="L8:L16">MMULT(aggregation!$B$38:$AA$46,D7:D32)</f>
        <v>144.85946240295837</v>
      </c>
      <c r="M8" s="11">
        <f t="array" ref="M8:M16">MMULT(aggregation!$B$38:$AA$46,E7:E32)</f>
        <v>1738.3917492056905</v>
      </c>
      <c r="N8" s="11">
        <f t="array" ref="N8:N16">MMULT(aggregation!$B$38:$AA$46,F7:F32)</f>
        <v>1883.2512116086491</v>
      </c>
      <c r="O8" s="11"/>
      <c r="P8" s="10" t="str">
        <f>name!D5</f>
        <v>12 Other managers and proprietors</v>
      </c>
      <c r="Q8" s="11">
        <v>579.99639409238614</v>
      </c>
      <c r="R8" s="11">
        <v>736.34822839305525</v>
      </c>
      <c r="S8" s="313">
        <f t="shared" ref="S8:S31" si="5">R8-Q8</f>
        <v>156.35183430066911</v>
      </c>
      <c r="T8" s="313">
        <v>346.25202806149861</v>
      </c>
      <c r="U8" s="313">
        <f t="shared" ref="U8:U31" si="6">SUM(S8:T8)</f>
        <v>502.60386236216772</v>
      </c>
      <c r="V8" s="314">
        <f t="shared" ref="V8:V33" si="7">IF(Q8&gt;0,(1+(T8/Q8))^(1/($C$6-$B$6))-1,0)</f>
        <v>3.1700115538666696E-2</v>
      </c>
      <c r="W8" s="314"/>
      <c r="X8" s="10" t="str">
        <f>name!A5</f>
        <v>Coal, oil &amp; gas; Mining &amp; related</v>
      </c>
      <c r="Y8" s="10">
        <v>24.505999999997162</v>
      </c>
      <c r="Z8" s="10">
        <v>14.698000000068012</v>
      </c>
      <c r="AA8" s="313">
        <f t="shared" ref="AA8:AA71" si="8">Z8-Y8</f>
        <v>-9.8079999999291498</v>
      </c>
      <c r="AB8" s="10">
        <v>7.7345510761176675</v>
      </c>
      <c r="AC8" s="313">
        <f t="shared" ref="AC8:AC71" si="9">SUM(AA8:AB8)</f>
        <v>-2.0734489238114824</v>
      </c>
      <c r="AD8" s="314">
        <f t="shared" ref="AD8:AD71" si="10">IF(Y8&gt;0,(1+(AB8/Y8))^(1/($C$6-$B$6))-1,0)</f>
        <v>1.8455368585021503E-2</v>
      </c>
    </row>
    <row r="9" spans="1:30">
      <c r="A9" s="10" t="str">
        <f>name!D6</f>
        <v>21 Science, research, engineering and technology professionals</v>
      </c>
      <c r="B9" s="11">
        <f t="shared" si="4"/>
        <v>1898.0720341129459</v>
      </c>
      <c r="C9" s="11">
        <f t="shared" si="4"/>
        <v>2681.3748075213857</v>
      </c>
      <c r="D9" s="11">
        <f t="shared" si="4"/>
        <v>783.30277340843986</v>
      </c>
      <c r="E9" s="11">
        <f t="shared" si="4"/>
        <v>913.58421728172698</v>
      </c>
      <c r="F9" s="11">
        <f t="shared" si="4"/>
        <v>1696.8869906901668</v>
      </c>
      <c r="G9" s="177">
        <f t="shared" ref="G9:G33" si="11">IF(B9&gt;0,(1+(E9/B9))^(1/($C$6-$B$6))-1,0)</f>
        <v>2.6541793686660764E-2</v>
      </c>
      <c r="H9" s="11"/>
      <c r="I9" s="10" t="str">
        <f>name!E5</f>
        <v>Professional occupations</v>
      </c>
      <c r="J9" s="11">
        <v>7052.3788359871087</v>
      </c>
      <c r="K9" s="11">
        <v>8387.158568580051</v>
      </c>
      <c r="L9" s="11">
        <v>1334.779732592943</v>
      </c>
      <c r="M9" s="11">
        <v>3604.6298068640658</v>
      </c>
      <c r="N9" s="11">
        <v>4939.4095394570086</v>
      </c>
      <c r="O9" s="11"/>
      <c r="P9" s="10" t="str">
        <f>name!D6</f>
        <v>21 Science, research, engineering and technology professionals</v>
      </c>
      <c r="Q9" s="11">
        <v>1456.5973309821147</v>
      </c>
      <c r="R9" s="11">
        <v>1949.7424922917774</v>
      </c>
      <c r="S9" s="313">
        <f t="shared" si="5"/>
        <v>493.14516130966263</v>
      </c>
      <c r="T9" s="313">
        <v>589.48213271599434</v>
      </c>
      <c r="U9" s="313">
        <f t="shared" si="6"/>
        <v>1082.627294025657</v>
      </c>
      <c r="V9" s="314">
        <f t="shared" si="7"/>
        <v>2.2913395146412663E-2</v>
      </c>
      <c r="W9" s="314"/>
      <c r="X9" s="10" t="str">
        <f>name!A6</f>
        <v>Food products</v>
      </c>
      <c r="Y9" s="10">
        <v>332.29400000032757</v>
      </c>
      <c r="Z9" s="10">
        <v>328.04800000423478</v>
      </c>
      <c r="AA9" s="313">
        <f t="shared" si="8"/>
        <v>-4.2459999960927917</v>
      </c>
      <c r="AB9" s="10">
        <v>148.60535084694402</v>
      </c>
      <c r="AC9" s="313">
        <f t="shared" si="9"/>
        <v>144.35935085085123</v>
      </c>
      <c r="AD9" s="314">
        <f t="shared" si="10"/>
        <v>2.4948661791700966E-2</v>
      </c>
    </row>
    <row r="10" spans="1:30">
      <c r="A10" s="10" t="str">
        <f>name!D7</f>
        <v>22 Health professionals</v>
      </c>
      <c r="B10" s="11">
        <f t="shared" si="4"/>
        <v>1355.9327969719254</v>
      </c>
      <c r="C10" s="11">
        <f t="shared" si="4"/>
        <v>1436.7895221098104</v>
      </c>
      <c r="D10" s="11">
        <f t="shared" si="4"/>
        <v>80.856725137884922</v>
      </c>
      <c r="E10" s="11">
        <f t="shared" si="4"/>
        <v>726.5107545827974</v>
      </c>
      <c r="F10" s="11">
        <f t="shared" si="4"/>
        <v>807.36747972068213</v>
      </c>
      <c r="G10" s="177">
        <f t="shared" si="11"/>
        <v>2.9016498931798917E-2</v>
      </c>
      <c r="H10" s="11"/>
      <c r="I10" s="10" t="str">
        <f>name!E6</f>
        <v>Associate professional occupations</v>
      </c>
      <c r="J10" s="11">
        <v>4148.519922135707</v>
      </c>
      <c r="K10" s="11">
        <v>4773.1361951546678</v>
      </c>
      <c r="L10" s="11">
        <v>624.61627301896101</v>
      </c>
      <c r="M10" s="11">
        <v>2123.4947790465917</v>
      </c>
      <c r="N10" s="11">
        <v>2748.1110520655525</v>
      </c>
      <c r="O10" s="11"/>
      <c r="P10" s="10" t="str">
        <f>name!D7</f>
        <v>22 Health professionals</v>
      </c>
      <c r="Q10" s="11">
        <v>366.7619182696281</v>
      </c>
      <c r="R10" s="11">
        <v>392.94933626417338</v>
      </c>
      <c r="S10" s="313">
        <f t="shared" si="5"/>
        <v>26.187417994545285</v>
      </c>
      <c r="T10" s="313">
        <v>142.27896461301907</v>
      </c>
      <c r="U10" s="313">
        <f t="shared" si="6"/>
        <v>168.46638260756436</v>
      </c>
      <c r="V10" s="314">
        <f t="shared" si="7"/>
        <v>2.2094917079066301E-2</v>
      </c>
      <c r="W10" s="314"/>
      <c r="X10" s="10" t="str">
        <f>name!A7</f>
        <v>Beverages and tobacco</v>
      </c>
      <c r="Y10" s="10">
        <v>35.014999999897107</v>
      </c>
      <c r="Z10" s="10">
        <v>34.045000000111628</v>
      </c>
      <c r="AA10" s="313">
        <f t="shared" si="8"/>
        <v>-0.96999999978547891</v>
      </c>
      <c r="AB10" s="10">
        <v>15.747517022952922</v>
      </c>
      <c r="AC10" s="313">
        <f t="shared" si="9"/>
        <v>14.777517023167443</v>
      </c>
      <c r="AD10" s="314">
        <f t="shared" si="10"/>
        <v>2.5067822967457909E-2</v>
      </c>
    </row>
    <row r="11" spans="1:30">
      <c r="A11" s="10" t="str">
        <f>name!D8</f>
        <v>23 Teaching and other educational professionals</v>
      </c>
      <c r="B11" s="11">
        <f t="shared" si="4"/>
        <v>1503.6331126652776</v>
      </c>
      <c r="C11" s="11">
        <f t="shared" si="4"/>
        <v>1586.4211218808045</v>
      </c>
      <c r="D11" s="11">
        <f t="shared" si="4"/>
        <v>82.788009215527183</v>
      </c>
      <c r="E11" s="11">
        <f t="shared" si="4"/>
        <v>769.70664184384259</v>
      </c>
      <c r="F11" s="11">
        <f t="shared" si="4"/>
        <v>852.49465105936997</v>
      </c>
      <c r="G11" s="177">
        <f t="shared" si="11"/>
        <v>2.7940942927201506E-2</v>
      </c>
      <c r="H11" s="11"/>
      <c r="I11" s="10" t="str">
        <f>name!E7</f>
        <v>Administrative and secretarial occupations</v>
      </c>
      <c r="J11" s="11">
        <v>3139.6064886304184</v>
      </c>
      <c r="K11" s="11">
        <v>3006.32421331968</v>
      </c>
      <c r="L11" s="11">
        <v>-133.28227531073733</v>
      </c>
      <c r="M11" s="11">
        <v>1588.8090667586382</v>
      </c>
      <c r="N11" s="11">
        <v>1455.5267914479007</v>
      </c>
      <c r="O11" s="11"/>
      <c r="P11" s="10" t="str">
        <f>name!D8</f>
        <v>23 Teaching and other educational professionals</v>
      </c>
      <c r="Q11" s="11">
        <v>487.15805015784076</v>
      </c>
      <c r="R11" s="11">
        <v>527.17621703011434</v>
      </c>
      <c r="S11" s="313">
        <f t="shared" si="5"/>
        <v>40.018166872273582</v>
      </c>
      <c r="T11" s="313">
        <v>215.10968269252788</v>
      </c>
      <c r="U11" s="313">
        <f t="shared" si="6"/>
        <v>255.12784956480147</v>
      </c>
      <c r="V11" s="314">
        <f t="shared" si="7"/>
        <v>2.4681405692481562E-2</v>
      </c>
      <c r="W11" s="314"/>
      <c r="X11" s="10" t="str">
        <f>name!A8</f>
        <v>Textiles</v>
      </c>
      <c r="Y11" s="10">
        <v>56.820999999999039</v>
      </c>
      <c r="Z11" s="10">
        <v>42.984000000511358</v>
      </c>
      <c r="AA11" s="313">
        <f t="shared" si="8"/>
        <v>-13.836999999487681</v>
      </c>
      <c r="AB11" s="10">
        <v>22.223707189511888</v>
      </c>
      <c r="AC11" s="313">
        <f t="shared" si="9"/>
        <v>8.3867071900242074</v>
      </c>
      <c r="AD11" s="314">
        <f t="shared" si="10"/>
        <v>2.2251119469469449E-2</v>
      </c>
    </row>
    <row r="12" spans="1:30">
      <c r="A12" s="10" t="str">
        <f>name!D9</f>
        <v>24 Business, media and public service professionals</v>
      </c>
      <c r="B12" s="11">
        <f t="shared" si="4"/>
        <v>2294.74089223696</v>
      </c>
      <c r="C12" s="11">
        <f t="shared" si="4"/>
        <v>2682.5731170680501</v>
      </c>
      <c r="D12" s="11">
        <f t="shared" si="4"/>
        <v>387.83222483109103</v>
      </c>
      <c r="E12" s="11">
        <f t="shared" si="4"/>
        <v>1194.828193155699</v>
      </c>
      <c r="F12" s="11">
        <f t="shared" si="4"/>
        <v>1582.66041798679</v>
      </c>
      <c r="G12" s="177">
        <f t="shared" si="11"/>
        <v>2.8337980784293393E-2</v>
      </c>
      <c r="H12" s="11"/>
      <c r="I12" s="10" t="str">
        <f>name!E8</f>
        <v>Skilled trades occupations</v>
      </c>
      <c r="J12" s="11">
        <v>2507.3322009247013</v>
      </c>
      <c r="K12" s="11">
        <v>2469.7593394972223</v>
      </c>
      <c r="L12" s="11">
        <v>-37.572861427479012</v>
      </c>
      <c r="M12" s="11">
        <v>1076.2482899774493</v>
      </c>
      <c r="N12" s="11">
        <v>1038.6754285499703</v>
      </c>
      <c r="O12" s="11"/>
      <c r="P12" s="10" t="str">
        <f>name!D9</f>
        <v>24 Business, media and public service professionals</v>
      </c>
      <c r="Q12" s="11">
        <v>1274.7375045541762</v>
      </c>
      <c r="R12" s="11">
        <v>1461.2151776543644</v>
      </c>
      <c r="S12" s="313">
        <f t="shared" si="5"/>
        <v>186.47767310018821</v>
      </c>
      <c r="T12" s="313">
        <v>584.24640329006365</v>
      </c>
      <c r="U12" s="313">
        <f t="shared" si="6"/>
        <v>770.72407639025187</v>
      </c>
      <c r="V12" s="314">
        <f t="shared" si="7"/>
        <v>2.5471648445607453E-2</v>
      </c>
      <c r="W12" s="314"/>
      <c r="X12" s="10" t="str">
        <f>name!A9</f>
        <v>Wearing apparel; Leather, etc</v>
      </c>
      <c r="Y12" s="10">
        <v>49.279000000011884</v>
      </c>
      <c r="Z12" s="10">
        <v>37.630000000276084</v>
      </c>
      <c r="AA12" s="313">
        <f t="shared" si="8"/>
        <v>-11.6489999997358</v>
      </c>
      <c r="AB12" s="10">
        <v>20.701777680986726</v>
      </c>
      <c r="AC12" s="313">
        <f t="shared" si="9"/>
        <v>9.0527776812509266</v>
      </c>
      <c r="AD12" s="314">
        <f t="shared" si="10"/>
        <v>2.3656995185507679E-2</v>
      </c>
    </row>
    <row r="13" spans="1:30">
      <c r="A13" s="10" t="str">
        <f>name!D10</f>
        <v>31 Science, engineering and technology associate professionals</v>
      </c>
      <c r="B13" s="11">
        <f t="shared" si="4"/>
        <v>588.40741770343914</v>
      </c>
      <c r="C13" s="11">
        <f t="shared" si="4"/>
        <v>604.33246394772141</v>
      </c>
      <c r="D13" s="11">
        <f t="shared" si="4"/>
        <v>15.925046244282465</v>
      </c>
      <c r="E13" s="11">
        <f t="shared" si="4"/>
        <v>237.36240971604036</v>
      </c>
      <c r="F13" s="11">
        <f t="shared" si="4"/>
        <v>253.28745596032283</v>
      </c>
      <c r="G13" s="177">
        <f t="shared" si="11"/>
        <v>2.2850255738884995E-2</v>
      </c>
      <c r="H13" s="11"/>
      <c r="I13" s="10" t="str">
        <f>name!E9</f>
        <v>Caring, leisure and other service occupations</v>
      </c>
      <c r="J13" s="11">
        <v>2678.5046281380946</v>
      </c>
      <c r="K13" s="11">
        <v>2919.9573485364594</v>
      </c>
      <c r="L13" s="11">
        <v>241.45272039836527</v>
      </c>
      <c r="M13" s="11">
        <v>1529.8239869629851</v>
      </c>
      <c r="N13" s="11">
        <v>1771.2767073613504</v>
      </c>
      <c r="O13" s="11"/>
      <c r="P13" s="10" t="str">
        <f>name!D10</f>
        <v>31 Science, engineering and technology associate professionals</v>
      </c>
      <c r="Q13" s="11">
        <v>423.50200026833016</v>
      </c>
      <c r="R13" s="11">
        <v>394.21388901440332</v>
      </c>
      <c r="S13" s="313">
        <f t="shared" si="5"/>
        <v>-29.288111253926843</v>
      </c>
      <c r="T13" s="313">
        <v>142.38458123975647</v>
      </c>
      <c r="U13" s="313">
        <f t="shared" si="6"/>
        <v>113.09646998582963</v>
      </c>
      <c r="V13" s="314">
        <f t="shared" si="7"/>
        <v>1.951024734129958E-2</v>
      </c>
      <c r="W13" s="314"/>
      <c r="X13" s="10" t="str">
        <f>name!A10</f>
        <v xml:space="preserve">Wood and cork </v>
      </c>
      <c r="Y13" s="10">
        <v>76.711999999876014</v>
      </c>
      <c r="Z13" s="10">
        <v>73.502000000007882</v>
      </c>
      <c r="AA13" s="313">
        <f t="shared" si="8"/>
        <v>-3.2099999998681312</v>
      </c>
      <c r="AB13" s="10">
        <v>32.53402374659737</v>
      </c>
      <c r="AC13" s="313">
        <f t="shared" si="9"/>
        <v>29.324023746729239</v>
      </c>
      <c r="AD13" s="314">
        <f t="shared" si="10"/>
        <v>2.3849577823308543E-2</v>
      </c>
    </row>
    <row r="14" spans="1:30">
      <c r="A14" s="10" t="str">
        <f>name!D11</f>
        <v>32 Health and social care associate professionals</v>
      </c>
      <c r="B14" s="11">
        <f t="shared" si="4"/>
        <v>567.17631851210342</v>
      </c>
      <c r="C14" s="11">
        <f t="shared" si="4"/>
        <v>1055.2041333538766</v>
      </c>
      <c r="D14" s="11">
        <f t="shared" si="4"/>
        <v>488.02781484177319</v>
      </c>
      <c r="E14" s="11">
        <f t="shared" si="4"/>
        <v>531.04259694096675</v>
      </c>
      <c r="F14" s="11">
        <f t="shared" si="4"/>
        <v>1019.0704117827398</v>
      </c>
      <c r="G14" s="177">
        <f t="shared" si="11"/>
        <v>4.5036330036659633E-2</v>
      </c>
      <c r="H14" s="11"/>
      <c r="I14" s="10" t="str">
        <f>name!E10</f>
        <v>Sales and customer service occupations</v>
      </c>
      <c r="J14" s="11">
        <v>2363.8487883943098</v>
      </c>
      <c r="K14" s="11">
        <v>2408.2466133814287</v>
      </c>
      <c r="L14" s="11">
        <v>44.397824987119577</v>
      </c>
      <c r="M14" s="11">
        <v>1108.9569426601711</v>
      </c>
      <c r="N14" s="11">
        <v>1153.3547676472906</v>
      </c>
      <c r="O14" s="11"/>
      <c r="P14" s="10" t="str">
        <f>name!D11</f>
        <v>32 Health and social care associate professionals</v>
      </c>
      <c r="Q14" s="11">
        <v>129.66876831873392</v>
      </c>
      <c r="R14" s="11">
        <v>195.12566843233208</v>
      </c>
      <c r="S14" s="313">
        <f t="shared" si="5"/>
        <v>65.456900113598152</v>
      </c>
      <c r="T14" s="313">
        <v>84.424570372317007</v>
      </c>
      <c r="U14" s="313">
        <f t="shared" si="6"/>
        <v>149.88147048591514</v>
      </c>
      <c r="V14" s="314">
        <f t="shared" si="7"/>
        <v>3.3993601476995261E-2</v>
      </c>
      <c r="W14" s="314"/>
      <c r="X14" s="10" t="str">
        <f>name!A11</f>
        <v>Paper, etc</v>
      </c>
      <c r="Y14" s="10">
        <v>41.400000000073369</v>
      </c>
      <c r="Z14" s="10">
        <v>39.809000000297168</v>
      </c>
      <c r="AA14" s="313">
        <f t="shared" si="8"/>
        <v>-1.5909999997762014</v>
      </c>
      <c r="AB14" s="10">
        <v>16.751900966837781</v>
      </c>
      <c r="AC14" s="313">
        <f t="shared" si="9"/>
        <v>15.160900967061579</v>
      </c>
      <c r="AD14" s="314">
        <f t="shared" si="10"/>
        <v>2.2910347103957784E-2</v>
      </c>
    </row>
    <row r="15" spans="1:30">
      <c r="A15" s="10" t="str">
        <f>name!D12</f>
        <v>33 Protective service occupations</v>
      </c>
      <c r="B15" s="11">
        <f t="shared" si="4"/>
        <v>320.8569343295286</v>
      </c>
      <c r="C15" s="11">
        <f t="shared" si="4"/>
        <v>294.04112821504435</v>
      </c>
      <c r="D15" s="11">
        <f t="shared" si="4"/>
        <v>-26.815806114484261</v>
      </c>
      <c r="E15" s="11">
        <f t="shared" si="4"/>
        <v>97.057148032361965</v>
      </c>
      <c r="F15" s="11">
        <f t="shared" si="4"/>
        <v>70.241341917877705</v>
      </c>
      <c r="G15" s="177">
        <f t="shared" si="11"/>
        <v>1.7774826920394116E-2</v>
      </c>
      <c r="H15" s="11"/>
      <c r="I15" s="10" t="str">
        <f>name!E11</f>
        <v>Process, plant and machine operatives</v>
      </c>
      <c r="J15" s="11">
        <v>1665.7893005784117</v>
      </c>
      <c r="K15" s="11">
        <v>1664.9651104259576</v>
      </c>
      <c r="L15" s="11">
        <v>-0.82419015245400828</v>
      </c>
      <c r="M15" s="11">
        <v>821.40225146867294</v>
      </c>
      <c r="N15" s="11">
        <v>820.57806131621885</v>
      </c>
      <c r="O15" s="11"/>
      <c r="P15" s="10" t="str">
        <f>name!D12</f>
        <v>33 Protective service occupations</v>
      </c>
      <c r="Q15" s="11">
        <v>239.7962095690612</v>
      </c>
      <c r="R15" s="11">
        <v>199.25599578662175</v>
      </c>
      <c r="S15" s="313">
        <f t="shared" si="5"/>
        <v>-40.540213782439452</v>
      </c>
      <c r="T15" s="313">
        <v>57.524749875334891</v>
      </c>
      <c r="U15" s="313">
        <f t="shared" si="6"/>
        <v>16.984536092895439</v>
      </c>
      <c r="V15" s="314">
        <f t="shared" si="7"/>
        <v>1.4438089438822965E-2</v>
      </c>
      <c r="W15" s="314"/>
      <c r="X15" s="10" t="str">
        <f>name!A12</f>
        <v>Printing and recording</v>
      </c>
      <c r="Y15" s="10">
        <v>80.943999999927939</v>
      </c>
      <c r="Z15" s="10">
        <v>63.367000000766687</v>
      </c>
      <c r="AA15" s="313">
        <f t="shared" si="8"/>
        <v>-17.576999999161252</v>
      </c>
      <c r="AB15" s="10">
        <v>32.326160299969864</v>
      </c>
      <c r="AC15" s="313">
        <f t="shared" si="9"/>
        <v>14.749160300808612</v>
      </c>
      <c r="AD15" s="314">
        <f t="shared" si="10"/>
        <v>2.2654005062083815E-2</v>
      </c>
    </row>
    <row r="16" spans="1:30">
      <c r="A16" s="10" t="str">
        <f>name!D13</f>
        <v>34 Culture, media and sports occupations</v>
      </c>
      <c r="B16" s="11">
        <f t="shared" si="4"/>
        <v>680.96833755090483</v>
      </c>
      <c r="C16" s="11">
        <f t="shared" si="4"/>
        <v>678.61701625076614</v>
      </c>
      <c r="D16" s="11">
        <f t="shared" si="4"/>
        <v>-2.351321300138645</v>
      </c>
      <c r="E16" s="11">
        <f t="shared" si="4"/>
        <v>303.61494950197175</v>
      </c>
      <c r="F16" s="11">
        <f t="shared" si="4"/>
        <v>301.26362820183311</v>
      </c>
      <c r="G16" s="177">
        <f t="shared" si="11"/>
        <v>2.4884761830394231E-2</v>
      </c>
      <c r="H16" s="11"/>
      <c r="I16" s="10" t="str">
        <f>name!E12</f>
        <v>Elementary occupations</v>
      </c>
      <c r="J16" s="11">
        <v>2996.1870754553834</v>
      </c>
      <c r="K16" s="11">
        <v>2988.1703889630262</v>
      </c>
      <c r="L16" s="11">
        <v>-8.016686492356996</v>
      </c>
      <c r="M16" s="11">
        <v>1468.7397920389558</v>
      </c>
      <c r="N16" s="11">
        <v>1460.7231055465986</v>
      </c>
      <c r="O16" s="11"/>
      <c r="P16" s="10" t="str">
        <f>name!D13</f>
        <v>34 Culture, media and sports occupations</v>
      </c>
      <c r="Q16" s="11">
        <v>351.31506863906549</v>
      </c>
      <c r="R16" s="11">
        <v>338.54554086042094</v>
      </c>
      <c r="S16" s="313">
        <f t="shared" si="5"/>
        <v>-12.769527778644544</v>
      </c>
      <c r="T16" s="313">
        <v>130.93176250272973</v>
      </c>
      <c r="U16" s="313">
        <f t="shared" si="6"/>
        <v>118.16223472408518</v>
      </c>
      <c r="V16" s="314">
        <f t="shared" si="7"/>
        <v>2.1342741922369513E-2</v>
      </c>
      <c r="W16" s="314"/>
      <c r="X16" s="10" t="str">
        <f>name!A13</f>
        <v>Coke and petroleum; Chemicals, etc</v>
      </c>
      <c r="Y16" s="10">
        <v>95.042999999644366</v>
      </c>
      <c r="Z16" s="10">
        <v>81.697000000754826</v>
      </c>
      <c r="AA16" s="313">
        <f t="shared" si="8"/>
        <v>-13.345999998889539</v>
      </c>
      <c r="AB16" s="10">
        <v>38.167168655544174</v>
      </c>
      <c r="AC16" s="313">
        <f t="shared" si="9"/>
        <v>24.821168656654635</v>
      </c>
      <c r="AD16" s="314">
        <f t="shared" si="10"/>
        <v>2.2761762256380935E-2</v>
      </c>
    </row>
    <row r="17" spans="1:30">
      <c r="A17" s="10" t="str">
        <f>name!D14</f>
        <v>35 Business and public service associate professionals</v>
      </c>
      <c r="B17" s="11">
        <f t="shared" ref="B17:F26" si="12">SUM(B46,B75,B104,B133,B162,B191,B220,B249,B278)</f>
        <v>1991.1109140397311</v>
      </c>
      <c r="C17" s="11">
        <f t="shared" si="12"/>
        <v>2140.9414533872596</v>
      </c>
      <c r="D17" s="11">
        <f t="shared" si="12"/>
        <v>149.8305393475282</v>
      </c>
      <c r="E17" s="11">
        <f t="shared" si="12"/>
        <v>954.41767485525077</v>
      </c>
      <c r="F17" s="11">
        <f t="shared" si="12"/>
        <v>1104.2482142027791</v>
      </c>
      <c r="G17" s="177">
        <f t="shared" si="11"/>
        <v>2.6450126621981429E-2</v>
      </c>
      <c r="H17" s="11"/>
      <c r="O17" s="11"/>
      <c r="P17" s="10" t="str">
        <f>name!D14</f>
        <v>35 Business and public service associate professionals</v>
      </c>
      <c r="Q17" s="11">
        <v>1053.5518681258898</v>
      </c>
      <c r="R17" s="11">
        <v>1080.6873903129567</v>
      </c>
      <c r="S17" s="313">
        <f t="shared" si="5"/>
        <v>27.135522187066954</v>
      </c>
      <c r="T17" s="313">
        <v>415.26903114499436</v>
      </c>
      <c r="U17" s="313">
        <f t="shared" si="6"/>
        <v>442.40455333206131</v>
      </c>
      <c r="V17" s="314">
        <f t="shared" si="7"/>
        <v>2.2400048585858867E-2</v>
      </c>
      <c r="W17" s="314"/>
      <c r="X17" s="10" t="str">
        <f>name!A14</f>
        <v>Pharmaceuticals</v>
      </c>
      <c r="Y17" s="10">
        <v>40.486999999838034</v>
      </c>
      <c r="Z17" s="10">
        <v>42.416000000356412</v>
      </c>
      <c r="AA17" s="313">
        <f t="shared" si="8"/>
        <v>1.9290000005183785</v>
      </c>
      <c r="AB17" s="10">
        <v>19.106178735795407</v>
      </c>
      <c r="AC17" s="313">
        <f t="shared" si="9"/>
        <v>21.035178736313785</v>
      </c>
      <c r="AD17" s="314">
        <f t="shared" si="10"/>
        <v>2.6105613709944242E-2</v>
      </c>
    </row>
    <row r="18" spans="1:30" ht="12.95">
      <c r="A18" s="10" t="str">
        <f>name!D15</f>
        <v>41 Administrative occupations</v>
      </c>
      <c r="B18" s="11">
        <f t="shared" si="12"/>
        <v>2567.7596878310496</v>
      </c>
      <c r="C18" s="11">
        <f t="shared" si="12"/>
        <v>2608.0002276081495</v>
      </c>
      <c r="D18" s="11">
        <f t="shared" si="12"/>
        <v>40.240539777100707</v>
      </c>
      <c r="E18" s="11">
        <f t="shared" si="12"/>
        <v>1326.9844035075698</v>
      </c>
      <c r="F18" s="11">
        <f t="shared" si="12"/>
        <v>1367.2249432846702</v>
      </c>
      <c r="G18" s="177">
        <f t="shared" si="11"/>
        <v>2.8162208435316582E-2</v>
      </c>
      <c r="H18" s="11"/>
      <c r="I18" s="68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818.45285183372221</v>
      </c>
      <c r="R18" s="11">
        <v>965.12021326302624</v>
      </c>
      <c r="S18" s="313">
        <f t="shared" si="5"/>
        <v>146.66736142930404</v>
      </c>
      <c r="T18" s="313">
        <v>338.85510425908893</v>
      </c>
      <c r="U18" s="313">
        <f t="shared" si="6"/>
        <v>485.52246568839297</v>
      </c>
      <c r="V18" s="314">
        <f t="shared" si="7"/>
        <v>2.3364509559360425E-2</v>
      </c>
      <c r="W18" s="314"/>
      <c r="X18" s="10" t="str">
        <f>name!A15</f>
        <v>Rubber and plastic</v>
      </c>
      <c r="Y18" s="10">
        <v>156.97699999980949</v>
      </c>
      <c r="Z18" s="10">
        <v>137.66700000103702</v>
      </c>
      <c r="AA18" s="313">
        <f t="shared" si="8"/>
        <v>-19.309999998772469</v>
      </c>
      <c r="AB18" s="10">
        <v>63.539066173913483</v>
      </c>
      <c r="AC18" s="313">
        <f t="shared" si="9"/>
        <v>44.229066175141014</v>
      </c>
      <c r="AD18" s="314">
        <f t="shared" si="10"/>
        <v>2.291672794002908E-2</v>
      </c>
    </row>
    <row r="19" spans="1:30">
      <c r="A19" s="10" t="str">
        <f>name!D16</f>
        <v>42 Secretarial and related occupations</v>
      </c>
      <c r="B19" s="11">
        <f t="shared" si="12"/>
        <v>571.84680079936857</v>
      </c>
      <c r="C19" s="11">
        <f t="shared" si="12"/>
        <v>398.32398571153055</v>
      </c>
      <c r="D19" s="11">
        <f t="shared" si="12"/>
        <v>-173.52281508783804</v>
      </c>
      <c r="E19" s="11">
        <f t="shared" si="12"/>
        <v>261.82466325106844</v>
      </c>
      <c r="F19" s="11">
        <f t="shared" si="12"/>
        <v>88.301848163230403</v>
      </c>
      <c r="G19" s="177">
        <f t="shared" si="11"/>
        <v>2.5449669289091092E-2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53.782982651133885</v>
      </c>
      <c r="K19" s="11">
        <f t="array" ref="K19:K27">MMULT(aggregation!$B$38:$AA$46,C36:C61)</f>
        <v>99.45596525587105</v>
      </c>
      <c r="L19" s="11">
        <f t="array" ref="L19:L27">MMULT(aggregation!$B$38:$AA$46,D36:D61)</f>
        <v>45.672982604737165</v>
      </c>
      <c r="M19" s="11">
        <f t="array" ref="M19:M27">MMULT(aggregation!$B$38:$AA$46,E36:E61)</f>
        <v>42.303382665854713</v>
      </c>
      <c r="N19" s="11">
        <f t="array" ref="N19:N27">MMULT(aggregation!$B$38:$AA$46,F36:F61)</f>
        <v>87.976365270591884</v>
      </c>
      <c r="O19" s="11"/>
      <c r="P19" s="10" t="str">
        <f>name!D16</f>
        <v>42 Secretarial and related occupations</v>
      </c>
      <c r="Q19" s="11">
        <v>35.701728456353983</v>
      </c>
      <c r="R19" s="11">
        <v>37.951441632302746</v>
      </c>
      <c r="S19" s="313">
        <f t="shared" si="5"/>
        <v>2.249713175948763</v>
      </c>
      <c r="T19" s="313">
        <v>11.395679512446971</v>
      </c>
      <c r="U19" s="313">
        <f t="shared" si="6"/>
        <v>13.645392688395734</v>
      </c>
      <c r="V19" s="314">
        <f t="shared" si="7"/>
        <v>1.8639510984662433E-2</v>
      </c>
      <c r="W19" s="314"/>
      <c r="X19" s="10" t="str">
        <f>name!A16</f>
        <v>Other non-metallic</v>
      </c>
      <c r="Y19" s="10">
        <v>82.475999999956031</v>
      </c>
      <c r="Z19" s="10">
        <v>72.09700000042568</v>
      </c>
      <c r="AA19" s="313">
        <f t="shared" si="8"/>
        <v>-10.37899999953035</v>
      </c>
      <c r="AB19" s="10">
        <v>34.076215995981798</v>
      </c>
      <c r="AC19" s="313">
        <f t="shared" si="9"/>
        <v>23.697215996451447</v>
      </c>
      <c r="AD19" s="314">
        <f t="shared" si="10"/>
        <v>2.3323300804890312E-2</v>
      </c>
    </row>
    <row r="20" spans="1:30">
      <c r="A20" s="10" t="str">
        <f>name!D17</f>
        <v>51 Skilled agricultural and related trades</v>
      </c>
      <c r="B20" s="11">
        <f t="shared" si="12"/>
        <v>271.96702564571336</v>
      </c>
      <c r="C20" s="11">
        <f t="shared" si="12"/>
        <v>298.01795271042812</v>
      </c>
      <c r="D20" s="11">
        <f t="shared" si="12"/>
        <v>26.050927064714735</v>
      </c>
      <c r="E20" s="11">
        <f t="shared" si="12"/>
        <v>159.32399388113063</v>
      </c>
      <c r="F20" s="11">
        <f t="shared" si="12"/>
        <v>185.37492094584536</v>
      </c>
      <c r="G20" s="177">
        <f t="shared" si="11"/>
        <v>3.1217507327332861E-2</v>
      </c>
      <c r="H20" s="11"/>
      <c r="I20" s="11" t="str">
        <f t="shared" si="13"/>
        <v>Professional occupations</v>
      </c>
      <c r="J20" s="11">
        <v>372.52899066440352</v>
      </c>
      <c r="K20" s="11">
        <v>625.99263278749277</v>
      </c>
      <c r="L20" s="11">
        <v>253.46364212308924</v>
      </c>
      <c r="M20" s="11">
        <v>237.52478751408518</v>
      </c>
      <c r="N20" s="11">
        <v>490.98842963717436</v>
      </c>
      <c r="O20" s="11"/>
      <c r="P20" s="10" t="str">
        <f>name!D17</f>
        <v>51 Skilled agricultural and related trades</v>
      </c>
      <c r="Q20" s="11">
        <v>216.98274328121153</v>
      </c>
      <c r="R20" s="11">
        <v>226.24225337156895</v>
      </c>
      <c r="S20" s="313">
        <f t="shared" si="5"/>
        <v>9.2595100903574235</v>
      </c>
      <c r="T20" s="313">
        <v>115.5596706838332</v>
      </c>
      <c r="U20" s="313">
        <f t="shared" si="6"/>
        <v>124.81918077419063</v>
      </c>
      <c r="V20" s="314">
        <f t="shared" si="7"/>
        <v>2.887225645834679E-2</v>
      </c>
      <c r="W20" s="314"/>
      <c r="X20" s="10" t="str">
        <f>name!A17</f>
        <v>Basic metals</v>
      </c>
      <c r="Y20" s="10">
        <v>48.218999999907361</v>
      </c>
      <c r="Z20" s="10">
        <v>41.265000000113787</v>
      </c>
      <c r="AA20" s="313">
        <f t="shared" si="8"/>
        <v>-6.9539999997935737</v>
      </c>
      <c r="AB20" s="10">
        <v>18.053809985499338</v>
      </c>
      <c r="AC20" s="313">
        <f t="shared" si="9"/>
        <v>11.099809985705765</v>
      </c>
      <c r="AD20" s="314">
        <f t="shared" si="10"/>
        <v>2.1428125967488665E-2</v>
      </c>
    </row>
    <row r="21" spans="1:30">
      <c r="A21" s="10" t="str">
        <f>name!D18</f>
        <v>52 Skilled metal, electrical and electronic trades</v>
      </c>
      <c r="B21" s="11">
        <f t="shared" si="12"/>
        <v>921.97868029404174</v>
      </c>
      <c r="C21" s="11">
        <f t="shared" si="12"/>
        <v>865.47505970083375</v>
      </c>
      <c r="D21" s="11">
        <f t="shared" si="12"/>
        <v>-56.503620593207948</v>
      </c>
      <c r="E21" s="11">
        <f t="shared" si="12"/>
        <v>345.99412398333004</v>
      </c>
      <c r="F21" s="11">
        <f t="shared" si="12"/>
        <v>289.49050339012211</v>
      </c>
      <c r="G21" s="177">
        <f t="shared" si="11"/>
        <v>2.1470755414302323E-2</v>
      </c>
      <c r="H21" s="11"/>
      <c r="I21" s="11" t="str">
        <f t="shared" si="13"/>
        <v>Associate professional occupations</v>
      </c>
      <c r="J21" s="11">
        <v>56.795024991702014</v>
      </c>
      <c r="K21" s="11">
        <v>116.02256007678224</v>
      </c>
      <c r="L21" s="11">
        <v>59.22753508508022</v>
      </c>
      <c r="M21" s="11">
        <v>42.751471556212799</v>
      </c>
      <c r="N21" s="11">
        <v>101.97900664129301</v>
      </c>
      <c r="O21" s="11"/>
      <c r="P21" s="10" t="str">
        <f>name!D18</f>
        <v>52 Skilled metal, electrical and electronic trades</v>
      </c>
      <c r="Q21" s="11">
        <v>899.07084758315523</v>
      </c>
      <c r="R21" s="11">
        <v>815.14902033959197</v>
      </c>
      <c r="S21" s="313">
        <f t="shared" si="5"/>
        <v>-83.921827243563257</v>
      </c>
      <c r="T21" s="313">
        <v>321.95224593918562</v>
      </c>
      <c r="U21" s="313">
        <f t="shared" si="6"/>
        <v>238.03041869562236</v>
      </c>
      <c r="V21" s="314">
        <f t="shared" si="7"/>
        <v>2.0615118896824436E-2</v>
      </c>
      <c r="W21" s="314"/>
      <c r="X21" s="10" t="str">
        <f>name!A18</f>
        <v>Metal products</v>
      </c>
      <c r="Y21" s="10">
        <v>237.35899999947742</v>
      </c>
      <c r="Z21" s="10">
        <v>202.21800000106202</v>
      </c>
      <c r="AA21" s="313">
        <f t="shared" si="8"/>
        <v>-35.140999998415396</v>
      </c>
      <c r="AB21" s="10">
        <v>91.421967407147918</v>
      </c>
      <c r="AC21" s="313">
        <f t="shared" si="9"/>
        <v>56.280967408732522</v>
      </c>
      <c r="AD21" s="314">
        <f t="shared" si="10"/>
        <v>2.1958823550563222E-2</v>
      </c>
    </row>
    <row r="22" spans="1:30">
      <c r="A22" s="10" t="str">
        <f>name!D19</f>
        <v>53 Skilled construction and building trades</v>
      </c>
      <c r="B22" s="11">
        <f t="shared" si="12"/>
        <v>769.61235836914841</v>
      </c>
      <c r="C22" s="11">
        <f t="shared" si="12"/>
        <v>718.69802351717999</v>
      </c>
      <c r="D22" s="11">
        <f t="shared" si="12"/>
        <v>-50.914334851968441</v>
      </c>
      <c r="E22" s="11">
        <f t="shared" si="12"/>
        <v>320.89195737736384</v>
      </c>
      <c r="F22" s="11">
        <f t="shared" si="12"/>
        <v>269.97762252539547</v>
      </c>
      <c r="G22" s="177">
        <f t="shared" si="11"/>
        <v>2.3505915440169556E-2</v>
      </c>
      <c r="H22" s="11"/>
      <c r="I22" s="11" t="str">
        <f t="shared" si="13"/>
        <v>Administrative and secretarial occupations</v>
      </c>
      <c r="J22" s="11">
        <v>17.933882955831443</v>
      </c>
      <c r="K22" s="11">
        <v>42.085031572528287</v>
      </c>
      <c r="L22" s="11">
        <v>24.151148616696844</v>
      </c>
      <c r="M22" s="11">
        <v>16.566721144786971</v>
      </c>
      <c r="N22" s="11">
        <v>40.717869761483819</v>
      </c>
      <c r="O22" s="11"/>
      <c r="P22" s="10" t="str">
        <f>name!D19</f>
        <v>53 Skilled construction and building trades</v>
      </c>
      <c r="Q22" s="11">
        <v>750.69644760200902</v>
      </c>
      <c r="R22" s="11">
        <v>704.16901469255447</v>
      </c>
      <c r="S22" s="313">
        <f t="shared" si="5"/>
        <v>-46.527432909454546</v>
      </c>
      <c r="T22" s="313">
        <v>313.55544107853501</v>
      </c>
      <c r="U22" s="313">
        <f t="shared" si="6"/>
        <v>267.02800816908046</v>
      </c>
      <c r="V22" s="314">
        <f t="shared" si="7"/>
        <v>2.3541221618678554E-2</v>
      </c>
      <c r="W22" s="314"/>
      <c r="X22" s="10" t="str">
        <f>name!A19</f>
        <v>Computer, etc</v>
      </c>
      <c r="Y22" s="10">
        <v>104.26599999968749</v>
      </c>
      <c r="Z22" s="10">
        <v>92.178000000650385</v>
      </c>
      <c r="AA22" s="313">
        <f t="shared" si="8"/>
        <v>-12.087999999037109</v>
      </c>
      <c r="AB22" s="10">
        <v>43.071052516434762</v>
      </c>
      <c r="AC22" s="313">
        <f t="shared" si="9"/>
        <v>30.983052517397653</v>
      </c>
      <c r="AD22" s="314">
        <f t="shared" si="10"/>
        <v>2.3319580939839657E-2</v>
      </c>
    </row>
    <row r="23" spans="1:30">
      <c r="A23" s="10" t="str">
        <f>name!D20</f>
        <v>54 Textiles, printing and other skilled trades</v>
      </c>
      <c r="B23" s="11">
        <f t="shared" si="12"/>
        <v>543.77413661579794</v>
      </c>
      <c r="C23" s="11">
        <f t="shared" si="12"/>
        <v>587.56830356878061</v>
      </c>
      <c r="D23" s="11">
        <f t="shared" si="12"/>
        <v>43.794166952982636</v>
      </c>
      <c r="E23" s="11">
        <f t="shared" si="12"/>
        <v>250.03821473562476</v>
      </c>
      <c r="F23" s="11">
        <f t="shared" si="12"/>
        <v>293.83238168860737</v>
      </c>
      <c r="G23" s="177">
        <f t="shared" si="11"/>
        <v>2.5541612315366669E-2</v>
      </c>
      <c r="H23" s="11"/>
      <c r="I23" s="11" t="str">
        <f t="shared" si="13"/>
        <v>Skilled trades occupations</v>
      </c>
      <c r="J23" s="11">
        <v>4.5396989197921638</v>
      </c>
      <c r="K23" s="11">
        <v>10.026746335890532</v>
      </c>
      <c r="L23" s="11">
        <v>5.4870474160983695</v>
      </c>
      <c r="M23" s="11">
        <v>3.9461413864661963</v>
      </c>
      <c r="N23" s="11">
        <v>9.4331888025645654</v>
      </c>
      <c r="O23" s="11"/>
      <c r="P23" s="10" t="str">
        <f>name!D20</f>
        <v>54 Textiles, printing and other skilled trades</v>
      </c>
      <c r="Q23" s="11">
        <v>318.36080556645021</v>
      </c>
      <c r="R23" s="11">
        <v>346.57330293943801</v>
      </c>
      <c r="S23" s="313">
        <f t="shared" si="5"/>
        <v>28.212497372987798</v>
      </c>
      <c r="T23" s="313">
        <v>112.45151387186199</v>
      </c>
      <c r="U23" s="313">
        <f t="shared" si="6"/>
        <v>140.6640112448498</v>
      </c>
      <c r="V23" s="314">
        <f t="shared" si="7"/>
        <v>2.0370516576543096E-2</v>
      </c>
      <c r="W23" s="314"/>
      <c r="X23" s="10" t="str">
        <f>name!A20</f>
        <v>Electrical equipment</v>
      </c>
      <c r="Y23" s="10">
        <v>61.081999999842061</v>
      </c>
      <c r="Z23" s="10">
        <v>56.905000000359578</v>
      </c>
      <c r="AA23" s="313">
        <f t="shared" si="8"/>
        <v>-4.1769999994824829</v>
      </c>
      <c r="AB23" s="10">
        <v>25.943131723551033</v>
      </c>
      <c r="AC23" s="313">
        <f t="shared" si="9"/>
        <v>21.766131724068551</v>
      </c>
      <c r="AD23" s="314">
        <f t="shared" si="10"/>
        <v>2.3879299653649655E-2</v>
      </c>
    </row>
    <row r="24" spans="1:30">
      <c r="A24" s="10" t="str">
        <f>name!D21</f>
        <v>61 Caring personal service occupations</v>
      </c>
      <c r="B24" s="11">
        <f t="shared" si="12"/>
        <v>2019.8340014923342</v>
      </c>
      <c r="C24" s="11">
        <f t="shared" si="12"/>
        <v>2292.0510206757431</v>
      </c>
      <c r="D24" s="11">
        <f t="shared" si="12"/>
        <v>272.21701918340904</v>
      </c>
      <c r="E24" s="11">
        <f t="shared" si="12"/>
        <v>1210.8665860494173</v>
      </c>
      <c r="F24" s="11">
        <f t="shared" si="12"/>
        <v>1483.0836052328264</v>
      </c>
      <c r="G24" s="177">
        <f t="shared" si="11"/>
        <v>3.1807630938947673E-2</v>
      </c>
      <c r="H24" s="11"/>
      <c r="I24" s="11" t="str">
        <f t="shared" si="13"/>
        <v>Caring, leisure and other service occupations</v>
      </c>
      <c r="J24" s="11">
        <v>2.9941269753406106</v>
      </c>
      <c r="K24" s="11">
        <v>7.102304831164072</v>
      </c>
      <c r="L24" s="11">
        <v>4.1081778558234614</v>
      </c>
      <c r="M24" s="11">
        <v>2.8289155197357072</v>
      </c>
      <c r="N24" s="11">
        <v>6.9370933755591686</v>
      </c>
      <c r="O24" s="11"/>
      <c r="P24" s="10" t="str">
        <f>name!D21</f>
        <v>61 Caring personal service occupations</v>
      </c>
      <c r="Q24" s="11">
        <v>311.47269709986608</v>
      </c>
      <c r="R24" s="11">
        <v>434.35397669676667</v>
      </c>
      <c r="S24" s="313">
        <f t="shared" si="5"/>
        <v>122.88127959690058</v>
      </c>
      <c r="T24" s="313">
        <v>172.83496838070789</v>
      </c>
      <c r="U24" s="313">
        <f t="shared" si="6"/>
        <v>295.71624797760848</v>
      </c>
      <c r="V24" s="314">
        <f t="shared" si="7"/>
        <v>2.9864506163596038E-2</v>
      </c>
      <c r="W24" s="314"/>
      <c r="X24" s="10" t="str">
        <f>name!A21</f>
        <v>Machinery n.e.c.</v>
      </c>
      <c r="Y24" s="10">
        <v>157.30799999954706</v>
      </c>
      <c r="Z24" s="10">
        <v>141.09300000061182</v>
      </c>
      <c r="AA24" s="313">
        <f t="shared" si="8"/>
        <v>-16.214999998935241</v>
      </c>
      <c r="AB24" s="10">
        <v>63.785181946694713</v>
      </c>
      <c r="AC24" s="313">
        <f t="shared" si="9"/>
        <v>47.570181947759473</v>
      </c>
      <c r="AD24" s="314">
        <f t="shared" si="10"/>
        <v>2.2951325377369214E-2</v>
      </c>
    </row>
    <row r="25" spans="1:30">
      <c r="A25" s="10" t="str">
        <f>name!D22</f>
        <v>62 Leisure, travel and related personal service occupations</v>
      </c>
      <c r="B25" s="11">
        <f t="shared" si="12"/>
        <v>627.66767668036914</v>
      </c>
      <c r="C25" s="11">
        <f t="shared" si="12"/>
        <v>602.7948717287228</v>
      </c>
      <c r="D25" s="11">
        <f t="shared" si="12"/>
        <v>-24.872804951646302</v>
      </c>
      <c r="E25" s="11">
        <f t="shared" si="12"/>
        <v>306.85441869761098</v>
      </c>
      <c r="F25" s="11">
        <f t="shared" si="12"/>
        <v>281.98161374596481</v>
      </c>
      <c r="G25" s="177">
        <f t="shared" si="11"/>
        <v>2.6890148188049245E-2</v>
      </c>
      <c r="H25" s="11"/>
      <c r="I25" s="11" t="str">
        <f t="shared" si="13"/>
        <v>Sales and customer service occupations</v>
      </c>
      <c r="J25" s="11">
        <v>7.1653443875820724</v>
      </c>
      <c r="K25" s="11">
        <v>15.272602486206873</v>
      </c>
      <c r="L25" s="11">
        <v>8.1072580986248006</v>
      </c>
      <c r="M25" s="11">
        <v>5.3975756764069747</v>
      </c>
      <c r="N25" s="11">
        <v>13.504833775031775</v>
      </c>
      <c r="O25" s="11"/>
      <c r="P25" s="10" t="str">
        <f>name!D22</f>
        <v>62 Leisure, travel and related personal service occupations</v>
      </c>
      <c r="Q25" s="11">
        <v>198.46082888973393</v>
      </c>
      <c r="R25" s="11">
        <v>209.93640702482563</v>
      </c>
      <c r="S25" s="313">
        <f t="shared" si="5"/>
        <v>11.475578135091695</v>
      </c>
      <c r="T25" s="313">
        <v>87.409085773896877</v>
      </c>
      <c r="U25" s="313">
        <f t="shared" si="6"/>
        <v>98.884663908988571</v>
      </c>
      <c r="V25" s="314">
        <f t="shared" si="7"/>
        <v>2.4628056021147371E-2</v>
      </c>
      <c r="W25" s="314"/>
      <c r="X25" s="10" t="str">
        <f>name!A22</f>
        <v>Motor vehicles, etc</v>
      </c>
      <c r="Y25" s="10">
        <v>130.31599999946076</v>
      </c>
      <c r="Z25" s="10">
        <v>120.06600000037851</v>
      </c>
      <c r="AA25" s="313">
        <f t="shared" si="8"/>
        <v>-10.249999999082249</v>
      </c>
      <c r="AB25" s="10">
        <v>50.866476329647242</v>
      </c>
      <c r="AC25" s="313">
        <f t="shared" si="9"/>
        <v>40.616476330564993</v>
      </c>
      <c r="AD25" s="314">
        <f t="shared" si="10"/>
        <v>2.2212600362909729E-2</v>
      </c>
    </row>
    <row r="26" spans="1:30">
      <c r="A26" s="10" t="str">
        <f>name!D23</f>
        <v>63 Community and civil enforcement occupations</v>
      </c>
      <c r="B26" s="11">
        <f t="shared" si="12"/>
        <v>31.002949965390965</v>
      </c>
      <c r="C26" s="11">
        <f t="shared" si="12"/>
        <v>25.111456131993489</v>
      </c>
      <c r="D26" s="11">
        <f t="shared" si="12"/>
        <v>-5.891493833397476</v>
      </c>
      <c r="E26" s="11">
        <f t="shared" si="12"/>
        <v>12.102982215956883</v>
      </c>
      <c r="F26" s="11">
        <f t="shared" si="12"/>
        <v>6.2114883825594074</v>
      </c>
      <c r="G26" s="177">
        <f t="shared" si="11"/>
        <v>2.2215043817506608E-2</v>
      </c>
      <c r="H26" s="11"/>
      <c r="I26" s="11" t="str">
        <f t="shared" si="13"/>
        <v>Process, plant and machine operatives</v>
      </c>
      <c r="J26" s="11">
        <v>4.574444102514799</v>
      </c>
      <c r="K26" s="11">
        <v>13.565538480296658</v>
      </c>
      <c r="L26" s="11">
        <v>8.9910943777818595</v>
      </c>
      <c r="M26" s="11">
        <v>5.6692764959601298</v>
      </c>
      <c r="N26" s="11">
        <v>14.660370873741988</v>
      </c>
      <c r="O26" s="11"/>
      <c r="P26" s="10" t="str">
        <f>name!D23</f>
        <v>63 Community and civil enforcement occupations</v>
      </c>
      <c r="Q26" s="11">
        <v>24.287524520410017</v>
      </c>
      <c r="R26" s="11">
        <v>16.058275525866105</v>
      </c>
      <c r="S26" s="313">
        <f t="shared" si="5"/>
        <v>-8.2292489945439122</v>
      </c>
      <c r="T26" s="313">
        <v>6.4325245854912039</v>
      </c>
      <c r="U26" s="313">
        <f t="shared" si="6"/>
        <v>-1.7967244090527084</v>
      </c>
      <c r="V26" s="314">
        <f t="shared" si="7"/>
        <v>1.578682798398412E-2</v>
      </c>
      <c r="W26" s="314"/>
      <c r="X26" s="10" t="str">
        <f>name!A23</f>
        <v>Other transport equipment</v>
      </c>
      <c r="Y26" s="10">
        <v>120.05199999956933</v>
      </c>
      <c r="Z26" s="10">
        <v>102.5810000003038</v>
      </c>
      <c r="AA26" s="313">
        <f t="shared" si="8"/>
        <v>-17.47099999926553</v>
      </c>
      <c r="AB26" s="10">
        <v>41.858927185897464</v>
      </c>
      <c r="AC26" s="313">
        <f t="shared" si="9"/>
        <v>24.387927186631934</v>
      </c>
      <c r="AD26" s="314">
        <f t="shared" si="10"/>
        <v>2.0141583114839934E-2</v>
      </c>
    </row>
    <row r="27" spans="1:30">
      <c r="A27" s="10" t="str">
        <f>name!D24</f>
        <v>71 Sales occupations</v>
      </c>
      <c r="B27" s="11">
        <f t="shared" ref="B27:F33" si="14">SUM(B56,B85,B114,B143,B172,B201,B230,B259,B288)</f>
        <v>1855.6966390660182</v>
      </c>
      <c r="C27" s="11">
        <f t="shared" si="14"/>
        <v>1776.4423055232685</v>
      </c>
      <c r="D27" s="11">
        <f t="shared" si="14"/>
        <v>-79.254333542749492</v>
      </c>
      <c r="E27" s="11">
        <f t="shared" si="14"/>
        <v>843.54206288157229</v>
      </c>
      <c r="F27" s="11">
        <f t="shared" si="14"/>
        <v>764.28772933882283</v>
      </c>
      <c r="G27" s="177">
        <f t="shared" si="11"/>
        <v>2.5295270532733172E-2</v>
      </c>
      <c r="H27" s="11"/>
      <c r="I27" s="11" t="str">
        <f t="shared" si="13"/>
        <v>Elementary occupations</v>
      </c>
      <c r="J27" s="11">
        <v>2.3299701452141059</v>
      </c>
      <c r="K27" s="11">
        <v>4.6418965841228461</v>
      </c>
      <c r="L27" s="11">
        <v>2.3119264389087397</v>
      </c>
      <c r="M27" s="11">
        <v>2.0197280321539157</v>
      </c>
      <c r="N27" s="11">
        <v>4.331654471062655</v>
      </c>
      <c r="O27" s="11"/>
      <c r="P27" s="10" t="str">
        <f>name!D24</f>
        <v>71 Sales occupations</v>
      </c>
      <c r="Q27" s="11">
        <v>774.40548986854833</v>
      </c>
      <c r="R27" s="11">
        <v>770.22168150481446</v>
      </c>
      <c r="S27" s="313">
        <f t="shared" si="5"/>
        <v>-4.1838083637338741</v>
      </c>
      <c r="T27" s="313">
        <v>262.38387373165409</v>
      </c>
      <c r="U27" s="313">
        <f t="shared" si="6"/>
        <v>258.20006536792022</v>
      </c>
      <c r="V27" s="314">
        <f t="shared" si="7"/>
        <v>1.9642996673711499E-2</v>
      </c>
      <c r="W27" s="314"/>
      <c r="X27" s="10" t="str">
        <f>name!A24</f>
        <v>Furniture</v>
      </c>
      <c r="Y27" s="10">
        <v>87.090999999971714</v>
      </c>
      <c r="Z27" s="10">
        <v>71.928000000504611</v>
      </c>
      <c r="AA27" s="313">
        <f t="shared" si="8"/>
        <v>-15.162999999467104</v>
      </c>
      <c r="AB27" s="10">
        <v>32.306804253400678</v>
      </c>
      <c r="AC27" s="313">
        <f t="shared" si="9"/>
        <v>17.143804253933574</v>
      </c>
      <c r="AD27" s="314">
        <f t="shared" si="10"/>
        <v>2.1256587359997692E-2</v>
      </c>
    </row>
    <row r="28" spans="1:30">
      <c r="A28" s="10" t="str">
        <f>name!D25</f>
        <v>72 Customer service occupations</v>
      </c>
      <c r="B28" s="11">
        <f t="shared" si="14"/>
        <v>508.15214932829144</v>
      </c>
      <c r="C28" s="11">
        <f t="shared" si="14"/>
        <v>631.80430785816031</v>
      </c>
      <c r="D28" s="11">
        <f t="shared" si="14"/>
        <v>123.65215852986907</v>
      </c>
      <c r="E28" s="11">
        <f t="shared" si="14"/>
        <v>265.41487977859879</v>
      </c>
      <c r="F28" s="11">
        <f t="shared" si="14"/>
        <v>389.06703830846783</v>
      </c>
      <c r="G28" s="177">
        <f t="shared" si="11"/>
        <v>2.8411550211796754E-2</v>
      </c>
      <c r="H28" s="11"/>
      <c r="O28" s="11"/>
      <c r="P28" s="10" t="str">
        <f>name!D25</f>
        <v>72 Customer service occupations</v>
      </c>
      <c r="Q28" s="11">
        <v>197.23484610684486</v>
      </c>
      <c r="R28" s="11">
        <v>284.46328361232622</v>
      </c>
      <c r="S28" s="313">
        <f t="shared" si="5"/>
        <v>87.228437505481367</v>
      </c>
      <c r="T28" s="313">
        <v>87.206216901277514</v>
      </c>
      <c r="U28" s="313">
        <f t="shared" si="6"/>
        <v>174.43465440675888</v>
      </c>
      <c r="V28" s="314">
        <f t="shared" si="7"/>
        <v>2.4709061045294023E-2</v>
      </c>
      <c r="W28" s="314"/>
      <c r="X28" s="10" t="str">
        <f>name!A25</f>
        <v>Other manufacturing</v>
      </c>
      <c r="Y28" s="10">
        <v>88.895999999777246</v>
      </c>
      <c r="Z28" s="10">
        <v>72.855000000727202</v>
      </c>
      <c r="AA28" s="313">
        <f t="shared" si="8"/>
        <v>-16.040999999050044</v>
      </c>
      <c r="AB28" s="10">
        <v>35.782966473719611</v>
      </c>
      <c r="AC28" s="313">
        <f t="shared" si="9"/>
        <v>19.741966474669567</v>
      </c>
      <c r="AD28" s="314">
        <f t="shared" si="10"/>
        <v>2.2807879120986696E-2</v>
      </c>
    </row>
    <row r="29" spans="1:30" ht="12.95">
      <c r="A29" s="10" t="str">
        <f>name!D26</f>
        <v>81 Process, plant and machine operatives</v>
      </c>
      <c r="B29" s="11">
        <f t="shared" si="14"/>
        <v>609.71859517402424</v>
      </c>
      <c r="C29" s="11">
        <f t="shared" si="14"/>
        <v>598.38816602412317</v>
      </c>
      <c r="D29" s="11">
        <f t="shared" si="14"/>
        <v>-11.330429149901022</v>
      </c>
      <c r="E29" s="11">
        <f t="shared" si="14"/>
        <v>247.65266980838439</v>
      </c>
      <c r="F29" s="11">
        <f t="shared" si="14"/>
        <v>236.32224065848337</v>
      </c>
      <c r="G29" s="177">
        <f t="shared" si="11"/>
        <v>2.2985078193460851E-2</v>
      </c>
      <c r="H29" s="11"/>
      <c r="I29" s="68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469.64960221281223</v>
      </c>
      <c r="R29" s="11">
        <v>433.81990973379123</v>
      </c>
      <c r="S29" s="313">
        <f t="shared" si="5"/>
        <v>-35.829692479020991</v>
      </c>
      <c r="T29" s="313">
        <v>166.60105864395433</v>
      </c>
      <c r="U29" s="313">
        <f t="shared" si="6"/>
        <v>130.77136616493334</v>
      </c>
      <c r="V29" s="314">
        <f t="shared" si="7"/>
        <v>2.0446606664447753E-2</v>
      </c>
      <c r="W29" s="314"/>
      <c r="X29" s="10" t="str">
        <f>name!A26</f>
        <v>Repair and installation</v>
      </c>
      <c r="Y29" s="10">
        <v>126.3729999995966</v>
      </c>
      <c r="Z29" s="10">
        <v>104.81000000011225</v>
      </c>
      <c r="AA29" s="313">
        <f t="shared" si="8"/>
        <v>-21.562999999484347</v>
      </c>
      <c r="AB29" s="10">
        <v>44.837492116555467</v>
      </c>
      <c r="AC29" s="313">
        <f t="shared" si="9"/>
        <v>23.274492117071119</v>
      </c>
      <c r="AD29" s="314">
        <f t="shared" si="10"/>
        <v>2.0450020347910769E-2</v>
      </c>
    </row>
    <row r="30" spans="1:30">
      <c r="A30" s="10" t="str">
        <f>name!D27</f>
        <v>82 Transport and mobile machine drivers and operatives</v>
      </c>
      <c r="B30" s="11">
        <f t="shared" si="14"/>
        <v>1056.0707054043876</v>
      </c>
      <c r="C30" s="11">
        <f t="shared" si="14"/>
        <v>1066.5769444018345</v>
      </c>
      <c r="D30" s="11">
        <f t="shared" si="14"/>
        <v>10.506238997447014</v>
      </c>
      <c r="E30" s="11">
        <f t="shared" si="14"/>
        <v>573.74958166028853</v>
      </c>
      <c r="F30" s="11">
        <f t="shared" si="14"/>
        <v>584.25582065773551</v>
      </c>
      <c r="G30" s="177">
        <f t="shared" si="11"/>
        <v>2.9350109137874059E-2</v>
      </c>
      <c r="H30" s="11"/>
      <c r="I30" s="11" t="str">
        <f>I19</f>
        <v>Managers, directors and senior officials</v>
      </c>
      <c r="J30" s="11">
        <f t="array" ref="J30:J38">MMULT(aggregation!$B$38:$AA$46,B65:B90)</f>
        <v>458.04067777728665</v>
      </c>
      <c r="K30" s="11">
        <f t="array" ref="K30:K38">MMULT(aggregation!$B$38:$AA$46,C65:C90)</f>
        <v>792.09914843616639</v>
      </c>
      <c r="L30" s="11">
        <f t="array" ref="L30:L38">MMULT(aggregation!$B$38:$AA$46,D65:D90)</f>
        <v>334.05847065887974</v>
      </c>
      <c r="M30" s="11">
        <f t="array" ref="M30:M38">MMULT(aggregation!$B$38:$AA$46,E65:E90)</f>
        <v>343.31638036045126</v>
      </c>
      <c r="N30" s="11">
        <f t="array" ref="N30:N38">MMULT(aggregation!$B$38:$AA$46,F65:F90)</f>
        <v>677.374851019331</v>
      </c>
      <c r="O30" s="11"/>
      <c r="P30" s="10" t="str">
        <f>name!D27</f>
        <v>82 Transport and mobile machine drivers and operatives</v>
      </c>
      <c r="Q30" s="11">
        <v>993.83914180756892</v>
      </c>
      <c r="R30" s="11">
        <v>975.10462147693943</v>
      </c>
      <c r="S30" s="313">
        <f t="shared" si="5"/>
        <v>-18.734520330629493</v>
      </c>
      <c r="T30" s="313">
        <v>522.13344349223473</v>
      </c>
      <c r="U30" s="313">
        <f t="shared" si="6"/>
        <v>503.39892316160524</v>
      </c>
      <c r="V30" s="314">
        <f t="shared" si="7"/>
        <v>2.8549072030602085E-2</v>
      </c>
      <c r="W30" s="314"/>
      <c r="X30" s="10" t="str">
        <f>name!A27</f>
        <v>Electricity, gas, etc</v>
      </c>
      <c r="Y30" s="10">
        <v>118.73099999947034</v>
      </c>
      <c r="Z30" s="10">
        <v>113.49400000051151</v>
      </c>
      <c r="AA30" s="313">
        <f t="shared" si="8"/>
        <v>-5.2369999989588365</v>
      </c>
      <c r="AB30" s="10">
        <v>48.954636365388424</v>
      </c>
      <c r="AC30" s="313">
        <f t="shared" si="9"/>
        <v>43.717636366429588</v>
      </c>
      <c r="AD30" s="314">
        <f t="shared" si="10"/>
        <v>2.3282269613063455E-2</v>
      </c>
    </row>
    <row r="31" spans="1:30">
      <c r="A31" s="10" t="str">
        <f>name!D28</f>
        <v>91 Elementary trades and related occupations</v>
      </c>
      <c r="B31" s="11">
        <f t="shared" si="14"/>
        <v>379.27178924284902</v>
      </c>
      <c r="C31" s="11">
        <f t="shared" si="14"/>
        <v>777.66227634020402</v>
      </c>
      <c r="D31" s="11">
        <f t="shared" si="14"/>
        <v>398.39048709735499</v>
      </c>
      <c r="E31" s="11">
        <f t="shared" si="14"/>
        <v>322.17752565295439</v>
      </c>
      <c r="F31" s="11">
        <f t="shared" si="14"/>
        <v>720.56801275030944</v>
      </c>
      <c r="G31" s="177">
        <f t="shared" si="11"/>
        <v>4.1844852500663832E-2</v>
      </c>
      <c r="H31" s="11"/>
      <c r="I31" s="11" t="str">
        <f>I20</f>
        <v>Professional occupations</v>
      </c>
      <c r="J31" s="11">
        <v>2062.1091495449168</v>
      </c>
      <c r="K31" s="11">
        <v>3377.7551408853524</v>
      </c>
      <c r="L31" s="11">
        <v>1315.645991340436</v>
      </c>
      <c r="M31" s="11">
        <v>1346.2756207319571</v>
      </c>
      <c r="N31" s="11">
        <v>2661.9216120723931</v>
      </c>
      <c r="O31" s="11"/>
      <c r="P31" s="10" t="str">
        <f>name!D28</f>
        <v>91 Elementary trades and related occupations</v>
      </c>
      <c r="Q31" s="11">
        <v>299.01635749787528</v>
      </c>
      <c r="R31" s="11">
        <v>439.7860145001855</v>
      </c>
      <c r="S31" s="313">
        <f t="shared" si="5"/>
        <v>140.76965700231023</v>
      </c>
      <c r="T31" s="313">
        <v>138.91412051166714</v>
      </c>
      <c r="U31" s="313">
        <f t="shared" si="6"/>
        <v>279.68377751397736</v>
      </c>
      <c r="V31" s="314">
        <f t="shared" si="7"/>
        <v>2.5763752488277447E-2</v>
      </c>
      <c r="W31" s="314"/>
      <c r="X31" s="10" t="str">
        <f>name!A28</f>
        <v>Water</v>
      </c>
      <c r="Y31" s="10">
        <v>36.481999999835793</v>
      </c>
      <c r="Z31" s="10">
        <v>41.417000000289086</v>
      </c>
      <c r="AA31" s="313">
        <f t="shared" si="8"/>
        <v>4.935000000453293</v>
      </c>
      <c r="AB31" s="10">
        <v>17.307981304936312</v>
      </c>
      <c r="AC31" s="313">
        <f t="shared" si="9"/>
        <v>22.242981305389605</v>
      </c>
      <c r="AD31" s="314">
        <f t="shared" si="10"/>
        <v>2.6222463598261081E-2</v>
      </c>
    </row>
    <row r="32" spans="1:30">
      <c r="A32" s="10" t="str">
        <f>name!D29</f>
        <v>92 Elementary administration and service occupations</v>
      </c>
      <c r="B32" s="11">
        <f t="shared" si="14"/>
        <v>2616.9152862125343</v>
      </c>
      <c r="C32" s="11">
        <f t="shared" si="14"/>
        <v>2210.5081126228224</v>
      </c>
      <c r="D32" s="11">
        <f t="shared" si="14"/>
        <v>-406.40717358971199</v>
      </c>
      <c r="E32" s="11">
        <f t="shared" si="14"/>
        <v>1146.5622663860015</v>
      </c>
      <c r="F32" s="11">
        <f t="shared" si="14"/>
        <v>740.15509279628918</v>
      </c>
      <c r="G32" s="177">
        <f t="shared" ref="G32" si="15">IF(B32&gt;0,(1+(E32/B32))^(1/($C$6-$B$6))-1,0)</f>
        <v>2.4518907531584588E-2</v>
      </c>
      <c r="H32" s="11"/>
      <c r="I32" s="11" t="str">
        <f>I21</f>
        <v>Associate professional occupations</v>
      </c>
      <c r="J32" s="11">
        <v>642.83571414330629</v>
      </c>
      <c r="K32" s="11">
        <v>1223.9113580536282</v>
      </c>
      <c r="L32" s="11">
        <v>581.07564391032201</v>
      </c>
      <c r="M32" s="11">
        <v>475.04986857327862</v>
      </c>
      <c r="N32" s="11">
        <v>1056.1255124836007</v>
      </c>
      <c r="O32" s="11"/>
      <c r="P32" s="10" t="str">
        <f>name!D29</f>
        <v>92 Elementary administration and service occupations</v>
      </c>
      <c r="Q32" s="11">
        <v>1290.3257579989206</v>
      </c>
      <c r="R32" s="11">
        <v>1176.5625522461935</v>
      </c>
      <c r="S32" s="313">
        <f t="shared" ref="S32" si="16">R32-Q32</f>
        <v>-113.76320575272712</v>
      </c>
      <c r="T32" s="313">
        <v>501.47084763190941</v>
      </c>
      <c r="U32" s="313">
        <f>SUM(S32:T32)</f>
        <v>387.70764187918229</v>
      </c>
      <c r="V32" s="314">
        <f>IF(Q32&gt;0,(1+(T32/Q32))^(1/($C$6-$B$6))-1,0)</f>
        <v>2.2129578599697552E-2</v>
      </c>
      <c r="W32" s="314"/>
      <c r="X32" s="10" t="str">
        <f>name!A29</f>
        <v>Sewerage</v>
      </c>
      <c r="Y32" s="10">
        <v>19.471000000039442</v>
      </c>
      <c r="Z32" s="10">
        <v>22.226000000263895</v>
      </c>
      <c r="AA32" s="313">
        <f t="shared" si="8"/>
        <v>2.7550000002244524</v>
      </c>
      <c r="AB32" s="10">
        <v>9.0950562152569354</v>
      </c>
      <c r="AC32" s="313">
        <f t="shared" si="9"/>
        <v>11.850056215481388</v>
      </c>
      <c r="AD32" s="314">
        <f t="shared" si="10"/>
        <v>2.5882138999794746E-2</v>
      </c>
    </row>
    <row r="33" spans="1:30">
      <c r="A33" t="str">
        <f>name!D3</f>
        <v>All occupations</v>
      </c>
      <c r="B33" s="11">
        <f t="shared" si="14"/>
        <v>29859.680999995213</v>
      </c>
      <c r="C33" s="11">
        <f t="shared" si="14"/>
        <v>32070.091000012537</v>
      </c>
      <c r="D33" s="11">
        <f t="shared" si="14"/>
        <v>2210.4100000173207</v>
      </c>
      <c r="E33" s="11">
        <f t="shared" si="14"/>
        <v>15060.496664983222</v>
      </c>
      <c r="F33" s="11">
        <f t="shared" si="14"/>
        <v>17270.906665000541</v>
      </c>
      <c r="G33" s="177">
        <f t="shared" si="11"/>
        <v>2.7599190411477625E-2</v>
      </c>
      <c r="H33" s="11"/>
      <c r="I33" s="11" t="str">
        <f>I22</f>
        <v>Administrative and secretarial occupations</v>
      </c>
      <c r="J33" s="11">
        <v>219.1389562227956</v>
      </c>
      <c r="K33" s="11">
        <v>460.13333140155896</v>
      </c>
      <c r="L33" s="11">
        <v>240.99437517876336</v>
      </c>
      <c r="M33" s="11">
        <v>192.90197151141791</v>
      </c>
      <c r="N33" s="11">
        <v>433.8963466901813</v>
      </c>
      <c r="O33" s="11"/>
      <c r="P33" s="10" t="str">
        <f>name!D3</f>
        <v>All occupations</v>
      </c>
      <c r="Q33" s="11">
        <f>SUM(Q7:Q32)</f>
        <v>15479.516000000252</v>
      </c>
      <c r="R33" s="11">
        <f>SUM(R7:R32)</f>
        <v>16483.507000001864</v>
      </c>
      <c r="S33" s="313">
        <f>R33-Q33</f>
        <v>1003.9910000016116</v>
      </c>
      <c r="T33" s="11">
        <f>SUM(T7:T32)</f>
        <v>6506.3943905286387</v>
      </c>
      <c r="U33" s="313">
        <f>SUM(S33:T33)</f>
        <v>7510.3853905302503</v>
      </c>
      <c r="V33" s="314">
        <f t="shared" si="7"/>
        <v>2.3668025961462114E-2</v>
      </c>
      <c r="W33" s="11"/>
      <c r="X33" s="10" t="str">
        <f>name!A30</f>
        <v>Waste management</v>
      </c>
      <c r="Y33" s="10">
        <v>115.6599999999455</v>
      </c>
      <c r="Z33" s="10">
        <v>130.80100000087509</v>
      </c>
      <c r="AA33" s="313">
        <f t="shared" si="8"/>
        <v>15.141000000929594</v>
      </c>
      <c r="AB33" s="10">
        <v>55.032794359040771</v>
      </c>
      <c r="AC33" s="313">
        <f t="shared" si="9"/>
        <v>70.173794359970373</v>
      </c>
      <c r="AD33" s="314">
        <f t="shared" si="10"/>
        <v>2.6286934519821781E-2</v>
      </c>
    </row>
    <row r="34" spans="1:30" ht="30" customHeight="1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57.545593526857942</v>
      </c>
      <c r="K34" s="11">
        <v>145.56615300695816</v>
      </c>
      <c r="L34" s="11">
        <v>88.020559480100218</v>
      </c>
      <c r="M34" s="11">
        <v>53.338028056002898</v>
      </c>
      <c r="N34" s="11">
        <v>141.35858753610313</v>
      </c>
      <c r="O34" s="11"/>
      <c r="P34" s="21"/>
      <c r="Q34" s="26"/>
      <c r="R34" s="26"/>
      <c r="S34" s="26"/>
      <c r="T34" s="26"/>
      <c r="U34" s="26"/>
      <c r="V34" s="26"/>
      <c r="W34" s="316"/>
      <c r="X34" s="10" t="str">
        <f>name!A31</f>
        <v>Construction</v>
      </c>
      <c r="Y34" s="10">
        <v>663.91799999058435</v>
      </c>
      <c r="Z34" s="10">
        <v>757.61799997975652</v>
      </c>
      <c r="AA34" s="313">
        <f t="shared" si="8"/>
        <v>93.69999998917217</v>
      </c>
      <c r="AB34" s="10">
        <v>305.39474580817239</v>
      </c>
      <c r="AC34" s="313">
        <f t="shared" si="9"/>
        <v>399.09474579734456</v>
      </c>
      <c r="AD34" s="314">
        <f t="shared" si="10"/>
        <v>2.5549511315503093E-2</v>
      </c>
    </row>
    <row r="35" spans="1:30" ht="25.5">
      <c r="A35" s="178" t="str">
        <f>CONCATENATE(name!F4," (Constrained)")</f>
        <v>RQF8 Doctorate (Constrained)</v>
      </c>
      <c r="B35" s="59">
        <f t="shared" ref="B35:G35" si="17">B6</f>
        <v>2020</v>
      </c>
      <c r="C35" s="59">
        <f t="shared" si="17"/>
        <v>2035</v>
      </c>
      <c r="D35" s="69" t="str">
        <f t="shared" si="17"/>
        <v>Net Change</v>
      </c>
      <c r="E35" s="69" t="str">
        <f t="shared" si="17"/>
        <v>Replacement Demand level</v>
      </c>
      <c r="F35" s="69" t="str">
        <f t="shared" si="17"/>
        <v>Total Requirement</v>
      </c>
      <c r="G35" s="69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113.4278419905192</v>
      </c>
      <c r="K35" s="11">
        <v>258.02670367441141</v>
      </c>
      <c r="L35" s="11">
        <v>144.59886168389221</v>
      </c>
      <c r="M35" s="11">
        <v>110.24184805545337</v>
      </c>
      <c r="N35" s="11">
        <v>254.84070973934558</v>
      </c>
      <c r="O35" s="11"/>
      <c r="P35" s="178" t="s">
        <v>177</v>
      </c>
      <c r="Q35" s="59">
        <f t="shared" ref="Q35:V35" si="19">B35</f>
        <v>2020</v>
      </c>
      <c r="R35" s="59">
        <f t="shared" si="19"/>
        <v>2035</v>
      </c>
      <c r="S35" s="312" t="str">
        <f t="shared" si="19"/>
        <v>Net Change</v>
      </c>
      <c r="T35" s="312" t="str">
        <f t="shared" si="19"/>
        <v>Replacement Demand level</v>
      </c>
      <c r="U35" s="312" t="str">
        <f t="shared" si="19"/>
        <v>Total Requirement</v>
      </c>
      <c r="V35" s="312" t="str">
        <f t="shared" si="19"/>
        <v>Replacement Demand rate</v>
      </c>
      <c r="W35" s="314"/>
      <c r="X35" s="10" t="str">
        <f>name!A32</f>
        <v>Civil engineering</v>
      </c>
      <c r="Y35" s="10">
        <v>261.28999999656997</v>
      </c>
      <c r="Z35" s="10">
        <v>291.46699999047405</v>
      </c>
      <c r="AA35" s="313">
        <f t="shared" si="8"/>
        <v>30.176999993904076</v>
      </c>
      <c r="AB35" s="10">
        <v>113.34394965418737</v>
      </c>
      <c r="AC35" s="313">
        <f t="shared" si="9"/>
        <v>143.52094964809146</v>
      </c>
      <c r="AD35" s="314">
        <f t="shared" si="10"/>
        <v>2.4312068133157672E-2</v>
      </c>
    </row>
    <row r="36" spans="1:30" ht="12.75" customHeight="1">
      <c r="A36" t="str">
        <f t="shared" ref="A36:A62" si="20">A7</f>
        <v>11 Corporate managers and directors</v>
      </c>
      <c r="B36" s="11">
        <v>39.887226737428271</v>
      </c>
      <c r="C36" s="11">
        <v>68.972413039511665</v>
      </c>
      <c r="D36" s="11">
        <f>C36-B36</f>
        <v>29.085186302083393</v>
      </c>
      <c r="E36" s="11">
        <v>28.747974352356863</v>
      </c>
      <c r="F36" s="11">
        <f>SUM(D36:E36)</f>
        <v>57.833160654440256</v>
      </c>
      <c r="G36" s="177">
        <f>IF(B36&gt;0,(1+(E36/B36))^(1/($C$6-$B$6))-1,0)</f>
        <v>3.6845875859091048E-2</v>
      </c>
      <c r="I36" s="11" t="str">
        <f t="shared" si="18"/>
        <v>Sales and customer service occupations</v>
      </c>
      <c r="J36" s="11">
        <v>99.279354317039335</v>
      </c>
      <c r="K36" s="11">
        <v>235.60934011234778</v>
      </c>
      <c r="L36" s="11">
        <v>136.32998579530843</v>
      </c>
      <c r="M36" s="11">
        <v>81.782546493622633</v>
      </c>
      <c r="N36" s="11">
        <v>218.11253228893105</v>
      </c>
      <c r="P36" s="10" t="str">
        <f>name!D4</f>
        <v>11 Corporate managers and directors</v>
      </c>
      <c r="Q36" s="11">
        <v>789.26688769422583</v>
      </c>
      <c r="R36" s="11">
        <v>910.99096590816146</v>
      </c>
      <c r="S36" s="313">
        <f>R36-Q36</f>
        <v>121.72407821393563</v>
      </c>
      <c r="T36" s="313">
        <v>489.61393712888781</v>
      </c>
      <c r="U36" s="313">
        <f>SUM(S36:T36)</f>
        <v>611.33801534282338</v>
      </c>
      <c r="V36" s="314">
        <f>IF(Q36&gt;0,(1+(T36/Q36))^(1/($C$6-$B$6))-1,0)</f>
        <v>3.2698975497083671E-2</v>
      </c>
      <c r="W36" s="314"/>
      <c r="X36" s="10" t="str">
        <f>name!A33</f>
        <v>Specialised construction</v>
      </c>
      <c r="Y36" s="10">
        <v>1074.5869999852471</v>
      </c>
      <c r="Z36" s="10">
        <v>1202.8319999624623</v>
      </c>
      <c r="AA36" s="313">
        <f t="shared" si="8"/>
        <v>128.24499997721523</v>
      </c>
      <c r="AB36" s="10">
        <v>474.23428003924619</v>
      </c>
      <c r="AC36" s="313">
        <f t="shared" si="9"/>
        <v>602.47928001646142</v>
      </c>
      <c r="AD36" s="314">
        <f t="shared" si="10"/>
        <v>2.4669906579366074E-2</v>
      </c>
    </row>
    <row r="37" spans="1:30">
      <c r="A37" t="str">
        <f t="shared" si="20"/>
        <v>12 Other managers and proprietors</v>
      </c>
      <c r="B37" s="11">
        <v>13.895755913705612</v>
      </c>
      <c r="C37" s="11">
        <v>30.483552216359382</v>
      </c>
      <c r="D37" s="11">
        <f t="shared" ref="D37:D60" si="21">C37-B37</f>
        <v>16.587796302653771</v>
      </c>
      <c r="E37" s="11">
        <v>13.555408313497853</v>
      </c>
      <c r="F37" s="11">
        <f t="shared" ref="F37:F57" si="22">SUM(D37:E37)</f>
        <v>30.143204616151625</v>
      </c>
      <c r="G37" s="177">
        <f t="shared" ref="G37:G62" si="23">IF(B37&gt;0,(1+(E37/B37))^(1/($C$6-$B$6))-1,0)</f>
        <v>4.6434154378669268E-2</v>
      </c>
      <c r="I37" s="11" t="str">
        <f t="shared" si="18"/>
        <v>Process, plant and machine operatives</v>
      </c>
      <c r="J37" s="11">
        <v>31.50586831107838</v>
      </c>
      <c r="K37" s="11">
        <v>84.765585896066838</v>
      </c>
      <c r="L37" s="11">
        <v>53.259717584988465</v>
      </c>
      <c r="M37" s="11">
        <v>35.248317316115447</v>
      </c>
      <c r="N37" s="11">
        <v>88.508034901103912</v>
      </c>
      <c r="P37" s="10" t="str">
        <f>name!D5</f>
        <v>12 Other managers and proprietors</v>
      </c>
      <c r="Q37" s="11">
        <v>419.77726126692244</v>
      </c>
      <c r="R37" s="11">
        <v>432.29893245136003</v>
      </c>
      <c r="S37" s="313">
        <f t="shared" ref="S37:S60" si="24">R37-Q37</f>
        <v>12.521671184437594</v>
      </c>
      <c r="T37" s="313">
        <v>263.19109499264658</v>
      </c>
      <c r="U37" s="313">
        <f t="shared" ref="U37:U60" si="25">SUM(S37:T37)</f>
        <v>275.71276617708418</v>
      </c>
      <c r="V37" s="314">
        <f t="shared" ref="V37:V60" si="26">IF(Q37&gt;0,(1+(T37/Q37))^(1/($C$6-$B$6))-1,0)</f>
        <v>3.2980472052061005E-2</v>
      </c>
      <c r="W37" s="314"/>
      <c r="X37" s="10" t="str">
        <f>name!A34</f>
        <v>Motor vehicle trade</v>
      </c>
      <c r="Y37" s="10">
        <v>516.88400000061358</v>
      </c>
      <c r="Z37" s="10">
        <v>553.44000000295523</v>
      </c>
      <c r="AA37" s="313">
        <f t="shared" si="8"/>
        <v>36.556000002341648</v>
      </c>
      <c r="AB37" s="10">
        <v>222.36204448773893</v>
      </c>
      <c r="AC37" s="313">
        <f t="shared" si="9"/>
        <v>258.91804449008055</v>
      </c>
      <c r="AD37" s="314">
        <f t="shared" si="10"/>
        <v>2.4140941507052815E-2</v>
      </c>
    </row>
    <row r="38" spans="1:30">
      <c r="A38" t="str">
        <f t="shared" si="20"/>
        <v>21 Science, research, engineering and technology professionals</v>
      </c>
      <c r="B38" s="11">
        <v>98.335249285607745</v>
      </c>
      <c r="C38" s="11">
        <v>189.01527042561204</v>
      </c>
      <c r="D38" s="11">
        <f t="shared" si="21"/>
        <v>90.6800211400043</v>
      </c>
      <c r="E38" s="11">
        <v>58.530193803596902</v>
      </c>
      <c r="F38" s="11">
        <f t="shared" si="22"/>
        <v>149.21021494360122</v>
      </c>
      <c r="G38" s="177">
        <f t="shared" si="23"/>
        <v>3.1623445808619977E-2</v>
      </c>
      <c r="I38" s="11" t="str">
        <f t="shared" si="18"/>
        <v>Elementary occupations</v>
      </c>
      <c r="J38" s="11">
        <v>81.409758962122126</v>
      </c>
      <c r="K38" s="11">
        <v>211.64049001024927</v>
      </c>
      <c r="L38" s="11">
        <v>130.23073104812715</v>
      </c>
      <c r="M38" s="11">
        <v>85.404269543252255</v>
      </c>
      <c r="N38" s="11">
        <v>215.6350005913794</v>
      </c>
      <c r="P38" s="10" t="str">
        <f>name!D6</f>
        <v>21 Science, research, engineering and technology professionals</v>
      </c>
      <c r="Q38" s="11">
        <v>441.47470313082664</v>
      </c>
      <c r="R38" s="11">
        <v>731.63231522961019</v>
      </c>
      <c r="S38" s="313">
        <f t="shared" si="24"/>
        <v>290.15761209878355</v>
      </c>
      <c r="T38" s="313">
        <v>324.10208456573264</v>
      </c>
      <c r="U38" s="313">
        <f t="shared" si="25"/>
        <v>614.25969666451624</v>
      </c>
      <c r="V38" s="314">
        <f t="shared" si="26"/>
        <v>3.7382368202085736E-2</v>
      </c>
      <c r="W38" s="314"/>
      <c r="X38" s="10" t="str">
        <f>name!A35</f>
        <v>Wholesale trade</v>
      </c>
      <c r="Y38" s="10">
        <v>1106.2539999999633</v>
      </c>
      <c r="Z38" s="10">
        <v>1126.4980000144355</v>
      </c>
      <c r="AA38" s="313">
        <f t="shared" si="8"/>
        <v>20.244000014472249</v>
      </c>
      <c r="AB38" s="10">
        <v>509.25241371810029</v>
      </c>
      <c r="AC38" s="313">
        <f t="shared" si="9"/>
        <v>529.49641373257259</v>
      </c>
      <c r="AD38" s="314">
        <f t="shared" si="10"/>
        <v>2.5565939396212212E-2</v>
      </c>
    </row>
    <row r="39" spans="1:30">
      <c r="A39" t="str">
        <f t="shared" si="20"/>
        <v>22 Health professionals</v>
      </c>
      <c r="B39" s="11">
        <v>91.675495710989765</v>
      </c>
      <c r="C39" s="11">
        <v>161.36067071114948</v>
      </c>
      <c r="D39" s="11">
        <f t="shared" si="21"/>
        <v>69.685175000159717</v>
      </c>
      <c r="E39" s="11">
        <v>64.177326443245462</v>
      </c>
      <c r="F39" s="11">
        <f t="shared" si="22"/>
        <v>133.86250144340516</v>
      </c>
      <c r="G39" s="177">
        <f t="shared" si="23"/>
        <v>3.6010348685145299E-2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989.17087870229727</v>
      </c>
      <c r="R39" s="11">
        <v>1043.8401858456359</v>
      </c>
      <c r="S39" s="313">
        <f t="shared" si="24"/>
        <v>54.669307143338642</v>
      </c>
      <c r="T39" s="313">
        <v>584.23178996977845</v>
      </c>
      <c r="U39" s="313">
        <f t="shared" si="25"/>
        <v>638.90109711311709</v>
      </c>
      <c r="V39" s="314">
        <f t="shared" si="26"/>
        <v>3.142559433792913E-2</v>
      </c>
      <c r="W39" s="314"/>
      <c r="X39" s="10" t="str">
        <f>name!A36</f>
        <v>Retail trade</v>
      </c>
      <c r="Y39" s="10">
        <v>2636.4890000318092</v>
      </c>
      <c r="Z39" s="10">
        <v>2648.5300000664806</v>
      </c>
      <c r="AA39" s="313">
        <f t="shared" si="8"/>
        <v>12.04100003467147</v>
      </c>
      <c r="AB39" s="10">
        <v>1264.7634908908012</v>
      </c>
      <c r="AC39" s="313">
        <f t="shared" si="9"/>
        <v>1276.8044909254727</v>
      </c>
      <c r="AD39" s="314">
        <f t="shared" si="10"/>
        <v>2.6467507214476438E-2</v>
      </c>
    </row>
    <row r="40" spans="1:30" ht="12.95">
      <c r="A40" t="str">
        <f t="shared" si="20"/>
        <v>23 Teaching and other educational professionals</v>
      </c>
      <c r="B40" s="11">
        <v>134.70677656040888</v>
      </c>
      <c r="C40" s="11">
        <v>181.57884075685945</v>
      </c>
      <c r="D40" s="11">
        <f>C40-B40</f>
        <v>46.872064196450566</v>
      </c>
      <c r="E40" s="11">
        <v>79.493349546001511</v>
      </c>
      <c r="F40" s="11">
        <f>SUM(D40:E40)</f>
        <v>126.36541374245208</v>
      </c>
      <c r="G40" s="177">
        <f>IF(B40&gt;0,(1+(E40/B40))^(1/($C$6-$B$6))-1,0)</f>
        <v>3.1403700431468895E-2</v>
      </c>
      <c r="I40" s="68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1016.4750625074356</v>
      </c>
      <c r="R40" s="11">
        <v>1059.244904850691</v>
      </c>
      <c r="S40" s="313">
        <f t="shared" si="24"/>
        <v>42.769842343255391</v>
      </c>
      <c r="T40" s="313">
        <v>554.59695915131476</v>
      </c>
      <c r="U40" s="313">
        <f t="shared" si="25"/>
        <v>597.36680149457015</v>
      </c>
      <c r="V40" s="314">
        <f t="shared" si="26"/>
        <v>2.9453239066489445E-2</v>
      </c>
      <c r="W40" s="314"/>
      <c r="X40" s="10" t="str">
        <f>name!A37</f>
        <v>Land transport, etc</v>
      </c>
      <c r="Y40" s="10">
        <v>709.30400000267298</v>
      </c>
      <c r="Z40" s="10">
        <v>779.281000024901</v>
      </c>
      <c r="AA40" s="313">
        <f t="shared" si="8"/>
        <v>69.977000022228026</v>
      </c>
      <c r="AB40" s="10">
        <v>374.08031777988253</v>
      </c>
      <c r="AC40" s="313">
        <f t="shared" si="9"/>
        <v>444.05731780211056</v>
      </c>
      <c r="AD40" s="314">
        <f t="shared" si="10"/>
        <v>2.8639843604868043E-2</v>
      </c>
    </row>
    <row r="41" spans="1:30">
      <c r="A41" t="str">
        <f t="shared" si="20"/>
        <v>24 Business, media and public service professionals</v>
      </c>
      <c r="B41" s="11">
        <v>47.81146910739708</v>
      </c>
      <c r="C41" s="11">
        <v>94.037850893871749</v>
      </c>
      <c r="D41" s="11">
        <f t="shared" si="21"/>
        <v>46.226381786474668</v>
      </c>
      <c r="E41" s="11">
        <v>35.323917721241273</v>
      </c>
      <c r="F41" s="11">
        <f t="shared" si="22"/>
        <v>81.550299507715948</v>
      </c>
      <c r="G41" s="177">
        <f t="shared" si="23"/>
        <v>3.7568843760571902E-2</v>
      </c>
      <c r="I41" s="11" t="str">
        <f>I30</f>
        <v>Managers, directors and senior officials</v>
      </c>
      <c r="J41" s="11">
        <f t="array" ref="J41:J49">MMULT(aggregation!$B$38:$AA$46,B94:B119)</f>
        <v>915.93044764288197</v>
      </c>
      <c r="K41" s="11">
        <f t="array" ref="K41:K49">MMULT(aggregation!$B$38:$AA$46,C94:C119)</f>
        <v>995.25675232473429</v>
      </c>
      <c r="L41" s="11">
        <f t="array" ref="L41:L49">MMULT(aggregation!$B$38:$AA$46,D94:D119)</f>
        <v>79.326304681852321</v>
      </c>
      <c r="M41" s="11">
        <f t="array" ref="M41:M49">MMULT(aggregation!$B$38:$AA$46,E94:E119)</f>
        <v>555.27023925699689</v>
      </c>
      <c r="N41" s="11">
        <f t="array" ref="N41:N49">MMULT(aggregation!$B$38:$AA$46,F94:F119)</f>
        <v>634.59654393884921</v>
      </c>
      <c r="P41" s="10" t="str">
        <f>name!D9</f>
        <v>24 Business, media and public service professionals</v>
      </c>
      <c r="Q41" s="11">
        <v>1020.0033876827833</v>
      </c>
      <c r="R41" s="11">
        <v>1221.3579394136846</v>
      </c>
      <c r="S41" s="313">
        <f t="shared" si="24"/>
        <v>201.35455173090122</v>
      </c>
      <c r="T41" s="313">
        <v>610.58178986563496</v>
      </c>
      <c r="U41" s="313">
        <f t="shared" si="25"/>
        <v>811.93634159653618</v>
      </c>
      <c r="V41" s="314">
        <f t="shared" si="26"/>
        <v>3.1769752129117368E-2</v>
      </c>
      <c r="W41" s="314"/>
      <c r="X41" s="10" t="str">
        <f>name!A38</f>
        <v>Water transport</v>
      </c>
      <c r="Y41" s="10">
        <v>16.010000000037998</v>
      </c>
      <c r="Z41" s="10">
        <v>12.616000000165785</v>
      </c>
      <c r="AA41" s="313">
        <f t="shared" si="8"/>
        <v>-3.3939999998722126</v>
      </c>
      <c r="AB41" s="10">
        <v>6.0634193106351599</v>
      </c>
      <c r="AC41" s="313">
        <f t="shared" si="9"/>
        <v>2.6694193107629474</v>
      </c>
      <c r="AD41" s="314">
        <f t="shared" si="10"/>
        <v>2.1641561267846665E-2</v>
      </c>
    </row>
    <row r="42" spans="1:30">
      <c r="A42" t="str">
        <f t="shared" si="20"/>
        <v>31 Science, engineering and technology associate professionals</v>
      </c>
      <c r="B42" s="11">
        <v>13.37865709101507</v>
      </c>
      <c r="C42" s="11">
        <v>25.553139342311887</v>
      </c>
      <c r="D42" s="11">
        <f t="shared" si="21"/>
        <v>12.174482251296817</v>
      </c>
      <c r="E42" s="11">
        <v>9.0081440943569699</v>
      </c>
      <c r="F42" s="11">
        <f t="shared" si="22"/>
        <v>21.182626345653787</v>
      </c>
      <c r="G42" s="177">
        <f t="shared" si="23"/>
        <v>3.4916476722051337E-2</v>
      </c>
      <c r="I42" s="11" t="str">
        <f>I31</f>
        <v>Professional occupations</v>
      </c>
      <c r="J42" s="11">
        <v>2405.7607067591034</v>
      </c>
      <c r="K42" s="11">
        <v>2428.9259445741659</v>
      </c>
      <c r="L42" s="11">
        <v>23.165237815062369</v>
      </c>
      <c r="M42" s="11">
        <v>1198.7878410571695</v>
      </c>
      <c r="N42" s="11">
        <v>1221.9530788722318</v>
      </c>
      <c r="P42" s="10" t="str">
        <f>name!D10</f>
        <v>31 Science, engineering and technology associate professionals</v>
      </c>
      <c r="Q42" s="11">
        <v>164.90541743510897</v>
      </c>
      <c r="R42" s="11">
        <v>210.11857493331843</v>
      </c>
      <c r="S42" s="313">
        <f t="shared" si="24"/>
        <v>45.213157498209455</v>
      </c>
      <c r="T42" s="313">
        <v>94.977828476283904</v>
      </c>
      <c r="U42" s="313">
        <f t="shared" si="25"/>
        <v>140.19098597449334</v>
      </c>
      <c r="V42" s="314">
        <f t="shared" si="26"/>
        <v>3.0788482396884254E-2</v>
      </c>
      <c r="W42" s="314"/>
      <c r="X42" s="10" t="str">
        <f>name!A39</f>
        <v>Air transport</v>
      </c>
      <c r="Y42" s="10">
        <v>70.473999999781313</v>
      </c>
      <c r="Z42" s="10">
        <v>74.19300000065887</v>
      </c>
      <c r="AA42" s="313">
        <f t="shared" si="8"/>
        <v>3.719000000877557</v>
      </c>
      <c r="AB42" s="10">
        <v>34.657909212687684</v>
      </c>
      <c r="AC42" s="313">
        <f t="shared" si="9"/>
        <v>38.376909213565241</v>
      </c>
      <c r="AD42" s="314">
        <f t="shared" si="10"/>
        <v>2.7023486269429853E-2</v>
      </c>
    </row>
    <row r="43" spans="1:30">
      <c r="A43" t="str">
        <f t="shared" si="20"/>
        <v>32 Health and social care associate professionals</v>
      </c>
      <c r="B43" s="11">
        <v>2.800659406434352</v>
      </c>
      <c r="C43" s="11">
        <v>9.9040133753048547</v>
      </c>
      <c r="D43" s="11">
        <f t="shared" si="21"/>
        <v>7.1033539688705023</v>
      </c>
      <c r="E43" s="11">
        <v>4.0568279361388369</v>
      </c>
      <c r="F43" s="11">
        <f t="shared" si="22"/>
        <v>11.160181905009338</v>
      </c>
      <c r="G43" s="177">
        <f t="shared" si="23"/>
        <v>6.1517067208700205E-2</v>
      </c>
      <c r="I43" s="11" t="str">
        <f>I32</f>
        <v>Associate professional occupations</v>
      </c>
      <c r="J43" s="11">
        <v>1243.2273822905981</v>
      </c>
      <c r="K43" s="11">
        <v>1466.780044450576</v>
      </c>
      <c r="L43" s="11">
        <v>223.55266215997776</v>
      </c>
      <c r="M43" s="11">
        <v>718.08141965888603</v>
      </c>
      <c r="N43" s="11">
        <v>941.63408181886371</v>
      </c>
      <c r="P43" s="10" t="str">
        <f>name!D11</f>
        <v>32 Health and social care associate professionals</v>
      </c>
      <c r="Q43" s="11">
        <v>437.50755019336901</v>
      </c>
      <c r="R43" s="11">
        <v>860.07846492154374</v>
      </c>
      <c r="S43" s="313">
        <f t="shared" si="24"/>
        <v>422.57091472817473</v>
      </c>
      <c r="T43" s="313">
        <v>446.61802656864973</v>
      </c>
      <c r="U43" s="313">
        <f t="shared" si="25"/>
        <v>869.1889412968244</v>
      </c>
      <c r="V43" s="314">
        <f t="shared" si="26"/>
        <v>4.801756155252157E-2</v>
      </c>
      <c r="W43" s="314"/>
      <c r="X43" s="10" t="str">
        <f>name!A40</f>
        <v>Warehousing, etc</v>
      </c>
      <c r="Y43" s="10">
        <v>504.00200000016918</v>
      </c>
      <c r="Z43" s="10">
        <v>544.55100000469736</v>
      </c>
      <c r="AA43" s="313">
        <f t="shared" si="8"/>
        <v>40.549000004528182</v>
      </c>
      <c r="AB43" s="10">
        <v>234.25294804726107</v>
      </c>
      <c r="AC43" s="313">
        <f t="shared" si="9"/>
        <v>274.80194805178928</v>
      </c>
      <c r="AD43" s="314">
        <f t="shared" si="10"/>
        <v>2.5773811461238028E-2</v>
      </c>
    </row>
    <row r="44" spans="1:30">
      <c r="A44" t="str">
        <f t="shared" si="20"/>
        <v>33 Protective service occupations</v>
      </c>
      <c r="B44" s="11">
        <v>1.3117040507035429</v>
      </c>
      <c r="C44" s="11">
        <v>2.4882320683251451</v>
      </c>
      <c r="D44" s="11">
        <f t="shared" si="21"/>
        <v>1.1765280176216022</v>
      </c>
      <c r="E44" s="11">
        <v>0.66620726116196594</v>
      </c>
      <c r="F44" s="11">
        <f t="shared" si="22"/>
        <v>1.842735278783568</v>
      </c>
      <c r="G44" s="177">
        <f t="shared" si="23"/>
        <v>2.7759256575755842E-2</v>
      </c>
      <c r="I44" s="11" t="str">
        <f>I33</f>
        <v>Administrative and secretarial occupations</v>
      </c>
      <c r="J44" s="11">
        <v>630.1010645351447</v>
      </c>
      <c r="K44" s="11">
        <v>899.19448589236572</v>
      </c>
      <c r="L44" s="11">
        <v>269.09342135722102</v>
      </c>
      <c r="M44" s="11">
        <v>452.26383988397555</v>
      </c>
      <c r="N44" s="11">
        <v>721.35726124119662</v>
      </c>
      <c r="P44" s="10" t="str">
        <f>name!D12</f>
        <v>33 Protective service occupations</v>
      </c>
      <c r="Q44" s="11">
        <v>81.060724760467608</v>
      </c>
      <c r="R44" s="11">
        <v>94.785132428423083</v>
      </c>
      <c r="S44" s="313">
        <f t="shared" si="24"/>
        <v>13.724407667955475</v>
      </c>
      <c r="T44" s="313">
        <v>39.53239815702706</v>
      </c>
      <c r="U44" s="313">
        <f t="shared" si="25"/>
        <v>53.256805824982536</v>
      </c>
      <c r="V44" s="314">
        <f t="shared" si="26"/>
        <v>2.6835332545744439E-2</v>
      </c>
      <c r="W44" s="314"/>
      <c r="X44" s="10" t="str">
        <f>name!A41</f>
        <v>Postal and courier</v>
      </c>
      <c r="Y44" s="10">
        <v>282.98900000031438</v>
      </c>
      <c r="Z44" s="10">
        <v>310.32600000398315</v>
      </c>
      <c r="AA44" s="313">
        <f t="shared" si="8"/>
        <v>27.337000003668777</v>
      </c>
      <c r="AB44" s="10">
        <v>142.85278914921003</v>
      </c>
      <c r="AC44" s="313">
        <f t="shared" si="9"/>
        <v>170.1897891528788</v>
      </c>
      <c r="AD44" s="314">
        <f t="shared" si="10"/>
        <v>2.7618501685320984E-2</v>
      </c>
    </row>
    <row r="45" spans="1:30">
      <c r="A45" t="str">
        <f t="shared" si="20"/>
        <v>34 Culture, media and sports occupations</v>
      </c>
      <c r="B45" s="11">
        <v>8.6094888192194095</v>
      </c>
      <c r="C45" s="11">
        <v>14.501616932847069</v>
      </c>
      <c r="D45" s="11">
        <f t="shared" ref="D45:D46" si="27">C45-B45</f>
        <v>5.8921281136276598</v>
      </c>
      <c r="E45" s="11">
        <v>6.1935332129080818</v>
      </c>
      <c r="F45" s="11">
        <f t="shared" ref="F45:F46" si="28">SUM(D45:E45)</f>
        <v>12.085661326535742</v>
      </c>
      <c r="G45" s="177">
        <f t="shared" si="23"/>
        <v>3.6791754428789236E-2</v>
      </c>
      <c r="I45" s="11" t="str">
        <f t="shared" ref="I45:I49" si="29">I34</f>
        <v>Skilled trades occupations</v>
      </c>
      <c r="J45" s="11">
        <v>174.66501014055294</v>
      </c>
      <c r="K45" s="11">
        <v>270.78806163546858</v>
      </c>
      <c r="L45" s="11">
        <v>96.123051494915643</v>
      </c>
      <c r="M45" s="11">
        <v>129.26453160679017</v>
      </c>
      <c r="N45" s="11">
        <v>225.38758310170581</v>
      </c>
      <c r="P45" s="10" t="str">
        <f>name!D13</f>
        <v>34 Culture, media and sports occupations</v>
      </c>
      <c r="Q45" s="11">
        <v>329.65326891183929</v>
      </c>
      <c r="R45" s="11">
        <v>340.07147539034497</v>
      </c>
      <c r="S45" s="313">
        <f t="shared" si="24"/>
        <v>10.418206478505681</v>
      </c>
      <c r="T45" s="313">
        <v>172.68318699924205</v>
      </c>
      <c r="U45" s="313">
        <f t="shared" si="25"/>
        <v>183.10139347774773</v>
      </c>
      <c r="V45" s="314">
        <f t="shared" si="26"/>
        <v>2.8479928853913927E-2</v>
      </c>
      <c r="W45" s="314"/>
      <c r="X45" s="10" t="str">
        <f>name!A42</f>
        <v>Accommodation</v>
      </c>
      <c r="Y45" s="10">
        <v>400.30100000156239</v>
      </c>
      <c r="Z45" s="10">
        <v>487.12100000951614</v>
      </c>
      <c r="AA45" s="313">
        <f t="shared" si="8"/>
        <v>86.820000007953752</v>
      </c>
      <c r="AB45" s="10">
        <v>233.31903359862969</v>
      </c>
      <c r="AC45" s="313">
        <f t="shared" si="9"/>
        <v>320.13903360658344</v>
      </c>
      <c r="AD45" s="314">
        <f t="shared" si="10"/>
        <v>3.1088987322080319E-2</v>
      </c>
    </row>
    <row r="46" spans="1:30">
      <c r="A46" t="str">
        <f t="shared" si="20"/>
        <v>35 Business and public service associate professionals</v>
      </c>
      <c r="B46" s="11">
        <v>30.69451562432964</v>
      </c>
      <c r="C46" s="11">
        <v>63.575558357993273</v>
      </c>
      <c r="D46" s="11">
        <f t="shared" si="27"/>
        <v>32.881042733663634</v>
      </c>
      <c r="E46" s="11">
        <v>22.826759051646945</v>
      </c>
      <c r="F46" s="11">
        <f t="shared" si="28"/>
        <v>55.707801785310579</v>
      </c>
      <c r="G46" s="177">
        <f t="shared" si="23"/>
        <v>3.7761873215503838E-2</v>
      </c>
      <c r="I46" s="11" t="str">
        <f t="shared" si="29"/>
        <v>Caring, leisure and other service occupations</v>
      </c>
      <c r="J46" s="11">
        <v>339.55664866313197</v>
      </c>
      <c r="K46" s="11">
        <v>489.17527433464267</v>
      </c>
      <c r="L46" s="11">
        <v>149.6186256715107</v>
      </c>
      <c r="M46" s="11">
        <v>272.15970332682116</v>
      </c>
      <c r="N46" s="11">
        <v>421.77832899833186</v>
      </c>
      <c r="P46" s="10" t="str">
        <f>name!D14</f>
        <v>35 Business and public service associate professionals</v>
      </c>
      <c r="Q46" s="11">
        <v>937.55904591384251</v>
      </c>
      <c r="R46" s="11">
        <v>1060.2540630743006</v>
      </c>
      <c r="S46" s="313">
        <f t="shared" si="24"/>
        <v>122.69501716045806</v>
      </c>
      <c r="T46" s="313">
        <v>539.14864371025669</v>
      </c>
      <c r="U46" s="313">
        <f t="shared" si="25"/>
        <v>661.84366087071476</v>
      </c>
      <c r="V46" s="314">
        <f t="shared" si="26"/>
        <v>3.0749328468418824E-2</v>
      </c>
      <c r="W46" s="314"/>
      <c r="X46" s="10" t="str">
        <f>name!A43</f>
        <v>Food and beverage services</v>
      </c>
      <c r="Y46" s="10">
        <v>1635.7980000069417</v>
      </c>
      <c r="Z46" s="10">
        <v>1954.2390000411206</v>
      </c>
      <c r="AA46" s="313">
        <f t="shared" si="8"/>
        <v>318.44100003417884</v>
      </c>
      <c r="AB46" s="10">
        <v>893.64157156501221</v>
      </c>
      <c r="AC46" s="313">
        <f t="shared" si="9"/>
        <v>1212.0825715991909</v>
      </c>
      <c r="AD46" s="314">
        <f t="shared" si="10"/>
        <v>2.9484097369379958E-2</v>
      </c>
    </row>
    <row r="47" spans="1:30">
      <c r="A47" t="str">
        <f t="shared" si="20"/>
        <v>41 Administrative occupations</v>
      </c>
      <c r="B47" s="11">
        <v>16.431977963875749</v>
      </c>
      <c r="C47" s="11">
        <v>37.405277818454678</v>
      </c>
      <c r="D47" s="11">
        <f t="shared" si="21"/>
        <v>20.973299854578929</v>
      </c>
      <c r="E47" s="11">
        <v>14.553525056219637</v>
      </c>
      <c r="F47" s="11">
        <f t="shared" si="22"/>
        <v>35.526824910798567</v>
      </c>
      <c r="G47" s="177">
        <f t="shared" si="23"/>
        <v>4.3192798857167203E-2</v>
      </c>
      <c r="I47" s="11" t="str">
        <f t="shared" si="29"/>
        <v>Sales and customer service occupations</v>
      </c>
      <c r="J47" s="11">
        <v>349.42144340079426</v>
      </c>
      <c r="K47" s="11">
        <v>511.72225014421309</v>
      </c>
      <c r="L47" s="11">
        <v>162.30080674341886</v>
      </c>
      <c r="M47" s="11">
        <v>235.1998422630968</v>
      </c>
      <c r="N47" s="11">
        <v>397.50064900651569</v>
      </c>
      <c r="P47" s="10" t="str">
        <f>name!D15</f>
        <v>41 Administrative occupations</v>
      </c>
      <c r="Q47" s="11">
        <v>1749.3068359973265</v>
      </c>
      <c r="R47" s="11">
        <v>1642.8800143451274</v>
      </c>
      <c r="S47" s="313">
        <f t="shared" si="24"/>
        <v>-106.42682165219912</v>
      </c>
      <c r="T47" s="313">
        <v>988.12929924848061</v>
      </c>
      <c r="U47" s="313">
        <f t="shared" si="25"/>
        <v>881.70247759628148</v>
      </c>
      <c r="V47" s="314">
        <f t="shared" si="26"/>
        <v>3.0303559348723974E-2</v>
      </c>
      <c r="W47" s="314"/>
      <c r="X47" s="10" t="str">
        <f>name!A44</f>
        <v>Publishing activities</v>
      </c>
      <c r="Y47" s="10">
        <v>148.25099999989291</v>
      </c>
      <c r="Z47" s="10">
        <v>149.36400000220115</v>
      </c>
      <c r="AA47" s="313">
        <f t="shared" si="8"/>
        <v>1.1130000023082403</v>
      </c>
      <c r="AB47" s="10">
        <v>70.003711222668841</v>
      </c>
      <c r="AC47" s="313">
        <f t="shared" si="9"/>
        <v>71.116711224977081</v>
      </c>
      <c r="AD47" s="314">
        <f t="shared" si="10"/>
        <v>2.6119008975257874E-2</v>
      </c>
    </row>
    <row r="48" spans="1:30">
      <c r="A48" t="str">
        <f t="shared" si="20"/>
        <v>42 Secretarial and related occupations</v>
      </c>
      <c r="B48" s="11">
        <v>1.501904991955695</v>
      </c>
      <c r="C48" s="11">
        <v>4.6797537540736114</v>
      </c>
      <c r="D48" s="11">
        <f t="shared" si="21"/>
        <v>3.1778487621179163</v>
      </c>
      <c r="E48" s="11">
        <v>2.0131960885673341</v>
      </c>
      <c r="F48" s="11">
        <f t="shared" si="22"/>
        <v>5.19104485068525</v>
      </c>
      <c r="G48" s="177">
        <f t="shared" si="23"/>
        <v>5.8326548000657841E-2</v>
      </c>
      <c r="I48" s="11" t="str">
        <f t="shared" si="29"/>
        <v>Process, plant and machine operatives</v>
      </c>
      <c r="J48" s="11">
        <v>83.304387104175191</v>
      </c>
      <c r="K48" s="11">
        <v>157.36938537437115</v>
      </c>
      <c r="L48" s="11">
        <v>74.064998270195957</v>
      </c>
      <c r="M48" s="11">
        <v>77.44311401703095</v>
      </c>
      <c r="N48" s="11">
        <v>151.50811228722691</v>
      </c>
      <c r="P48" s="10" t="str">
        <f>name!D16</f>
        <v>42 Secretarial and related occupations</v>
      </c>
      <c r="Q48" s="11">
        <v>536.14507234301448</v>
      </c>
      <c r="R48" s="11">
        <v>360.37254407922774</v>
      </c>
      <c r="S48" s="313">
        <f t="shared" si="24"/>
        <v>-175.77252826378674</v>
      </c>
      <c r="T48" s="313">
        <v>250.42898373862147</v>
      </c>
      <c r="U48" s="313">
        <f t="shared" si="25"/>
        <v>74.656455474834729</v>
      </c>
      <c r="V48" s="314">
        <f t="shared" si="26"/>
        <v>2.5881394010137893E-2</v>
      </c>
      <c r="W48" s="314"/>
      <c r="X48" s="10" t="str">
        <f>name!A45</f>
        <v>Film and music</v>
      </c>
      <c r="Y48" s="10">
        <v>154.98300000072942</v>
      </c>
      <c r="Z48" s="10">
        <v>161.03200000287956</v>
      </c>
      <c r="AA48" s="313">
        <f t="shared" si="8"/>
        <v>6.0490000021501373</v>
      </c>
      <c r="AB48" s="10">
        <v>78.129350301185085</v>
      </c>
      <c r="AC48" s="313">
        <f t="shared" si="9"/>
        <v>84.178350303335222</v>
      </c>
      <c r="AD48" s="314">
        <f t="shared" si="10"/>
        <v>2.7587346909782706E-2</v>
      </c>
    </row>
    <row r="49" spans="1:30">
      <c r="A49" t="str">
        <f t="shared" si="20"/>
        <v>51 Skilled agricultural and related trades</v>
      </c>
      <c r="B49" s="11">
        <v>0.80628763819718297</v>
      </c>
      <c r="C49" s="11">
        <v>1.5647713484314596</v>
      </c>
      <c r="D49" s="11">
        <f t="shared" si="21"/>
        <v>0.75848371023427663</v>
      </c>
      <c r="E49" s="11">
        <v>0.8390457845574123</v>
      </c>
      <c r="F49" s="11">
        <f t="shared" si="22"/>
        <v>1.5975294947916889</v>
      </c>
      <c r="G49" s="177">
        <f t="shared" si="23"/>
        <v>4.8699178751925309E-2</v>
      </c>
      <c r="I49" s="11" t="str">
        <f t="shared" si="29"/>
        <v>Elementary occupations</v>
      </c>
      <c r="J49" s="11">
        <v>249.81880083185263</v>
      </c>
      <c r="K49" s="11">
        <v>382.33294578922505</v>
      </c>
      <c r="L49" s="11">
        <v>132.51414495737242</v>
      </c>
      <c r="M49" s="11">
        <v>210.55423277284092</v>
      </c>
      <c r="N49" s="11">
        <v>343.06837773021334</v>
      </c>
      <c r="P49" s="10" t="str">
        <f>name!D17</f>
        <v>51 Skilled agricultural and related trades</v>
      </c>
      <c r="Q49" s="11">
        <v>54.984282364501738</v>
      </c>
      <c r="R49" s="11">
        <v>71.77569933885907</v>
      </c>
      <c r="S49" s="313">
        <f t="shared" si="24"/>
        <v>16.791416974357332</v>
      </c>
      <c r="T49" s="313">
        <v>43.764323197297429</v>
      </c>
      <c r="U49" s="313">
        <f t="shared" si="25"/>
        <v>60.555740171654762</v>
      </c>
      <c r="V49" s="314">
        <f>IF(Q49&gt;0,(1+(T49/Q49))^(1/($C$6-$B$6))-1,0)</f>
        <v>3.9807216866200035E-2</v>
      </c>
      <c r="W49" s="314"/>
      <c r="X49" s="10" t="str">
        <f>name!A46</f>
        <v>Broadcasting</v>
      </c>
      <c r="Y49" s="10">
        <v>45.136000000215198</v>
      </c>
      <c r="Z49" s="10">
        <v>46.219000000894866</v>
      </c>
      <c r="AA49" s="313">
        <f t="shared" si="8"/>
        <v>1.0830000006796681</v>
      </c>
      <c r="AB49" s="10">
        <v>21.412781031552459</v>
      </c>
      <c r="AC49" s="313">
        <f t="shared" si="9"/>
        <v>22.495781032232127</v>
      </c>
      <c r="AD49" s="314">
        <f t="shared" si="10"/>
        <v>2.6221562805627263E-2</v>
      </c>
    </row>
    <row r="50" spans="1:30">
      <c r="A50" t="str">
        <f t="shared" si="20"/>
        <v>52 Skilled metal, electrical and electronic trades</v>
      </c>
      <c r="B50" s="11">
        <v>1.2631599169509171</v>
      </c>
      <c r="C50" s="11">
        <v>2.6464457792770633</v>
      </c>
      <c r="D50" s="11">
        <f t="shared" si="21"/>
        <v>1.3832858623261461</v>
      </c>
      <c r="E50" s="11">
        <v>0.89649631706715505</v>
      </c>
      <c r="F50" s="11">
        <f>SUM(D50:E50)</f>
        <v>2.2797821793933011</v>
      </c>
      <c r="G50" s="177">
        <f t="shared" si="23"/>
        <v>3.6402422444510529E-2</v>
      </c>
      <c r="O50" s="55"/>
      <c r="P50" s="10" t="str">
        <f>name!D18</f>
        <v>52 Skilled metal, electrical and electronic trades</v>
      </c>
      <c r="Q50" s="11">
        <v>22.907832710885604</v>
      </c>
      <c r="R50" s="11">
        <v>50.326039361242614</v>
      </c>
      <c r="S50" s="313">
        <f t="shared" si="24"/>
        <v>27.418206650357011</v>
      </c>
      <c r="T50" s="313">
        <v>24.041878044144436</v>
      </c>
      <c r="U50" s="313">
        <f t="shared" si="25"/>
        <v>51.460084694501447</v>
      </c>
      <c r="V50" s="314">
        <f t="shared" si="26"/>
        <v>4.9002672286570848E-2</v>
      </c>
      <c r="W50" s="314"/>
      <c r="X50" s="10" t="str">
        <f>name!A47</f>
        <v>Telecommunications</v>
      </c>
      <c r="Y50" s="10">
        <v>178.70999999876952</v>
      </c>
      <c r="Z50" s="10">
        <v>205.3720000011173</v>
      </c>
      <c r="AA50" s="313">
        <f t="shared" si="8"/>
        <v>26.662000002347781</v>
      </c>
      <c r="AB50" s="10">
        <v>82.257663069808288</v>
      </c>
      <c r="AC50" s="313">
        <f t="shared" si="9"/>
        <v>108.91966307215607</v>
      </c>
      <c r="AD50" s="314">
        <f t="shared" si="10"/>
        <v>2.5563421964531541E-2</v>
      </c>
    </row>
    <row r="51" spans="1:30" ht="12.95">
      <c r="A51" t="str">
        <f t="shared" si="20"/>
        <v>53 Skilled construction and building trades</v>
      </c>
      <c r="B51" s="11">
        <v>0.32178805333276866</v>
      </c>
      <c r="C51" s="11">
        <v>0.74480309292836788</v>
      </c>
      <c r="D51" s="11">
        <f t="shared" ref="D51" si="30">C51-B51</f>
        <v>0.42301503959559922</v>
      </c>
      <c r="E51" s="11">
        <v>0.28171427618365263</v>
      </c>
      <c r="F51" s="11">
        <f>SUM(D51:E51)</f>
        <v>0.7047293157792518</v>
      </c>
      <c r="G51" s="177">
        <f t="shared" si="23"/>
        <v>4.2814998701876661E-2</v>
      </c>
      <c r="I51" s="68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18.915910767141682</v>
      </c>
      <c r="R51" s="11">
        <v>14.529008824624869</v>
      </c>
      <c r="S51" s="313">
        <f t="shared" si="24"/>
        <v>-4.386901942516813</v>
      </c>
      <c r="T51" s="313">
        <v>7.3365162988287569</v>
      </c>
      <c r="U51" s="313">
        <f t="shared" si="25"/>
        <v>2.9496143563119439</v>
      </c>
      <c r="V51" s="314">
        <f t="shared" si="26"/>
        <v>2.2090802618477623E-2</v>
      </c>
      <c r="W51" s="314"/>
      <c r="X51" s="10" t="str">
        <f>name!A48</f>
        <v>Computing services</v>
      </c>
      <c r="Y51" s="10">
        <v>733.45199999675367</v>
      </c>
      <c r="Z51" s="10">
        <v>851.37300000523999</v>
      </c>
      <c r="AA51" s="313">
        <f t="shared" si="8"/>
        <v>117.92100000848632</v>
      </c>
      <c r="AB51" s="10">
        <v>349.47338694042037</v>
      </c>
      <c r="AC51" s="313">
        <f t="shared" si="9"/>
        <v>467.39438694890669</v>
      </c>
      <c r="AD51" s="314">
        <f t="shared" si="10"/>
        <v>2.6317629866130732E-2</v>
      </c>
    </row>
    <row r="52" spans="1:30">
      <c r="A52" t="str">
        <f t="shared" si="20"/>
        <v>54 Textiles, printing and other skilled trades</v>
      </c>
      <c r="B52" s="11">
        <v>2.148463311311295</v>
      </c>
      <c r="C52" s="11">
        <v>5.0707261152536427</v>
      </c>
      <c r="D52" s="11">
        <f t="shared" si="21"/>
        <v>2.9222628039423477</v>
      </c>
      <c r="E52" s="11">
        <v>1.9288850086579763</v>
      </c>
      <c r="F52" s="11">
        <f t="shared" si="22"/>
        <v>4.851147812600324</v>
      </c>
      <c r="G52" s="177">
        <f t="shared" si="23"/>
        <v>4.3638258637274996E-2</v>
      </c>
      <c r="I52" s="11" t="str">
        <f>I41</f>
        <v>Managers, directors and senior officials</v>
      </c>
      <c r="J52" s="11">
        <f t="array" ref="J52:J60">MMULT(aggregation!$B$38:$AA$46,B123:B148)</f>
        <v>193.7938667274077</v>
      </c>
      <c r="K52" s="11">
        <f t="array" ref="K52:K60">MMULT(aggregation!$B$38:$AA$46,C123:C148)</f>
        <v>201.22403559210881</v>
      </c>
      <c r="L52" s="11">
        <f t="array" ref="L52:L60">MMULT(aggregation!$B$38:$AA$46,D123:D148)</f>
        <v>7.4301688647011019</v>
      </c>
      <c r="M52" s="11">
        <f t="array" ref="M52:M60">MMULT(aggregation!$B$38:$AA$46,E123:E148)</f>
        <v>108.67696088943273</v>
      </c>
      <c r="N52" s="11">
        <f t="array" ref="N52:N60">MMULT(aggregation!$B$38:$AA$46,F123:F148)</f>
        <v>116.10712975413384</v>
      </c>
      <c r="P52" s="10" t="str">
        <f>name!D20</f>
        <v>54 Textiles, printing and other skilled trades</v>
      </c>
      <c r="Q52" s="11">
        <v>225.4133310493485</v>
      </c>
      <c r="R52" s="11">
        <v>240.99500062934234</v>
      </c>
      <c r="S52" s="313">
        <f t="shared" si="24"/>
        <v>15.581669579993843</v>
      </c>
      <c r="T52" s="313">
        <v>137.58670086376279</v>
      </c>
      <c r="U52" s="313">
        <f t="shared" si="25"/>
        <v>153.16837044375663</v>
      </c>
      <c r="V52" s="314">
        <f t="shared" si="26"/>
        <v>3.2274353927469912E-2</v>
      </c>
      <c r="W52" s="314"/>
      <c r="X52" s="10" t="str">
        <f>name!A49</f>
        <v>Information services</v>
      </c>
      <c r="Y52" s="10">
        <v>88.937999999850831</v>
      </c>
      <c r="Z52" s="10">
        <v>105.16800000103001</v>
      </c>
      <c r="AA52" s="313">
        <f t="shared" si="8"/>
        <v>16.230000001179178</v>
      </c>
      <c r="AB52" s="10">
        <v>44.978503680847531</v>
      </c>
      <c r="AC52" s="313">
        <f t="shared" si="9"/>
        <v>61.208503682026709</v>
      </c>
      <c r="AD52" s="314">
        <f t="shared" si="10"/>
        <v>2.7660781413416879E-2</v>
      </c>
    </row>
    <row r="53" spans="1:30">
      <c r="A53" t="str">
        <f t="shared" si="20"/>
        <v>61 Caring personal service occupations</v>
      </c>
      <c r="B53" s="11">
        <v>1.8586131591877315</v>
      </c>
      <c r="C53" s="11">
        <v>4.6384664312458455</v>
      </c>
      <c r="D53" s="11">
        <f t="shared" si="21"/>
        <v>2.7798532720581139</v>
      </c>
      <c r="E53" s="11">
        <v>1.8200220560087634</v>
      </c>
      <c r="F53" s="11">
        <f t="shared" si="22"/>
        <v>4.5998753280668776</v>
      </c>
      <c r="G53" s="177">
        <f t="shared" si="23"/>
        <v>4.6565741668482374E-2</v>
      </c>
      <c r="I53" s="11" t="str">
        <f>I42</f>
        <v>Professional occupations</v>
      </c>
      <c r="J53" s="11">
        <v>339.64519278524926</v>
      </c>
      <c r="K53" s="11">
        <v>215.77461665598256</v>
      </c>
      <c r="L53" s="11">
        <v>-123.87057612926671</v>
      </c>
      <c r="M53" s="11">
        <v>95.644260941237079</v>
      </c>
      <c r="N53" s="11">
        <v>-28.226315188029641</v>
      </c>
      <c r="P53" s="10" t="str">
        <f>name!D21</f>
        <v>61 Caring personal service occupations</v>
      </c>
      <c r="Q53" s="11">
        <v>1708.3613043924645</v>
      </c>
      <c r="R53" s="11">
        <v>1857.6970439789782</v>
      </c>
      <c r="S53" s="313">
        <f t="shared" si="24"/>
        <v>149.33573958651368</v>
      </c>
      <c r="T53" s="313">
        <v>1038.0316176687093</v>
      </c>
      <c r="U53" s="313">
        <f t="shared" si="25"/>
        <v>1187.3673572552229</v>
      </c>
      <c r="V53" s="314">
        <f t="shared" si="26"/>
        <v>3.2156447272598365E-2</v>
      </c>
      <c r="W53" s="314"/>
      <c r="X53" s="10" t="str">
        <f>name!A50</f>
        <v>Financial services</v>
      </c>
      <c r="Y53" s="10">
        <v>437.16499999867938</v>
      </c>
      <c r="Z53" s="10">
        <v>427.6450000072096</v>
      </c>
      <c r="AA53" s="313">
        <f t="shared" si="8"/>
        <v>-9.5199999914697742</v>
      </c>
      <c r="AB53" s="10">
        <v>210.72438275569488</v>
      </c>
      <c r="AC53" s="313">
        <f t="shared" si="9"/>
        <v>201.2043827642251</v>
      </c>
      <c r="AD53" s="314">
        <f t="shared" si="10"/>
        <v>2.657424708972278E-2</v>
      </c>
    </row>
    <row r="54" spans="1:30">
      <c r="A54" t="str">
        <f t="shared" si="20"/>
        <v>62 Leisure, travel and related personal service occupations</v>
      </c>
      <c r="B54" s="11">
        <v>1.058285088329779</v>
      </c>
      <c r="C54" s="11">
        <v>2.3146242792821807</v>
      </c>
      <c r="D54" s="11">
        <f t="shared" ref="D54:D55" si="31">C54-B54</f>
        <v>1.2563391909524018</v>
      </c>
      <c r="E54" s="11">
        <v>0.94637452810846023</v>
      </c>
      <c r="F54" s="11">
        <f t="shared" ref="F54:F55" si="32">SUM(D54:E54)</f>
        <v>2.2027137190608621</v>
      </c>
      <c r="G54" s="177">
        <f t="shared" si="23"/>
        <v>4.3508195622040002E-2</v>
      </c>
      <c r="I54" s="11" t="str">
        <f>I43</f>
        <v>Associate professional occupations</v>
      </c>
      <c r="J54" s="11">
        <v>325.56795476589338</v>
      </c>
      <c r="K54" s="11">
        <v>335.39430742310469</v>
      </c>
      <c r="L54" s="11">
        <v>9.8263526572113484</v>
      </c>
      <c r="M54" s="11">
        <v>157.19610660649766</v>
      </c>
      <c r="N54" s="11">
        <v>167.02245926370898</v>
      </c>
      <c r="P54" s="10" t="str">
        <f>name!D22</f>
        <v>62 Leisure, travel and related personal service occupations</v>
      </c>
      <c r="Q54" s="11">
        <v>429.20684779063481</v>
      </c>
      <c r="R54" s="11">
        <v>392.85846470389714</v>
      </c>
      <c r="S54" s="313">
        <f t="shared" si="24"/>
        <v>-36.34838308673767</v>
      </c>
      <c r="T54" s="313">
        <v>219.44533292371412</v>
      </c>
      <c r="U54" s="313">
        <f t="shared" si="25"/>
        <v>183.09694983697645</v>
      </c>
      <c r="V54" s="314">
        <f t="shared" si="26"/>
        <v>2.7912978071907846E-2</v>
      </c>
      <c r="W54" s="314"/>
      <c r="X54" s="10" t="str">
        <f>name!A51</f>
        <v>Insurance and pensions</v>
      </c>
      <c r="Y54" s="10">
        <v>118.36399999936367</v>
      </c>
      <c r="Z54" s="10">
        <v>112.34300000168859</v>
      </c>
      <c r="AA54" s="313">
        <f t="shared" si="8"/>
        <v>-6.0209999976750765</v>
      </c>
      <c r="AB54" s="10">
        <v>57.687699514506278</v>
      </c>
      <c r="AC54" s="313">
        <f t="shared" si="9"/>
        <v>51.666699516831201</v>
      </c>
      <c r="AD54" s="314">
        <f t="shared" si="10"/>
        <v>2.6820914538236762E-2</v>
      </c>
    </row>
    <row r="55" spans="1:30">
      <c r="A55" t="str">
        <f t="shared" si="20"/>
        <v>63 Community and civil enforcement occupations</v>
      </c>
      <c r="B55" s="11">
        <v>7.7228727823100085E-2</v>
      </c>
      <c r="C55" s="11">
        <v>0.1492141206360455</v>
      </c>
      <c r="D55" s="11">
        <f t="shared" si="31"/>
        <v>7.1985392812945415E-2</v>
      </c>
      <c r="E55" s="11">
        <v>6.2518935618483595E-2</v>
      </c>
      <c r="F55" s="11">
        <f t="shared" si="32"/>
        <v>0.13450432843142901</v>
      </c>
      <c r="G55" s="177">
        <f t="shared" si="23"/>
        <v>4.0329814457333413E-2</v>
      </c>
      <c r="I55" s="11" t="str">
        <f>I44</f>
        <v>Administrative and secretarial occupations</v>
      </c>
      <c r="J55" s="11">
        <v>235.036733647435</v>
      </c>
      <c r="K55" s="11">
        <v>302.50402895708004</v>
      </c>
      <c r="L55" s="11">
        <v>67.467295309645053</v>
      </c>
      <c r="M55" s="11">
        <v>164.30687331532957</v>
      </c>
      <c r="N55" s="11">
        <v>231.77416862497464</v>
      </c>
      <c r="P55" s="10" t="str">
        <f>name!D23</f>
        <v>63 Community and civil enforcement occupations</v>
      </c>
      <c r="Q55" s="11">
        <v>6.7154254449809176</v>
      </c>
      <c r="R55" s="11">
        <v>9.0531806061273876</v>
      </c>
      <c r="S55" s="313">
        <f t="shared" si="24"/>
        <v>2.33775516114647</v>
      </c>
      <c r="T55" s="313">
        <v>5.6704576304656813</v>
      </c>
      <c r="U55" s="313">
        <f t="shared" si="25"/>
        <v>8.0082127916121522</v>
      </c>
      <c r="V55" s="314">
        <f t="shared" si="26"/>
        <v>4.1654184743932232E-2</v>
      </c>
      <c r="W55" s="314"/>
      <c r="X55" s="10" t="str">
        <f>name!A52</f>
        <v>Auxiliary financial services</v>
      </c>
      <c r="Y55" s="10">
        <v>449.63699999902298</v>
      </c>
      <c r="Z55" s="10">
        <v>441.79300000809985</v>
      </c>
      <c r="AA55" s="313">
        <f t="shared" si="8"/>
        <v>-7.8439999909231233</v>
      </c>
      <c r="AB55" s="10">
        <v>217.93239935152297</v>
      </c>
      <c r="AC55" s="313">
        <f t="shared" si="9"/>
        <v>210.08839936059985</v>
      </c>
      <c r="AD55" s="314">
        <f t="shared" si="10"/>
        <v>2.6696997490593732E-2</v>
      </c>
    </row>
    <row r="56" spans="1:30">
      <c r="A56" t="str">
        <f t="shared" si="20"/>
        <v>71 Sales occupations</v>
      </c>
      <c r="B56" s="11">
        <v>4.9807705608553157</v>
      </c>
      <c r="C56" s="11">
        <v>9.718999190941128</v>
      </c>
      <c r="D56" s="11">
        <f t="shared" si="21"/>
        <v>4.7382286300858123</v>
      </c>
      <c r="E56" s="11">
        <v>3.5323949853089545</v>
      </c>
      <c r="F56" s="11">
        <f t="shared" si="22"/>
        <v>8.2706236153947668</v>
      </c>
      <c r="G56" s="177">
        <f t="shared" si="23"/>
        <v>3.6381462233840089E-2</v>
      </c>
      <c r="I56" s="11" t="str">
        <f t="shared" ref="I56:I60" si="33">I45</f>
        <v>Skilled trades occupations</v>
      </c>
      <c r="J56" s="11">
        <v>77.355971134640342</v>
      </c>
      <c r="K56" s="11">
        <v>113.55321002951992</v>
      </c>
      <c r="L56" s="11">
        <v>36.197238894879575</v>
      </c>
      <c r="M56" s="11">
        <v>55.792961802499654</v>
      </c>
      <c r="N56" s="11">
        <v>91.990200697379208</v>
      </c>
      <c r="P56" s="10" t="str">
        <f>name!D24</f>
        <v>71 Sales occupations</v>
      </c>
      <c r="Q56" s="11">
        <v>1081.291149197466</v>
      </c>
      <c r="R56" s="11">
        <v>1006.220624018454</v>
      </c>
      <c r="S56" s="313">
        <f t="shared" si="24"/>
        <v>-75.070525179011952</v>
      </c>
      <c r="T56" s="313">
        <v>581.15818914991826</v>
      </c>
      <c r="U56" s="313">
        <f t="shared" si="25"/>
        <v>506.08766397090631</v>
      </c>
      <c r="V56" s="314">
        <f t="shared" si="26"/>
        <v>2.9090853153509011E-2</v>
      </c>
      <c r="W56" s="314"/>
      <c r="X56" s="10" t="str">
        <f>name!A53</f>
        <v>Real estate</v>
      </c>
      <c r="Y56" s="10">
        <v>566.08499999821879</v>
      </c>
      <c r="Z56" s="10">
        <v>597.86400000572326</v>
      </c>
      <c r="AA56" s="313">
        <f t="shared" si="8"/>
        <v>31.779000007504465</v>
      </c>
      <c r="AB56" s="10">
        <v>280.2970207626571</v>
      </c>
      <c r="AC56" s="313">
        <f t="shared" si="9"/>
        <v>312.07602077016156</v>
      </c>
      <c r="AD56" s="314">
        <f t="shared" si="10"/>
        <v>2.7177865171414517E-2</v>
      </c>
    </row>
    <row r="57" spans="1:30">
      <c r="A57" t="str">
        <f t="shared" si="20"/>
        <v>72 Customer service occupations</v>
      </c>
      <c r="B57" s="11">
        <v>2.1845738267267567</v>
      </c>
      <c r="C57" s="11">
        <v>5.553603295265745</v>
      </c>
      <c r="D57" s="11">
        <f t="shared" si="21"/>
        <v>3.3690294685389883</v>
      </c>
      <c r="E57" s="11">
        <v>1.8651806910980198</v>
      </c>
      <c r="F57" s="11">
        <f t="shared" si="22"/>
        <v>5.2342101596370085</v>
      </c>
      <c r="G57" s="177">
        <f t="shared" si="23"/>
        <v>4.2007387937032403E-2</v>
      </c>
      <c r="I57" s="11" t="str">
        <f t="shared" si="33"/>
        <v>Caring, leisure and other service occupations</v>
      </c>
      <c r="J57" s="11">
        <v>258.46289428729312</v>
      </c>
      <c r="K57" s="11">
        <v>283.74574841687115</v>
      </c>
      <c r="L57" s="11">
        <v>25.282854129578016</v>
      </c>
      <c r="M57" s="11">
        <v>160.33686892461643</v>
      </c>
      <c r="N57" s="11">
        <v>185.6197230541944</v>
      </c>
      <c r="P57" s="10" t="str">
        <f>name!D25</f>
        <v>72 Customer service occupations</v>
      </c>
      <c r="Q57" s="11">
        <v>310.91730322144628</v>
      </c>
      <c r="R57" s="11">
        <v>347.34102424583415</v>
      </c>
      <c r="S57" s="313">
        <f t="shared" si="24"/>
        <v>36.423721024387874</v>
      </c>
      <c r="T57" s="313">
        <v>178.20866287732127</v>
      </c>
      <c r="U57" s="313">
        <f t="shared" si="25"/>
        <v>214.63238390170915</v>
      </c>
      <c r="V57" s="314">
        <f t="shared" si="26"/>
        <v>3.0667041420587848E-2</v>
      </c>
      <c r="W57" s="314"/>
      <c r="X57" s="10" t="str">
        <f>name!A54</f>
        <v>Legal and accounting</v>
      </c>
      <c r="Y57" s="10">
        <v>730.3389999964686</v>
      </c>
      <c r="Z57" s="10">
        <v>810.2250000154022</v>
      </c>
      <c r="AA57" s="313">
        <f t="shared" si="8"/>
        <v>79.886000018933601</v>
      </c>
      <c r="AB57" s="10">
        <v>389.85479361244649</v>
      </c>
      <c r="AC57" s="313">
        <f t="shared" si="9"/>
        <v>469.74079363138009</v>
      </c>
      <c r="AD57" s="314">
        <f t="shared" si="10"/>
        <v>2.8927033908894506E-2</v>
      </c>
    </row>
    <row r="58" spans="1:30">
      <c r="A58" t="str">
        <f t="shared" si="20"/>
        <v>81 Process, plant and machine operatives</v>
      </c>
      <c r="B58" s="11">
        <v>1.3639641062781964</v>
      </c>
      <c r="C58" s="11">
        <v>4.4682650221080564</v>
      </c>
      <c r="D58" s="11">
        <f t="shared" ref="D58:D59" si="34">C58-B58</f>
        <v>3.1043009158298602</v>
      </c>
      <c r="E58" s="11">
        <v>1.5275182701390171</v>
      </c>
      <c r="F58" s="11">
        <f t="shared" ref="F58:F59" si="35">SUM(D58:E58)</f>
        <v>4.6318191859688778</v>
      </c>
      <c r="G58" s="177">
        <f t="shared" si="23"/>
        <v>5.1367401396802403E-2</v>
      </c>
      <c r="I58" s="11" t="str">
        <f t="shared" si="33"/>
        <v>Sales and customer service occupations</v>
      </c>
      <c r="J58" s="11">
        <v>112.92367562281581</v>
      </c>
      <c r="K58" s="11">
        <v>155.47819028235688</v>
      </c>
      <c r="L58" s="11">
        <v>42.554514659541084</v>
      </c>
      <c r="M58" s="11">
        <v>74.277518754804703</v>
      </c>
      <c r="N58" s="11">
        <v>116.83203341434577</v>
      </c>
      <c r="P58" s="10" t="str">
        <f>name!D26</f>
        <v>81 Process, plant and machine operatives</v>
      </c>
      <c r="Q58" s="11">
        <v>140.06899296121219</v>
      </c>
      <c r="R58" s="11">
        <v>164.56825629033261</v>
      </c>
      <c r="S58" s="313">
        <f t="shared" si="24"/>
        <v>24.499263329120424</v>
      </c>
      <c r="T58" s="313">
        <v>81.051611164430128</v>
      </c>
      <c r="U58" s="313">
        <f t="shared" si="25"/>
        <v>105.55087449355055</v>
      </c>
      <c r="V58" s="314">
        <f t="shared" si="26"/>
        <v>3.0906189391225469E-2</v>
      </c>
      <c r="W58" s="314"/>
      <c r="X58" s="10" t="str">
        <f>name!A55</f>
        <v>Head offices, etc</v>
      </c>
      <c r="Y58" s="10">
        <v>805.09299999557402</v>
      </c>
      <c r="Z58" s="10">
        <v>864.09700001178453</v>
      </c>
      <c r="AA58" s="313">
        <f t="shared" si="8"/>
        <v>59.004000016210512</v>
      </c>
      <c r="AB58" s="10">
        <v>407.39722489013161</v>
      </c>
      <c r="AC58" s="313">
        <f t="shared" si="9"/>
        <v>466.40122490634212</v>
      </c>
      <c r="AD58" s="314">
        <f t="shared" si="10"/>
        <v>2.7674261740602724E-2</v>
      </c>
    </row>
    <row r="59" spans="1:30">
      <c r="A59" t="str">
        <f t="shared" si="20"/>
        <v>82 Transport and mobile machine drivers and operatives</v>
      </c>
      <c r="B59" s="11">
        <v>3.2104799962366029</v>
      </c>
      <c r="C59" s="11">
        <v>9.0972734581886012</v>
      </c>
      <c r="D59" s="11">
        <f t="shared" si="34"/>
        <v>5.8867934619519984</v>
      </c>
      <c r="E59" s="11">
        <v>4.1417582258211123</v>
      </c>
      <c r="F59" s="11">
        <f t="shared" si="35"/>
        <v>10.02855168777311</v>
      </c>
      <c r="G59" s="177">
        <f t="shared" si="23"/>
        <v>5.6793110812653813E-2</v>
      </c>
      <c r="I59" s="11" t="str">
        <f t="shared" si="33"/>
        <v>Process, plant and machine operatives</v>
      </c>
      <c r="J59" s="11">
        <v>39.504080877262346</v>
      </c>
      <c r="K59" s="11">
        <v>66.435367965029627</v>
      </c>
      <c r="L59" s="11">
        <v>26.931287087767288</v>
      </c>
      <c r="M59" s="11">
        <v>33.345200836949658</v>
      </c>
      <c r="N59" s="11">
        <v>60.276487924716946</v>
      </c>
      <c r="P59" s="10" t="str">
        <f>name!D27</f>
        <v>82 Transport and mobile machine drivers and operatives</v>
      </c>
      <c r="Q59" s="11">
        <v>62.231563596814972</v>
      </c>
      <c r="R59" s="11">
        <v>91.472322924895138</v>
      </c>
      <c r="S59" s="313">
        <f t="shared" si="24"/>
        <v>29.240759328080166</v>
      </c>
      <c r="T59" s="313">
        <v>51.616138168053766</v>
      </c>
      <c r="U59" s="313">
        <f t="shared" si="25"/>
        <v>80.856897496133939</v>
      </c>
      <c r="V59" s="314">
        <f t="shared" si="26"/>
        <v>4.1088310868957478E-2</v>
      </c>
      <c r="W59" s="314"/>
      <c r="X59" s="10" t="str">
        <f>name!A56</f>
        <v>Architectural and related</v>
      </c>
      <c r="Y59" s="10">
        <v>568.07999999614174</v>
      </c>
      <c r="Z59" s="10">
        <v>580.55500000605491</v>
      </c>
      <c r="AA59" s="313">
        <f t="shared" si="8"/>
        <v>12.475000009913174</v>
      </c>
      <c r="AB59" s="10">
        <v>258.347383339651</v>
      </c>
      <c r="AC59" s="313">
        <f t="shared" si="9"/>
        <v>270.82238334956418</v>
      </c>
      <c r="AD59" s="314">
        <f t="shared" si="10"/>
        <v>2.5304853690962359E-2</v>
      </c>
    </row>
    <row r="60" spans="1:30">
      <c r="A60" t="str">
        <f t="shared" si="20"/>
        <v>91 Elementary trades and related occupations</v>
      </c>
      <c r="B60" s="11">
        <v>2.0467507196435832E-2</v>
      </c>
      <c r="C60" s="11">
        <v>0.22400206035709008</v>
      </c>
      <c r="D60" s="11">
        <f t="shared" si="21"/>
        <v>0.20353455316065425</v>
      </c>
      <c r="E60" s="11">
        <v>9.3230031365820032E-2</v>
      </c>
      <c r="F60" s="11">
        <f>SUM(D60:E60)</f>
        <v>0.29676458452647425</v>
      </c>
      <c r="G60" s="177">
        <f t="shared" si="23"/>
        <v>0.12110358344944849</v>
      </c>
      <c r="I60" s="11" t="str">
        <f t="shared" si="33"/>
        <v>Elementary occupations</v>
      </c>
      <c r="J60" s="11">
        <v>123.65188225837998</v>
      </c>
      <c r="K60" s="11">
        <v>194.566937544609</v>
      </c>
      <c r="L60" s="11">
        <v>70.91505528622902</v>
      </c>
      <c r="M60" s="11">
        <v>102.33452405227538</v>
      </c>
      <c r="N60" s="11">
        <v>173.24957933850442</v>
      </c>
      <c r="P60" s="10" t="str">
        <f>name!D28</f>
        <v>91 Elementary trades and related occupations</v>
      </c>
      <c r="Q60" s="11">
        <v>80.255431744973919</v>
      </c>
      <c r="R60" s="11">
        <v>337.87626184001806</v>
      </c>
      <c r="S60" s="313">
        <f t="shared" si="24"/>
        <v>257.62083009504414</v>
      </c>
      <c r="T60" s="313">
        <v>183.26340514128734</v>
      </c>
      <c r="U60" s="313">
        <f t="shared" si="25"/>
        <v>440.88423523633151</v>
      </c>
      <c r="V60" s="314">
        <f t="shared" si="26"/>
        <v>8.2486482851174436E-2</v>
      </c>
      <c r="W60" s="314"/>
      <c r="X60" s="10" t="str">
        <f>name!A57</f>
        <v>Scientific research and development</v>
      </c>
      <c r="Y60" s="10">
        <v>149.94500000022938</v>
      </c>
      <c r="Z60" s="10">
        <v>188.54399999978017</v>
      </c>
      <c r="AA60" s="313">
        <f t="shared" si="8"/>
        <v>38.598999999550784</v>
      </c>
      <c r="AB60" s="10">
        <v>76.935537022660867</v>
      </c>
      <c r="AC60" s="313">
        <f t="shared" si="9"/>
        <v>115.53453702221165</v>
      </c>
      <c r="AD60" s="314">
        <f t="shared" si="10"/>
        <v>2.7995034404981523E-2</v>
      </c>
    </row>
    <row r="61" spans="1:30">
      <c r="A61" t="str">
        <f t="shared" si="20"/>
        <v>92 Elementary administration and service occupations</v>
      </c>
      <c r="B61" s="11">
        <v>2.30950263801767</v>
      </c>
      <c r="C61" s="11">
        <v>4.4178945237657556</v>
      </c>
      <c r="D61" s="11">
        <f t="shared" ref="D61" si="36">C61-B61</f>
        <v>2.1083918857480857</v>
      </c>
      <c r="E61" s="11">
        <v>1.9264980007880959</v>
      </c>
      <c r="F61" s="11">
        <f t="shared" ref="F61" si="37">SUM(D61:E61)</f>
        <v>4.0348898865361811</v>
      </c>
      <c r="G61" s="177">
        <f t="shared" ref="G61" si="38">IF(B61&gt;0,(1+(E61/B61))^(1/($C$6-$B$6))-1,0)</f>
        <v>4.1267956019970464E-2</v>
      </c>
      <c r="P61" s="10" t="str">
        <f>name!D29</f>
        <v>92 Elementary administration and service occupations</v>
      </c>
      <c r="Q61" s="11">
        <v>1326.5895282136114</v>
      </c>
      <c r="R61" s="11">
        <v>1033.9455603766266</v>
      </c>
      <c r="S61" s="313">
        <f t="shared" ref="S61" si="39">R61-Q61</f>
        <v>-292.64396783698476</v>
      </c>
      <c r="T61" s="313">
        <v>645.09141875409216</v>
      </c>
      <c r="U61" s="313">
        <f t="shared" ref="U61" si="40">SUM(S61:T61)</f>
        <v>352.4474509171074</v>
      </c>
      <c r="V61" s="314">
        <f t="shared" ref="V61" si="41">IF(Q61&gt;0,(1+(T61/Q61))^(1/($C$6-$B$6))-1,0)</f>
        <v>2.6770395516590995E-2</v>
      </c>
      <c r="W61" s="11"/>
      <c r="X61" s="10" t="str">
        <f>name!A58</f>
        <v>Advertising, etc</v>
      </c>
      <c r="Y61" s="10">
        <v>221.03499999980369</v>
      </c>
      <c r="Z61" s="10">
        <v>276.39800000606107</v>
      </c>
      <c r="AA61" s="313">
        <f t="shared" si="8"/>
        <v>55.36300000625738</v>
      </c>
      <c r="AB61" s="10">
        <v>130.18932029750817</v>
      </c>
      <c r="AC61" s="313">
        <f t="shared" si="9"/>
        <v>185.55232030376555</v>
      </c>
      <c r="AD61" s="314">
        <f t="shared" si="10"/>
        <v>3.135513569204984E-2</v>
      </c>
    </row>
    <row r="62" spans="1:30" ht="12.95">
      <c r="A62" t="str">
        <f t="shared" si="20"/>
        <v>All occupations</v>
      </c>
      <c r="B62" s="11">
        <f>SUM(B36:B61)</f>
        <v>522.64446579351466</v>
      </c>
      <c r="C62" s="11">
        <f t="shared" ref="C62:F62" si="42">SUM(C36:C61)</f>
        <v>934.16527841035531</v>
      </c>
      <c r="D62" s="11">
        <f t="shared" si="42"/>
        <v>411.52081261684077</v>
      </c>
      <c r="E62" s="11">
        <f t="shared" si="42"/>
        <v>359.00799999166259</v>
      </c>
      <c r="F62" s="11">
        <f t="shared" si="42"/>
        <v>770.52881260850347</v>
      </c>
      <c r="G62" s="177">
        <f t="shared" si="23"/>
        <v>3.5474491507063499E-2</v>
      </c>
      <c r="I62" s="68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14380.164999994944</v>
      </c>
      <c r="R62" s="11">
        <f>SUM(R36:R61)</f>
        <v>15586.584000010662</v>
      </c>
      <c r="S62" s="313">
        <f>R62-Q62</f>
        <v>1206.4190000157178</v>
      </c>
      <c r="T62" s="11">
        <f>SUM(T36:T61)</f>
        <v>8554.1022744545808</v>
      </c>
      <c r="U62" s="313">
        <f>SUM(S62:T62)</f>
        <v>9760.5212744702985</v>
      </c>
      <c r="V62" s="314">
        <f>IF(Q62&gt;0,(1+(T62/Q62))^(1/($C$6-$B$6))-1,0)</f>
        <v>3.1608075929145274E-2</v>
      </c>
      <c r="X62" s="10" t="str">
        <f>name!A59</f>
        <v>Other professional</v>
      </c>
      <c r="Y62" s="10">
        <v>233.53799999950687</v>
      </c>
      <c r="Z62" s="10">
        <v>292.00500000462046</v>
      </c>
      <c r="AA62" s="313">
        <f t="shared" si="8"/>
        <v>58.46700000511359</v>
      </c>
      <c r="AB62" s="10">
        <v>130.90747715810562</v>
      </c>
      <c r="AC62" s="313">
        <f t="shared" si="9"/>
        <v>189.37447716321921</v>
      </c>
      <c r="AD62" s="314">
        <f t="shared" si="10"/>
        <v>3.0113314425499471E-2</v>
      </c>
    </row>
    <row r="63" spans="1:30">
      <c r="I63" s="11" t="str">
        <f>I52</f>
        <v>Managers, directors and senior officials</v>
      </c>
      <c r="J63" s="11">
        <f t="array" ref="J63:J71">MMULT(aggregation!$B$38:$AA$46,B152:B177)</f>
        <v>261.45955953872328</v>
      </c>
      <c r="K63" s="11">
        <f t="array" ref="K63:K71">MMULT(aggregation!$B$38:$AA$46,C152:C177)</f>
        <v>264.93611574314195</v>
      </c>
      <c r="L63" s="11">
        <f t="array" ref="L63:L71">MMULT(aggregation!$B$38:$AA$46,D152:D177)</f>
        <v>3.4765562044186424</v>
      </c>
      <c r="M63" s="11">
        <f t="array" ref="M63:M71">MMULT(aggregation!$B$38:$AA$46,E152:E177)</f>
        <v>142.04437928169045</v>
      </c>
      <c r="N63" s="11">
        <f t="array" ref="N63:N71">MMULT(aggregation!$B$38:$AA$46,F152:F177)</f>
        <v>145.5209354861091</v>
      </c>
      <c r="P63" s="21"/>
      <c r="Q63" s="26"/>
      <c r="R63" s="26"/>
      <c r="S63" s="26"/>
      <c r="T63" s="26"/>
      <c r="U63" s="26"/>
      <c r="V63" s="26"/>
      <c r="X63" s="10" t="str">
        <f>name!A60</f>
        <v>Veterinary</v>
      </c>
      <c r="Y63" s="10">
        <v>99.135000000826551</v>
      </c>
      <c r="Z63" s="10">
        <v>128.9999999990504</v>
      </c>
      <c r="AA63" s="313">
        <f t="shared" si="8"/>
        <v>29.864999998223851</v>
      </c>
      <c r="AB63" s="10">
        <v>62.555358079976635</v>
      </c>
      <c r="AC63" s="313">
        <f t="shared" si="9"/>
        <v>92.420358078200479</v>
      </c>
      <c r="AD63" s="314">
        <f t="shared" si="10"/>
        <v>3.3151016816497236E-2</v>
      </c>
    </row>
    <row r="64" spans="1:30" ht="25.5">
      <c r="A64" s="178" t="str">
        <f>CONCATENATE(name!F5," (Constrained)")</f>
        <v>RQF7 Other higher degree (Constrained)</v>
      </c>
      <c r="B64" s="59">
        <f t="shared" ref="B64:G64" si="43">B6</f>
        <v>2020</v>
      </c>
      <c r="C64" s="59">
        <f t="shared" si="43"/>
        <v>2035</v>
      </c>
      <c r="D64" s="69" t="str">
        <f t="shared" si="43"/>
        <v>Net Change</v>
      </c>
      <c r="E64" s="69" t="str">
        <f t="shared" si="43"/>
        <v>Replacement Demand level</v>
      </c>
      <c r="F64" s="69" t="str">
        <f t="shared" si="43"/>
        <v>Total Requirement</v>
      </c>
      <c r="G64" s="69" t="str">
        <f t="shared" si="43"/>
        <v>Replacement Demand rate</v>
      </c>
      <c r="I64" s="11" t="str">
        <f>I53</f>
        <v>Professional occupations</v>
      </c>
      <c r="J64" s="11">
        <v>350.04555206037844</v>
      </c>
      <c r="K64" s="11">
        <v>374.22194994042627</v>
      </c>
      <c r="L64" s="11">
        <v>24.176397880047841</v>
      </c>
      <c r="M64" s="11">
        <v>159.54286349075164</v>
      </c>
      <c r="N64" s="11">
        <v>183.71926137079947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136.22300000004097</v>
      </c>
      <c r="Z64" s="10">
        <v>155.06200000113517</v>
      </c>
      <c r="AA64" s="313">
        <f t="shared" si="8"/>
        <v>18.839000001094206</v>
      </c>
      <c r="AB64" s="10">
        <v>65.494332783799678</v>
      </c>
      <c r="AC64" s="313">
        <f t="shared" si="9"/>
        <v>84.333332784893884</v>
      </c>
      <c r="AD64" s="314">
        <f t="shared" si="10"/>
        <v>2.6517092313814494E-2</v>
      </c>
    </row>
    <row r="65" spans="1:30">
      <c r="A65" t="str">
        <f t="shared" ref="A65:A91" si="44">A7</f>
        <v>11 Corporate managers and directors</v>
      </c>
      <c r="B65" s="11">
        <v>335.36050589760538</v>
      </c>
      <c r="C65" s="11">
        <v>546.11811158853743</v>
      </c>
      <c r="D65" s="11">
        <f>C65-B65</f>
        <v>210.75760569093205</v>
      </c>
      <c r="E65" s="11">
        <v>233.01772535232138</v>
      </c>
      <c r="F65" s="11">
        <f>SUM(D65:E65)</f>
        <v>443.77533104325346</v>
      </c>
      <c r="G65" s="177">
        <f>IF(B65&gt;0,(1+(E65/B65))^(1/($C$6-$B$6))-1,0)</f>
        <v>3.5797920244725168E-2</v>
      </c>
      <c r="I65" s="11" t="str">
        <f>I54</f>
        <v>Associate professional occupations</v>
      </c>
      <c r="J65" s="11">
        <v>278.16414030513658</v>
      </c>
      <c r="K65" s="11">
        <v>290.50203554281978</v>
      </c>
      <c r="L65" s="11">
        <v>12.337895237683203</v>
      </c>
      <c r="M65" s="11">
        <v>131.79992413713342</v>
      </c>
      <c r="N65" s="11">
        <v>144.13781937481662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874.54700000014918</v>
      </c>
      <c r="Z65" s="10">
        <v>993.61200000600911</v>
      </c>
      <c r="AA65" s="313">
        <f t="shared" si="8"/>
        <v>119.06500000585993</v>
      </c>
      <c r="AB65" s="10">
        <v>435.62777757744379</v>
      </c>
      <c r="AC65" s="313">
        <f t="shared" si="9"/>
        <v>554.69277758330372</v>
      </c>
      <c r="AD65" s="314">
        <f t="shared" si="10"/>
        <v>2.7313681582170846E-2</v>
      </c>
    </row>
    <row r="66" spans="1:30">
      <c r="A66" t="str">
        <f t="shared" si="44"/>
        <v>12 Other managers and proprietors</v>
      </c>
      <c r="B66" s="11">
        <v>122.68017187968124</v>
      </c>
      <c r="C66" s="11">
        <v>245.9810368476289</v>
      </c>
      <c r="D66" s="11">
        <f t="shared" ref="D66:D89" si="45">C66-B66</f>
        <v>123.30086496794766</v>
      </c>
      <c r="E66" s="11">
        <v>110.29865500812986</v>
      </c>
      <c r="F66" s="11">
        <f t="shared" ref="F66:F89" si="46">SUM(D66:E66)</f>
        <v>233.59951997607752</v>
      </c>
      <c r="G66" s="177">
        <f t="shared" ref="G66:G91" si="47">IF(B66&gt;0,(1+(E66/B66))^(1/($C$6-$B$6))-1,0)</f>
        <v>4.3685072397313451E-2</v>
      </c>
      <c r="I66" s="11" t="str">
        <f>I55</f>
        <v>Administrative and secretarial occupations</v>
      </c>
      <c r="J66" s="11">
        <v>216.02251513053585</v>
      </c>
      <c r="K66" s="11">
        <v>259.85811623856904</v>
      </c>
      <c r="L66" s="11">
        <v>43.835601108033217</v>
      </c>
      <c r="M66" s="11">
        <v>135.36843327236971</v>
      </c>
      <c r="N66" s="11">
        <v>179.20403438040293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85.320999999583265</v>
      </c>
      <c r="Z66" s="10">
        <v>96.632000000759575</v>
      </c>
      <c r="AA66" s="313">
        <f t="shared" si="8"/>
        <v>11.311000001176311</v>
      </c>
      <c r="AB66" s="10">
        <v>42.289206495966198</v>
      </c>
      <c r="AC66" s="313">
        <f t="shared" si="9"/>
        <v>53.600206497142509</v>
      </c>
      <c r="AD66" s="314">
        <f t="shared" si="10"/>
        <v>2.7200680178312897E-2</v>
      </c>
    </row>
    <row r="67" spans="1:30">
      <c r="A67" t="str">
        <f t="shared" si="44"/>
        <v>21 Science, research, engineering and technology professionals</v>
      </c>
      <c r="B67" s="11">
        <v>422.30118316489035</v>
      </c>
      <c r="C67" s="11">
        <v>924.79904846332181</v>
      </c>
      <c r="D67" s="11">
        <f t="shared" si="45"/>
        <v>502.49786529843146</v>
      </c>
      <c r="E67" s="11">
        <v>288.0248616978231</v>
      </c>
      <c r="F67" s="11">
        <f t="shared" si="46"/>
        <v>790.52272699625451</v>
      </c>
      <c r="G67" s="177">
        <f t="shared" si="47"/>
        <v>3.5274926872763235E-2</v>
      </c>
      <c r="I67" s="11" t="str">
        <f t="shared" ref="I67:I71" si="48">I56</f>
        <v>Skilled trades occupations</v>
      </c>
      <c r="J67" s="11">
        <v>154.62909982620602</v>
      </c>
      <c r="K67" s="11">
        <v>209.89046435965105</v>
      </c>
      <c r="L67" s="11">
        <v>55.261364533445018</v>
      </c>
      <c r="M67" s="11">
        <v>96.307416789577857</v>
      </c>
      <c r="N67" s="11">
        <v>151.56878132302288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185.77800000027614</v>
      </c>
      <c r="Z67" s="10">
        <v>210.54900000117351</v>
      </c>
      <c r="AA67" s="313">
        <f t="shared" si="8"/>
        <v>24.771000000897374</v>
      </c>
      <c r="AB67" s="10">
        <v>88.82681993440697</v>
      </c>
      <c r="AC67" s="313">
        <f t="shared" si="9"/>
        <v>113.59781993530434</v>
      </c>
      <c r="AD67" s="314">
        <f t="shared" si="10"/>
        <v>2.6394362922346204E-2</v>
      </c>
    </row>
    <row r="68" spans="1:30">
      <c r="A68" t="str">
        <f t="shared" si="44"/>
        <v>22 Health professionals</v>
      </c>
      <c r="B68" s="11">
        <v>274.37597565940285</v>
      </c>
      <c r="C68" s="11">
        <v>419.68944786678975</v>
      </c>
      <c r="D68" s="11">
        <f t="shared" si="45"/>
        <v>145.31347220738689</v>
      </c>
      <c r="E68" s="11">
        <v>184.67909055227364</v>
      </c>
      <c r="F68" s="11">
        <f t="shared" si="46"/>
        <v>329.99256275966053</v>
      </c>
      <c r="G68" s="177">
        <f t="shared" si="47"/>
        <v>3.4906815024378979E-2</v>
      </c>
      <c r="I68" s="11" t="str">
        <f t="shared" si="48"/>
        <v>Caring, leisure and other service occupations</v>
      </c>
      <c r="J68" s="11">
        <v>181.66088536357637</v>
      </c>
      <c r="K68" s="11">
        <v>224.7873358918917</v>
      </c>
      <c r="L68" s="11">
        <v>43.126450528315338</v>
      </c>
      <c r="M68" s="11">
        <v>122.99363947596822</v>
      </c>
      <c r="N68" s="11">
        <v>166.12009000428355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727.07300000032342</v>
      </c>
      <c r="Z68" s="10">
        <v>818.17800000536431</v>
      </c>
      <c r="AA68" s="313">
        <f t="shared" si="8"/>
        <v>91.105000005040893</v>
      </c>
      <c r="AB68" s="10">
        <v>395.2646718855022</v>
      </c>
      <c r="AC68" s="313">
        <f t="shared" si="9"/>
        <v>486.36967189054309</v>
      </c>
      <c r="AD68" s="314">
        <f t="shared" si="10"/>
        <v>2.9365720689103814E-2</v>
      </c>
    </row>
    <row r="69" spans="1:30">
      <c r="A69" t="str">
        <f t="shared" si="44"/>
        <v>23 Teaching and other educational professionals</v>
      </c>
      <c r="B69" s="11">
        <v>770.98382563974656</v>
      </c>
      <c r="C69" s="11">
        <v>1005.7432800578637</v>
      </c>
      <c r="D69" s="11">
        <f t="shared" ref="D69" si="49">C69-B69</f>
        <v>234.75945441811712</v>
      </c>
      <c r="E69" s="11">
        <v>465.32051365421938</v>
      </c>
      <c r="F69" s="11">
        <f t="shared" ref="F69" si="50">SUM(D69:E69)</f>
        <v>700.07996807233644</v>
      </c>
      <c r="G69" s="177">
        <f t="shared" si="47"/>
        <v>3.1981729365040401E-2</v>
      </c>
      <c r="I69" s="11" t="str">
        <f t="shared" si="48"/>
        <v>Sales and customer service occupations</v>
      </c>
      <c r="J69" s="11">
        <v>103.81980419434773</v>
      </c>
      <c r="K69" s="11">
        <v>133.96266798423517</v>
      </c>
      <c r="L69" s="11">
        <v>30.142863789887443</v>
      </c>
      <c r="M69" s="11">
        <v>57.110225016988181</v>
      </c>
      <c r="N69" s="11">
        <v>87.253088806875624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474.29799999975427</v>
      </c>
      <c r="Z69" s="10">
        <v>538.42900000199336</v>
      </c>
      <c r="AA69" s="313">
        <f t="shared" si="8"/>
        <v>64.131000002239091</v>
      </c>
      <c r="AB69" s="10">
        <v>231.36311688817011</v>
      </c>
      <c r="AC69" s="313">
        <f t="shared" si="9"/>
        <v>295.4941168904092</v>
      </c>
      <c r="AD69" s="314">
        <f t="shared" si="10"/>
        <v>2.6840508161003251E-2</v>
      </c>
    </row>
    <row r="70" spans="1:30">
      <c r="A70" t="str">
        <f t="shared" si="44"/>
        <v>24 Business, media and public service professionals</v>
      </c>
      <c r="B70" s="11">
        <v>594.44816508087706</v>
      </c>
      <c r="C70" s="11">
        <v>1027.5233644973775</v>
      </c>
      <c r="D70" s="11">
        <f t="shared" si="45"/>
        <v>433.07519941650048</v>
      </c>
      <c r="E70" s="11">
        <v>408.2511548276409</v>
      </c>
      <c r="F70" s="11">
        <f t="shared" si="46"/>
        <v>841.32635424414138</v>
      </c>
      <c r="G70" s="177">
        <f t="shared" si="47"/>
        <v>3.546903300149773E-2</v>
      </c>
      <c r="I70" s="11" t="str">
        <f t="shared" si="48"/>
        <v>Process, plant and machine operatives</v>
      </c>
      <c r="J70" s="11">
        <v>68.771431031088554</v>
      </c>
      <c r="K70" s="11">
        <v>102.69787216604411</v>
      </c>
      <c r="L70" s="11">
        <v>33.926441134955567</v>
      </c>
      <c r="M70" s="11">
        <v>53.773540218673034</v>
      </c>
      <c r="N70" s="11">
        <v>87.699981353628601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1106.4329999966935</v>
      </c>
      <c r="Z70" s="10">
        <v>1158.0480000035327</v>
      </c>
      <c r="AA70" s="313">
        <f t="shared" si="8"/>
        <v>51.615000006839182</v>
      </c>
      <c r="AB70" s="10">
        <v>559.42950043057954</v>
      </c>
      <c r="AC70" s="313">
        <f t="shared" si="9"/>
        <v>611.04450043741872</v>
      </c>
      <c r="AD70" s="314">
        <f t="shared" si="10"/>
        <v>2.7655621135764363E-2</v>
      </c>
    </row>
    <row r="71" spans="1:30">
      <c r="A71" t="str">
        <f t="shared" si="44"/>
        <v>31 Science, engineering and technology associate professionals</v>
      </c>
      <c r="B71" s="11">
        <v>75.758779551247571</v>
      </c>
      <c r="C71" s="11">
        <v>123.85678316148051</v>
      </c>
      <c r="D71" s="11">
        <f t="shared" si="45"/>
        <v>48.098003610232936</v>
      </c>
      <c r="E71" s="11">
        <v>43.397030454878987</v>
      </c>
      <c r="F71" s="11">
        <f t="shared" si="46"/>
        <v>91.495034065111923</v>
      </c>
      <c r="G71" s="177">
        <f t="shared" si="47"/>
        <v>3.0652237041037145E-2</v>
      </c>
      <c r="I71" s="11" t="str">
        <f t="shared" si="48"/>
        <v>Elementary occupations</v>
      </c>
      <c r="J71" s="11">
        <v>113.84518264333687</v>
      </c>
      <c r="K71" s="11">
        <v>178.17082291959082</v>
      </c>
      <c r="L71" s="11">
        <v>64.325640276253935</v>
      </c>
      <c r="M71" s="11">
        <v>90.871165079451373</v>
      </c>
      <c r="N71" s="11">
        <v>155.19680535570529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2531.7800000136781</v>
      </c>
      <c r="Z71" s="10">
        <v>2633.2329998416349</v>
      </c>
      <c r="AA71" s="313">
        <f t="shared" si="8"/>
        <v>101.45299982795677</v>
      </c>
      <c r="AB71" s="10">
        <v>1359.1519663340796</v>
      </c>
      <c r="AC71" s="313">
        <f t="shared" si="9"/>
        <v>1460.6049661620364</v>
      </c>
      <c r="AD71" s="314">
        <f t="shared" si="10"/>
        <v>2.9062719016682559E-2</v>
      </c>
    </row>
    <row r="72" spans="1:30">
      <c r="A72" t="str">
        <f t="shared" si="44"/>
        <v>32 Health and social care associate professionals</v>
      </c>
      <c r="B72" s="11">
        <v>68.936374972984652</v>
      </c>
      <c r="C72" s="11">
        <v>228.47995203029899</v>
      </c>
      <c r="D72" s="11">
        <f t="shared" si="45"/>
        <v>159.54357705731434</v>
      </c>
      <c r="E72" s="11">
        <v>93.732807712935653</v>
      </c>
      <c r="F72" s="11">
        <f t="shared" si="46"/>
        <v>253.27638477024999</v>
      </c>
      <c r="G72" s="177">
        <f t="shared" si="47"/>
        <v>5.8905301941371668E-2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2213.0239999964506</v>
      </c>
      <c r="Z72" s="10">
        <v>2506.2629999599335</v>
      </c>
      <c r="AA72" s="313">
        <f t="shared" ref="AA72:AA80" si="51">Z72-Y72</f>
        <v>293.23899996348291</v>
      </c>
      <c r="AB72" s="10">
        <v>1308.6533845535509</v>
      </c>
      <c r="AC72" s="313">
        <f t="shared" ref="AC72:AC82" si="52">SUM(AA72:AB72)</f>
        <v>1601.8923845170339</v>
      </c>
      <c r="AD72" s="314">
        <f t="shared" ref="AD72:AD82" si="53">IF(Y72&gt;0,(1+(AB72/Y72))^(1/($C$6-$B$6))-1,0)</f>
        <v>3.1456450773041267E-2</v>
      </c>
    </row>
    <row r="73" spans="1:30" ht="12.95">
      <c r="A73" t="str">
        <f t="shared" si="44"/>
        <v>33 Protective service occupations</v>
      </c>
      <c r="B73" s="11">
        <v>22.910013296338676</v>
      </c>
      <c r="C73" s="11">
        <v>40.656526243341716</v>
      </c>
      <c r="D73" s="11">
        <f t="shared" si="45"/>
        <v>17.74651294700304</v>
      </c>
      <c r="E73" s="11">
        <v>9.9562254997430983</v>
      </c>
      <c r="F73" s="11">
        <f t="shared" si="46"/>
        <v>27.702738446746139</v>
      </c>
      <c r="G73" s="177">
        <f t="shared" si="47"/>
        <v>2.4349856676163739E-2</v>
      </c>
      <c r="I73" s="68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636.03399999914495</v>
      </c>
      <c r="Z73" s="10">
        <v>736.25499998788075</v>
      </c>
      <c r="AA73" s="313">
        <f t="shared" si="51"/>
        <v>100.2209999887358</v>
      </c>
      <c r="AB73" s="10">
        <v>384.19415721385923</v>
      </c>
      <c r="AC73" s="313">
        <f t="shared" si="52"/>
        <v>484.41515720259503</v>
      </c>
      <c r="AD73" s="314">
        <f t="shared" si="53"/>
        <v>3.2003408212259776E-2</v>
      </c>
    </row>
    <row r="74" spans="1:30">
      <c r="A74" t="str">
        <f t="shared" si="44"/>
        <v>34 Culture, media and sports occupations</v>
      </c>
      <c r="B74" s="11">
        <v>153.79273212253361</v>
      </c>
      <c r="C74" s="11">
        <v>245.9963602611904</v>
      </c>
      <c r="D74" s="11">
        <f t="shared" ref="D74:D75" si="54">C74-B74</f>
        <v>92.203628138656796</v>
      </c>
      <c r="E74" s="11">
        <v>100.39343729242107</v>
      </c>
      <c r="F74" s="11">
        <f t="shared" ref="F74:F75" si="55">SUM(D74:E74)</f>
        <v>192.59706543107785</v>
      </c>
      <c r="G74" s="177">
        <f t="shared" si="47"/>
        <v>3.4064765386096596E-2</v>
      </c>
      <c r="I74" s="11" t="str">
        <f>I63</f>
        <v>Managers, directors and senior officials</v>
      </c>
      <c r="J74" s="11">
        <f t="array" ref="J74:J82">MMULT(aggregation!$B$38:$AA$46,B181:B206)</f>
        <v>569.14187011434967</v>
      </c>
      <c r="K74" s="11">
        <f t="array" ref="K74:K82">MMULT(aggregation!$B$38:$AA$46,C181:C206)</f>
        <v>502.31863240412065</v>
      </c>
      <c r="L74" s="11">
        <f t="array" ref="L74:L82">MMULT(aggregation!$B$38:$AA$46,D181:D206)</f>
        <v>-66.823237710228995</v>
      </c>
      <c r="M74" s="11">
        <f t="array" ref="M74:M82">MMULT(aggregation!$B$38:$AA$46,E181:E206)</f>
        <v>226.35914473165309</v>
      </c>
      <c r="N74" s="11">
        <f t="array" ref="N74:N82">MMULT(aggregation!$B$38:$AA$46,F181:F206)</f>
        <v>159.53590702142409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798.98399999878279</v>
      </c>
      <c r="Z74" s="10">
        <v>897.51599998412223</v>
      </c>
      <c r="AA74" s="313">
        <f t="shared" si="51"/>
        <v>98.531999985339439</v>
      </c>
      <c r="AB74" s="10">
        <v>475.22610307752723</v>
      </c>
      <c r="AC74" s="313">
        <f t="shared" si="52"/>
        <v>573.75810306286667</v>
      </c>
      <c r="AD74" s="314">
        <f t="shared" si="53"/>
        <v>3.1605219407066176E-2</v>
      </c>
    </row>
    <row r="75" spans="1:30">
      <c r="A75" t="str">
        <f t="shared" si="44"/>
        <v>35 Business and public service associate professionals</v>
      </c>
      <c r="B75" s="11">
        <v>321.43781420020179</v>
      </c>
      <c r="C75" s="11">
        <v>584.9217363573166</v>
      </c>
      <c r="D75" s="11">
        <f t="shared" si="54"/>
        <v>263.48392215711482</v>
      </c>
      <c r="E75" s="11">
        <v>227.57036761329982</v>
      </c>
      <c r="F75" s="11">
        <f t="shared" si="55"/>
        <v>491.05428977041464</v>
      </c>
      <c r="G75" s="177">
        <f t="shared" si="47"/>
        <v>3.6331717163969435E-2</v>
      </c>
      <c r="I75" s="11" t="str">
        <f>I64</f>
        <v>Professional occupations</v>
      </c>
      <c r="J75" s="11">
        <v>695.01729467277335</v>
      </c>
      <c r="K75" s="11">
        <v>715.92692791350328</v>
      </c>
      <c r="L75" s="11">
        <v>20.909633240730017</v>
      </c>
      <c r="M75" s="11">
        <v>281.04866949802494</v>
      </c>
      <c r="N75" s="11">
        <v>301.95830273875498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183.77300000087902</v>
      </c>
      <c r="Z75" s="10">
        <v>182.60400000392488</v>
      </c>
      <c r="AA75" s="313">
        <f t="shared" si="51"/>
        <v>-1.1689999969541418</v>
      </c>
      <c r="AB75" s="10">
        <v>90.334611532169674</v>
      </c>
      <c r="AC75" s="313">
        <f t="shared" si="52"/>
        <v>89.165611535215533</v>
      </c>
      <c r="AD75" s="314">
        <f t="shared" si="53"/>
        <v>2.7013043501614042E-2</v>
      </c>
    </row>
    <row r="76" spans="1:30">
      <c r="A76" t="str">
        <f t="shared" si="44"/>
        <v>41 Administrative occupations</v>
      </c>
      <c r="B76" s="11">
        <v>188.58496658377874</v>
      </c>
      <c r="C76" s="11">
        <v>401.72096954440167</v>
      </c>
      <c r="D76" s="11">
        <f t="shared" si="45"/>
        <v>213.13600296062293</v>
      </c>
      <c r="E76" s="11">
        <v>164.74926114387148</v>
      </c>
      <c r="F76" s="11">
        <f t="shared" si="46"/>
        <v>377.88526410449441</v>
      </c>
      <c r="G76" s="177">
        <f t="shared" si="47"/>
        <v>4.2746104423816877E-2</v>
      </c>
      <c r="I76" s="11" t="str">
        <f>I65</f>
        <v>Associate professional occupations</v>
      </c>
      <c r="J76" s="11">
        <v>697.0652963168601</v>
      </c>
      <c r="K76" s="11">
        <v>685.45673666346215</v>
      </c>
      <c r="L76" s="11">
        <v>-11.60855965339799</v>
      </c>
      <c r="M76" s="11">
        <v>300.16310036326433</v>
      </c>
      <c r="N76" s="11">
        <v>288.55454070986639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167.18700000018524</v>
      </c>
      <c r="Z76" s="10">
        <v>165.28700000313452</v>
      </c>
      <c r="AA76" s="313">
        <f t="shared" si="51"/>
        <v>-1.8999999970507133</v>
      </c>
      <c r="AB76" s="10">
        <v>83.120880954028152</v>
      </c>
      <c r="AC76" s="313">
        <f t="shared" si="52"/>
        <v>81.220880956977439</v>
      </c>
      <c r="AD76" s="314">
        <f t="shared" si="53"/>
        <v>2.7270463422541358E-2</v>
      </c>
    </row>
    <row r="77" spans="1:30">
      <c r="A77" t="str">
        <f t="shared" si="44"/>
        <v>42 Secretarial and related occupations</v>
      </c>
      <c r="B77" s="11">
        <v>30.553989639016855</v>
      </c>
      <c r="C77" s="11">
        <v>58.412361857157293</v>
      </c>
      <c r="D77" s="11">
        <f t="shared" si="45"/>
        <v>27.858372218140438</v>
      </c>
      <c r="E77" s="11">
        <v>28.152710367546426</v>
      </c>
      <c r="F77" s="11">
        <f t="shared" si="46"/>
        <v>56.011082585686864</v>
      </c>
      <c r="G77" s="177">
        <f t="shared" si="47"/>
        <v>4.4498889980429501E-2</v>
      </c>
      <c r="I77" s="11" t="str">
        <f>I66</f>
        <v>Administrative and secretarial occupations</v>
      </c>
      <c r="J77" s="11">
        <v>649.30658792156873</v>
      </c>
      <c r="K77" s="11">
        <v>504.63515630402276</v>
      </c>
      <c r="L77" s="11">
        <v>-144.67143161754592</v>
      </c>
      <c r="M77" s="11">
        <v>282.066368156598</v>
      </c>
      <c r="N77" s="11">
        <v>137.39493653905208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84.679000000172564</v>
      </c>
      <c r="Z77" s="10">
        <v>101.03000000124182</v>
      </c>
      <c r="AA77" s="313">
        <f t="shared" si="51"/>
        <v>16.351000001069252</v>
      </c>
      <c r="AB77" s="10">
        <v>43.308129363231387</v>
      </c>
      <c r="AC77" s="313">
        <f t="shared" si="52"/>
        <v>59.65912936430064</v>
      </c>
      <c r="AD77" s="314">
        <f t="shared" si="53"/>
        <v>2.7920131922175129E-2</v>
      </c>
    </row>
    <row r="78" spans="1:30">
      <c r="A78" t="str">
        <f t="shared" si="44"/>
        <v>51 Skilled agricultural and related trades</v>
      </c>
      <c r="B78" s="11">
        <v>4.8039475386104611</v>
      </c>
      <c r="C78" s="11">
        <v>9.2532647366119054</v>
      </c>
      <c r="D78" s="11">
        <f t="shared" si="45"/>
        <v>4.4493171980014443</v>
      </c>
      <c r="E78" s="11">
        <v>4.2670191180787516</v>
      </c>
      <c r="F78" s="11">
        <f t="shared" si="46"/>
        <v>8.716336316080195</v>
      </c>
      <c r="G78" s="177">
        <f t="shared" si="47"/>
        <v>4.3286740063490203E-2</v>
      </c>
      <c r="I78" s="11" t="str">
        <f t="shared" ref="I78:I82" si="56">I67</f>
        <v>Skilled trades occupations</v>
      </c>
      <c r="J78" s="11">
        <v>823.53378436886135</v>
      </c>
      <c r="K78" s="11">
        <v>765.61213483933102</v>
      </c>
      <c r="L78" s="11">
        <v>-57.921649529530356</v>
      </c>
      <c r="M78" s="11">
        <v>301.78676366320138</v>
      </c>
      <c r="N78" s="11">
        <v>243.865114133671</v>
      </c>
      <c r="O78" s="55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429.09900000098276</v>
      </c>
      <c r="Z78" s="10">
        <v>508.65400000748815</v>
      </c>
      <c r="AA78" s="313">
        <f t="shared" si="51"/>
        <v>79.555000006505395</v>
      </c>
      <c r="AB78" s="10">
        <v>232.45472481393813</v>
      </c>
      <c r="AC78" s="313">
        <f t="shared" si="52"/>
        <v>312.00972482044352</v>
      </c>
      <c r="AD78" s="314">
        <f t="shared" si="53"/>
        <v>2.9280727712353682E-2</v>
      </c>
    </row>
    <row r="79" spans="1:30">
      <c r="A79" t="str">
        <f t="shared" si="44"/>
        <v>52 Skilled metal, electrical and electronic trades</v>
      </c>
      <c r="B79" s="11">
        <v>20.874141677859804</v>
      </c>
      <c r="C79" s="11">
        <v>54.443725240305589</v>
      </c>
      <c r="D79" s="11">
        <f t="shared" si="45"/>
        <v>33.569583562445786</v>
      </c>
      <c r="E79" s="11">
        <v>18.796309650296219</v>
      </c>
      <c r="F79" s="11">
        <f t="shared" si="46"/>
        <v>52.365893212742009</v>
      </c>
      <c r="G79" s="177">
        <f t="shared" si="47"/>
        <v>4.3735770383193318E-2</v>
      </c>
      <c r="I79" s="11" t="str">
        <f t="shared" si="56"/>
        <v>Caring, leisure and other service occupations</v>
      </c>
      <c r="J79" s="11">
        <v>894.38266027672228</v>
      </c>
      <c r="K79" s="11">
        <v>1022.2643986215965</v>
      </c>
      <c r="L79" s="11">
        <v>127.88173834487408</v>
      </c>
      <c r="M79" s="11">
        <v>519.74941384149065</v>
      </c>
      <c r="N79" s="11">
        <v>647.63115218636472</v>
      </c>
      <c r="X79" s="10" t="str">
        <f>name!A76</f>
        <v>Membership organisations</v>
      </c>
      <c r="Y79" s="10">
        <v>341.49799999864223</v>
      </c>
      <c r="Z79" s="10">
        <v>341.47800000396688</v>
      </c>
      <c r="AA79" s="313">
        <f t="shared" si="51"/>
        <v>-1.9999994675345079E-2</v>
      </c>
      <c r="AB79" s="10">
        <v>177.18951925375251</v>
      </c>
      <c r="AC79" s="313">
        <f t="shared" si="52"/>
        <v>177.16951925907716</v>
      </c>
      <c r="AD79" s="314">
        <f t="shared" si="53"/>
        <v>2.8255818202913341E-2</v>
      </c>
    </row>
    <row r="80" spans="1:30" ht="12.95">
      <c r="A80" t="str">
        <f t="shared" si="44"/>
        <v>53 Skilled construction and building trades</v>
      </c>
      <c r="B80" s="11">
        <v>9.7719794130626738</v>
      </c>
      <c r="C80" s="11">
        <v>22.762642176277687</v>
      </c>
      <c r="D80" s="11">
        <f t="shared" ref="D80" si="57">C80-B80</f>
        <v>12.990662763215013</v>
      </c>
      <c r="E80" s="11">
        <v>8.5858325971117662</v>
      </c>
      <c r="F80" s="11">
        <f>SUM(D80:E80)</f>
        <v>21.576495360326781</v>
      </c>
      <c r="G80" s="177">
        <f t="shared" si="47"/>
        <v>4.2931756627890616E-2</v>
      </c>
      <c r="I80" s="11" t="str">
        <f t="shared" si="56"/>
        <v>Sales and customer service occupations</v>
      </c>
      <c r="J80" s="11">
        <v>621.05389327895875</v>
      </c>
      <c r="K80" s="11">
        <v>658.99853895158117</v>
      </c>
      <c r="L80" s="11">
        <v>37.944645672622414</v>
      </c>
      <c r="M80" s="11">
        <v>288.49682695330608</v>
      </c>
      <c r="N80" s="11">
        <v>326.4414726259285</v>
      </c>
      <c r="P80" s="66"/>
      <c r="Q80" s="58"/>
      <c r="R80" s="58"/>
      <c r="S80" s="56"/>
      <c r="T80" s="56"/>
      <c r="U80" s="56"/>
      <c r="X80" s="10" t="str">
        <f>name!A77</f>
        <v>Repair of goods</v>
      </c>
      <c r="Y80" s="10">
        <v>74.547999999771761</v>
      </c>
      <c r="Z80" s="10">
        <v>78.33300000072397</v>
      </c>
      <c r="AA80" s="313">
        <f t="shared" si="51"/>
        <v>3.7850000009522091</v>
      </c>
      <c r="AB80" s="10">
        <v>34.865171101007718</v>
      </c>
      <c r="AC80" s="313">
        <f t="shared" si="52"/>
        <v>38.650171101959927</v>
      </c>
      <c r="AD80" s="314">
        <f t="shared" si="53"/>
        <v>2.590915940104388E-2</v>
      </c>
    </row>
    <row r="81" spans="1:30">
      <c r="A81" t="str">
        <f t="shared" si="44"/>
        <v>54 Textiles, printing and other skilled trades</v>
      </c>
      <c r="B81" s="11">
        <v>22.095524897325006</v>
      </c>
      <c r="C81" s="11">
        <v>59.106520853762987</v>
      </c>
      <c r="D81" s="11">
        <f t="shared" si="45"/>
        <v>37.010995956437981</v>
      </c>
      <c r="E81" s="11">
        <v>21.688866690516161</v>
      </c>
      <c r="F81" s="11">
        <f t="shared" si="46"/>
        <v>58.699862646954145</v>
      </c>
      <c r="G81" s="177">
        <f t="shared" si="47"/>
        <v>4.6648847943840943E-2</v>
      </c>
      <c r="I81" s="11" t="str">
        <f t="shared" si="56"/>
        <v>Process, plant and machine operatives</v>
      </c>
      <c r="J81" s="11">
        <v>365.62699456915379</v>
      </c>
      <c r="K81" s="11">
        <v>435.41717725009971</v>
      </c>
      <c r="L81" s="11">
        <v>69.790182680945918</v>
      </c>
      <c r="M81" s="11">
        <v>184.27421680061553</v>
      </c>
      <c r="N81" s="11">
        <v>254.06439948156145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440.26199999921471</v>
      </c>
      <c r="Z81" s="10">
        <v>436.27300000431035</v>
      </c>
      <c r="AA81" s="313">
        <f>Z81-Y81</f>
        <v>-3.9889999949043613</v>
      </c>
      <c r="AB81" s="10">
        <v>220.41760359477803</v>
      </c>
      <c r="AC81" s="313">
        <f t="shared" si="52"/>
        <v>216.42860359987367</v>
      </c>
      <c r="AD81" s="314">
        <f t="shared" si="53"/>
        <v>2.7429378419397521E-2</v>
      </c>
    </row>
    <row r="82" spans="1:30">
      <c r="A82" t="str">
        <f t="shared" si="44"/>
        <v>61 Caring personal service occupations</v>
      </c>
      <c r="B82" s="11">
        <v>95.2218064633756</v>
      </c>
      <c r="C82" s="11">
        <v>223.08761873148075</v>
      </c>
      <c r="D82" s="11">
        <f t="shared" si="45"/>
        <v>127.86581226810515</v>
      </c>
      <c r="E82" s="11">
        <v>95.76759455525135</v>
      </c>
      <c r="F82" s="11">
        <f t="shared" si="46"/>
        <v>223.63340682335649</v>
      </c>
      <c r="G82" s="177">
        <f t="shared" si="47"/>
        <v>4.7493950159505083E-2</v>
      </c>
      <c r="I82" s="11" t="str">
        <f t="shared" si="56"/>
        <v>Elementary occupations</v>
      </c>
      <c r="J82" s="11">
        <v>527.66652838102186</v>
      </c>
      <c r="K82" s="11">
        <v>530.24673434905264</v>
      </c>
      <c r="L82" s="11">
        <v>2.5802059680307536</v>
      </c>
      <c r="M82" s="11">
        <v>254.49974189678727</v>
      </c>
      <c r="N82" s="11">
        <v>257.079947864818</v>
      </c>
      <c r="P82" s="11"/>
      <c r="Q82" s="11"/>
      <c r="R82" s="11"/>
      <c r="S82" s="11"/>
      <c r="T82" s="11"/>
      <c r="U82" s="11"/>
      <c r="X82" s="208" t="str">
        <f>name!A3</f>
        <v>All industries</v>
      </c>
      <c r="Y82" s="324">
        <f>SUM(Y7:Y81)</f>
        <v>29859.680999995198</v>
      </c>
      <c r="Z82" s="324">
        <f>SUM(Z7:Z81)</f>
        <v>32070.091000012544</v>
      </c>
      <c r="AA82" s="325">
        <f>Z82-Y82</f>
        <v>2210.4100000173457</v>
      </c>
      <c r="AB82" s="324">
        <f>SUM(AB7:AB81)</f>
        <v>15060.496664983222</v>
      </c>
      <c r="AC82" s="325">
        <f t="shared" si="52"/>
        <v>17270.90666500057</v>
      </c>
      <c r="AD82" s="317">
        <f t="shared" si="53"/>
        <v>2.7599190411477625E-2</v>
      </c>
    </row>
    <row r="83" spans="1:30">
      <c r="A83" t="str">
        <f t="shared" si="44"/>
        <v>62 Leisure, travel and related personal service occupations</v>
      </c>
      <c r="B83" s="11">
        <v>16.691699360707265</v>
      </c>
      <c r="C83" s="11">
        <v>32.470393085593336</v>
      </c>
      <c r="D83" s="11">
        <f t="shared" ref="D83:D84" si="58">C83-B83</f>
        <v>15.778693724886072</v>
      </c>
      <c r="E83" s="11">
        <v>13.4850708330875</v>
      </c>
      <c r="F83" s="11">
        <f t="shared" ref="F83:F84" si="59">SUM(D83:E83)</f>
        <v>29.263764557973573</v>
      </c>
      <c r="G83" s="177">
        <f t="shared" si="47"/>
        <v>4.0266980119544993E-2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ht="12.95">
      <c r="A84" t="str">
        <f t="shared" si="44"/>
        <v>63 Community and civil enforcement occupations</v>
      </c>
      <c r="B84" s="11">
        <v>1.5143361664363337</v>
      </c>
      <c r="C84" s="11">
        <v>2.4686918573373382</v>
      </c>
      <c r="D84" s="11">
        <f t="shared" si="58"/>
        <v>0.95435569090100447</v>
      </c>
      <c r="E84" s="11">
        <v>0.98918266711452574</v>
      </c>
      <c r="F84" s="11">
        <f t="shared" si="59"/>
        <v>1.9435383580155303</v>
      </c>
      <c r="G84" s="177">
        <f t="shared" si="47"/>
        <v>3.4082617514554991E-2</v>
      </c>
      <c r="I84" s="68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>
      <c r="A85" t="str">
        <f t="shared" si="44"/>
        <v>71 Sales occupations</v>
      </c>
      <c r="B85" s="11">
        <v>74.229667802676488</v>
      </c>
      <c r="C85" s="11">
        <v>178.68615531399658</v>
      </c>
      <c r="D85" s="11">
        <f t="shared" si="45"/>
        <v>104.45648751132009</v>
      </c>
      <c r="E85" s="11">
        <v>60.896832487393908</v>
      </c>
      <c r="F85" s="11">
        <f t="shared" si="46"/>
        <v>165.353319998714</v>
      </c>
      <c r="G85" s="177">
        <f t="shared" si="47"/>
        <v>4.0744682933317344E-2</v>
      </c>
      <c r="I85" s="11" t="str">
        <f>I74</f>
        <v>Managers, directors and senior officials</v>
      </c>
      <c r="J85" s="11">
        <f t="array" ref="J85:J93">MMULT(aggregation!$B$38:$AA$46,B210:B235)</f>
        <v>460.26210454796382</v>
      </c>
      <c r="K85" s="11">
        <f t="array" ref="K85:K93">MMULT(aggregation!$B$38:$AA$46,C210:C235)</f>
        <v>324.77781132106406</v>
      </c>
      <c r="L85" s="11">
        <f t="array" ref="L85:L93">MMULT(aggregation!$B$38:$AA$46,D210:D235)</f>
        <v>-135.48429322689972</v>
      </c>
      <c r="M85" s="11">
        <f t="array" ref="M85:M93">MMULT(aggregation!$B$38:$AA$46,E210:E235)</f>
        <v>184.24402933841156</v>
      </c>
      <c r="N85" s="11">
        <f t="array" ref="N85:N93">MMULT(aggregation!$B$38:$AA$46,F210:F235)</f>
        <v>48.759736111511856</v>
      </c>
      <c r="P85" s="11"/>
      <c r="Q85" s="11"/>
      <c r="R85" s="11"/>
      <c r="S85" s="11"/>
      <c r="T85" s="11"/>
      <c r="U85" s="11"/>
    </row>
    <row r="86" spans="1:30">
      <c r="A86" t="str">
        <f t="shared" si="44"/>
        <v>72 Customer service occupations</v>
      </c>
      <c r="B86" s="11">
        <v>25.04968651436285</v>
      </c>
      <c r="C86" s="11">
        <v>56.923184798351194</v>
      </c>
      <c r="D86" s="11">
        <f t="shared" si="45"/>
        <v>31.873498283988344</v>
      </c>
      <c r="E86" s="11">
        <v>20.885714006228724</v>
      </c>
      <c r="F86" s="11">
        <f t="shared" si="46"/>
        <v>52.759212290217064</v>
      </c>
      <c r="G86" s="177">
        <f t="shared" si="47"/>
        <v>4.125319611733258E-2</v>
      </c>
      <c r="I86" s="11" t="str">
        <f>I75</f>
        <v>Professional occupations</v>
      </c>
      <c r="J86" s="11">
        <v>471.27371738961415</v>
      </c>
      <c r="K86" s="11">
        <v>386.00945427656211</v>
      </c>
      <c r="L86" s="11">
        <v>-85.26426311305201</v>
      </c>
      <c r="M86" s="11">
        <v>172.52472177396078</v>
      </c>
      <c r="N86" s="11">
        <v>87.260458660908753</v>
      </c>
      <c r="P86" s="11"/>
      <c r="Q86" s="11"/>
      <c r="R86" s="11"/>
      <c r="S86" s="11"/>
      <c r="T86" s="11"/>
      <c r="U86" s="11"/>
    </row>
    <row r="87" spans="1:30">
      <c r="A87" t="str">
        <f t="shared" si="44"/>
        <v>81 Process, plant and machine operatives</v>
      </c>
      <c r="B87" s="11">
        <v>9.6107248223589199</v>
      </c>
      <c r="C87" s="11">
        <v>29.2736032624545</v>
      </c>
      <c r="D87" s="11">
        <f t="shared" ref="D87:D88" si="60">C87-B87</f>
        <v>19.662878440095582</v>
      </c>
      <c r="E87" s="11">
        <v>10.059800452040236</v>
      </c>
      <c r="F87" s="11">
        <f t="shared" ref="F87:F88" si="61">SUM(D87:E87)</f>
        <v>29.722678892135818</v>
      </c>
      <c r="G87" s="177">
        <f t="shared" si="47"/>
        <v>4.8907814523197368E-2</v>
      </c>
      <c r="I87" s="11" t="str">
        <f>I76</f>
        <v>Associate professional occupations</v>
      </c>
      <c r="J87" s="11">
        <v>517.52416952080159</v>
      </c>
      <c r="K87" s="11">
        <v>395.17115570079642</v>
      </c>
      <c r="L87" s="11">
        <v>-122.3530138200052</v>
      </c>
      <c r="M87" s="11">
        <v>186.43980519818848</v>
      </c>
      <c r="N87" s="11">
        <v>64.086791378183264</v>
      </c>
      <c r="P87" s="11"/>
      <c r="Q87" s="11"/>
      <c r="R87" s="11"/>
      <c r="S87" s="11"/>
      <c r="T87" s="11"/>
      <c r="U87" s="11"/>
    </row>
    <row r="88" spans="1:30">
      <c r="A88" t="str">
        <f t="shared" si="44"/>
        <v>82 Transport and mobile machine drivers and operatives</v>
      </c>
      <c r="B88" s="11">
        <v>21.895143488719459</v>
      </c>
      <c r="C88" s="11">
        <v>55.491982633612338</v>
      </c>
      <c r="D88" s="11">
        <f t="shared" si="60"/>
        <v>33.596839144892883</v>
      </c>
      <c r="E88" s="11">
        <v>25.188516864075211</v>
      </c>
      <c r="F88" s="11">
        <f t="shared" si="61"/>
        <v>58.785356008968094</v>
      </c>
      <c r="G88" s="177">
        <f t="shared" si="47"/>
        <v>5.236927881538822E-2</v>
      </c>
      <c r="I88" s="11" t="str">
        <f>I77</f>
        <v>Administrative and secretarial occupations</v>
      </c>
      <c r="J88" s="11">
        <v>686.85325519121852</v>
      </c>
      <c r="K88" s="11">
        <v>386.9128395579927</v>
      </c>
      <c r="L88" s="11">
        <v>-299.94041563322588</v>
      </c>
      <c r="M88" s="11">
        <v>237.48188912543662</v>
      </c>
      <c r="N88" s="11">
        <v>-62.45852650778923</v>
      </c>
      <c r="P88" s="11"/>
      <c r="Q88" s="11"/>
      <c r="R88" s="11"/>
      <c r="S88" s="11"/>
      <c r="T88" s="11"/>
      <c r="U88" s="11"/>
    </row>
    <row r="89" spans="1:30">
      <c r="A89" t="str">
        <f t="shared" si="44"/>
        <v>91 Elementary trades and related occupations</v>
      </c>
      <c r="B89" s="11">
        <v>4.9548344625517693</v>
      </c>
      <c r="C89" s="11">
        <v>26.809555667452752</v>
      </c>
      <c r="D89" s="11">
        <f t="shared" si="45"/>
        <v>21.854721204900983</v>
      </c>
      <c r="E89" s="11">
        <v>9.7754945309103558</v>
      </c>
      <c r="F89" s="11">
        <f t="shared" si="46"/>
        <v>31.63021573581134</v>
      </c>
      <c r="G89" s="177">
        <f t="shared" si="47"/>
        <v>7.5339386800788777E-2</v>
      </c>
      <c r="I89" s="11" t="str">
        <f t="shared" ref="I89:I93" si="62">I78</f>
        <v>Skilled trades occupations</v>
      </c>
      <c r="J89" s="11">
        <v>654.74943141652773</v>
      </c>
      <c r="K89" s="11">
        <v>581.66916114788648</v>
      </c>
      <c r="L89" s="11">
        <v>-73.080270268641129</v>
      </c>
      <c r="M89" s="11">
        <v>262.93921246543681</v>
      </c>
      <c r="N89" s="11">
        <v>189.85894219679571</v>
      </c>
      <c r="P89" s="11"/>
      <c r="Q89" s="11"/>
      <c r="R89" s="11"/>
      <c r="S89" s="11"/>
      <c r="T89" s="11"/>
      <c r="U89" s="11"/>
    </row>
    <row r="90" spans="1:30">
      <c r="A90" t="str">
        <f t="shared" si="44"/>
        <v>92 Elementary administration and service occupations</v>
      </c>
      <c r="B90" s="11">
        <v>76.454924499570353</v>
      </c>
      <c r="C90" s="11">
        <v>184.83093434279652</v>
      </c>
      <c r="D90" s="11">
        <f t="shared" ref="D90" si="63">C90-B90</f>
        <v>108.37600984322617</v>
      </c>
      <c r="E90" s="11">
        <v>75.628775012341904</v>
      </c>
      <c r="F90" s="11">
        <f t="shared" ref="F90" si="64">SUM(D90:E90)</f>
        <v>184.00478485556806</v>
      </c>
      <c r="G90" s="177">
        <f t="shared" ref="G90" si="65">IF(B90&gt;0,(1+(E90/B90))^(1/($C$6-$B$6))-1,0)</f>
        <v>4.6915943283516004E-2</v>
      </c>
      <c r="I90" s="11" t="str">
        <f t="shared" si="62"/>
        <v>Caring, leisure and other service occupations</v>
      </c>
      <c r="J90" s="11">
        <v>646.47023593035522</v>
      </c>
      <c r="K90" s="11">
        <v>476.77787740078753</v>
      </c>
      <c r="L90" s="11">
        <v>-169.69235852956768</v>
      </c>
      <c r="M90" s="11">
        <v>273.7356452717263</v>
      </c>
      <c r="N90" s="11">
        <v>104.04328674215861</v>
      </c>
      <c r="P90" s="11"/>
      <c r="Q90" s="11"/>
      <c r="R90" s="11"/>
      <c r="S90" s="11"/>
      <c r="T90" s="11"/>
      <c r="U90" s="11"/>
    </row>
    <row r="91" spans="1:30">
      <c r="A91" t="str">
        <f t="shared" si="44"/>
        <v>All occupations</v>
      </c>
      <c r="B91" s="11">
        <f>SUM(B65:B90)</f>
        <v>3765.2929147959226</v>
      </c>
      <c r="C91" s="11">
        <f t="shared" ref="C91:F91" si="66">SUM(C65:C90)</f>
        <v>6789.5072514767389</v>
      </c>
      <c r="D91" s="11">
        <f t="shared" si="66"/>
        <v>3024.2143366808177</v>
      </c>
      <c r="E91" s="11">
        <f t="shared" si="66"/>
        <v>2723.5588506415515</v>
      </c>
      <c r="F91" s="11">
        <f t="shared" si="66"/>
        <v>5747.7731873223684</v>
      </c>
      <c r="G91" s="177">
        <f t="shared" si="47"/>
        <v>3.6950293982475291E-2</v>
      </c>
      <c r="I91" s="11" t="str">
        <f t="shared" si="62"/>
        <v>Sales and customer service occupations</v>
      </c>
      <c r="J91" s="11">
        <v>570.64368594195003</v>
      </c>
      <c r="K91" s="11">
        <v>464.47129582637729</v>
      </c>
      <c r="L91" s="11">
        <v>-106.17239011557275</v>
      </c>
      <c r="M91" s="11">
        <v>244.22496227405537</v>
      </c>
      <c r="N91" s="11">
        <v>138.0525721584826</v>
      </c>
      <c r="P91" s="11"/>
      <c r="Q91" s="11"/>
      <c r="R91" s="11"/>
      <c r="S91" s="11"/>
      <c r="T91" s="11"/>
      <c r="U91" s="11"/>
    </row>
    <row r="92" spans="1:30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493.93847025199102</v>
      </c>
      <c r="K92" s="11">
        <v>498.1726723481512</v>
      </c>
      <c r="L92" s="11">
        <v>4.2342020961601463</v>
      </c>
      <c r="M92" s="11">
        <v>251.78747992663131</v>
      </c>
      <c r="N92" s="11">
        <v>256.02168202279142</v>
      </c>
      <c r="P92" s="11"/>
      <c r="Q92" s="11"/>
      <c r="R92" s="11"/>
      <c r="S92" s="11"/>
      <c r="T92" s="11"/>
      <c r="U92" s="11"/>
    </row>
    <row r="93" spans="1:30" ht="25.5">
      <c r="A93" s="178" t="str">
        <f>CONCATENATE(name!F6," (Constrained)")</f>
        <v>RQF6 First degree (Constrained)</v>
      </c>
      <c r="B93" s="59">
        <f t="shared" ref="B93:G93" si="67">B6</f>
        <v>2020</v>
      </c>
      <c r="C93" s="59">
        <f t="shared" si="67"/>
        <v>2035</v>
      </c>
      <c r="D93" s="69" t="str">
        <f t="shared" si="67"/>
        <v>Net Change</v>
      </c>
      <c r="E93" s="69" t="str">
        <f t="shared" si="67"/>
        <v>Replacement Demand level</v>
      </c>
      <c r="F93" s="69" t="str">
        <f t="shared" si="67"/>
        <v>Total Requirement</v>
      </c>
      <c r="G93" s="69" t="str">
        <f t="shared" si="67"/>
        <v>Replacement Demand rate</v>
      </c>
      <c r="I93" s="11" t="str">
        <f t="shared" si="62"/>
        <v>Elementary occupations</v>
      </c>
      <c r="J93" s="11">
        <v>828.4468002998716</v>
      </c>
      <c r="K93" s="11">
        <v>758.58042977375476</v>
      </c>
      <c r="L93" s="11">
        <v>-69.866370526116782</v>
      </c>
      <c r="M93" s="11">
        <v>377.47675061159691</v>
      </c>
      <c r="N93" s="11">
        <v>307.61038008548019</v>
      </c>
      <c r="P93" s="11"/>
      <c r="Q93" s="11"/>
      <c r="R93" s="11"/>
      <c r="S93" s="11"/>
      <c r="T93" s="11"/>
      <c r="U93" s="11"/>
    </row>
    <row r="94" spans="1:30" ht="12.95">
      <c r="A94" t="str">
        <f t="shared" ref="A94:A120" si="68">A7</f>
        <v>11 Corporate managers and directors</v>
      </c>
      <c r="B94" s="11">
        <v>679.24260837730344</v>
      </c>
      <c r="C94" s="11">
        <v>690.13440563603865</v>
      </c>
      <c r="D94" s="11">
        <f>C94-B94</f>
        <v>10.89179725873521</v>
      </c>
      <c r="E94" s="11">
        <v>381.19416690469529</v>
      </c>
      <c r="F94" s="11">
        <f>SUM(D94:E94)</f>
        <v>392.0859641634305</v>
      </c>
      <c r="G94" s="177">
        <f>IF(B94&gt;0,(1+(E94/B94))^(1/($C$6-$B$6))-1,0)</f>
        <v>3.0142545008760457E-2</v>
      </c>
      <c r="I94" s="66"/>
      <c r="J94" s="58"/>
      <c r="K94" s="58"/>
      <c r="L94" s="56"/>
      <c r="M94" s="56"/>
      <c r="N94" s="56"/>
      <c r="P94" s="11"/>
      <c r="Q94" s="11"/>
      <c r="R94" s="11"/>
      <c r="S94" s="11"/>
      <c r="T94" s="11"/>
      <c r="U94" s="11"/>
    </row>
    <row r="95" spans="1:30" ht="12.95">
      <c r="A95" t="str">
        <f t="shared" si="68"/>
        <v>12 Other managers and proprietors</v>
      </c>
      <c r="B95" s="11">
        <v>236.68783926557853</v>
      </c>
      <c r="C95" s="11">
        <v>305.12234668869564</v>
      </c>
      <c r="D95" s="11">
        <f t="shared" ref="D95:D118" si="69">C95-B95</f>
        <v>68.434507423117111</v>
      </c>
      <c r="E95" s="11">
        <v>174.07607235230162</v>
      </c>
      <c r="F95" s="11">
        <f t="shared" ref="F95:F118" si="70">SUM(D95:E95)</f>
        <v>242.51057977541873</v>
      </c>
      <c r="G95" s="177">
        <f t="shared" ref="G95:G120" si="71">IF(B95&gt;0,(1+(E95/B95))^(1/($C$6-$B$6))-1,0)</f>
        <v>3.7435461848703167E-2</v>
      </c>
      <c r="I95" s="68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>
      <c r="A96" t="str">
        <f t="shared" si="68"/>
        <v>21 Science, research, engineering and technology professionals</v>
      </c>
      <c r="B96" s="11">
        <v>637.88392677088314</v>
      </c>
      <c r="C96" s="11">
        <v>796.00242940426574</v>
      </c>
      <c r="D96" s="11">
        <f t="shared" si="69"/>
        <v>158.1185026333826</v>
      </c>
      <c r="E96" s="11">
        <v>304.37869001038183</v>
      </c>
      <c r="F96" s="11">
        <f t="shared" si="70"/>
        <v>462.49719264376444</v>
      </c>
      <c r="G96" s="177">
        <f t="shared" si="71"/>
        <v>2.6349685291505054E-2</v>
      </c>
      <c r="I96" s="11" t="str">
        <f>I85</f>
        <v>Managers, directors and senior officials</v>
      </c>
      <c r="J96" s="11">
        <f t="array" ref="J96:J104">MMULT(aggregation!$B$38:$AA$46,B239:B264)</f>
        <v>319.87669746601614</v>
      </c>
      <c r="K96" s="11">
        <f t="array" ref="K96:K104">MMULT(aggregation!$B$38:$AA$46,C239:C264)</f>
        <v>203.93028272781217</v>
      </c>
      <c r="L96" s="11">
        <f t="array" ref="L96:L104">MMULT(aggregation!$B$38:$AA$46,D239:D264)</f>
        <v>-115.94641473820398</v>
      </c>
      <c r="M96" s="11">
        <f t="array" ref="M96:M104">MMULT(aggregation!$B$38:$AA$46,E239:E264)</f>
        <v>111.94898296972579</v>
      </c>
      <c r="N96" s="11">
        <f t="array" ref="N96:N104">MMULT(aggregation!$B$38:$AA$46,F239:F264)</f>
        <v>-3.9974317684781866</v>
      </c>
      <c r="P96" s="11"/>
      <c r="Q96" s="11"/>
      <c r="R96" s="11"/>
      <c r="S96" s="11"/>
      <c r="T96" s="11"/>
      <c r="U96" s="11"/>
    </row>
    <row r="97" spans="1:21">
      <c r="A97" t="str">
        <f t="shared" si="68"/>
        <v>22 Health professionals</v>
      </c>
      <c r="B97" s="11">
        <v>502.62251111449365</v>
      </c>
      <c r="C97" s="11">
        <v>525.62607843202943</v>
      </c>
      <c r="D97" s="11">
        <f t="shared" si="69"/>
        <v>23.003567317535783</v>
      </c>
      <c r="E97" s="11">
        <v>291.81292993131524</v>
      </c>
      <c r="F97" s="11">
        <f t="shared" si="70"/>
        <v>314.81649724885102</v>
      </c>
      <c r="G97" s="177">
        <f t="shared" si="71"/>
        <v>3.0989981229538888E-2</v>
      </c>
      <c r="I97" s="11" t="str">
        <f>I86</f>
        <v>Professional occupations</v>
      </c>
      <c r="J97" s="11">
        <v>291.40467681470665</v>
      </c>
      <c r="K97" s="11">
        <v>185.94355447746915</v>
      </c>
      <c r="L97" s="11">
        <v>-105.46112233723753</v>
      </c>
      <c r="M97" s="11">
        <v>88.818668981459055</v>
      </c>
      <c r="N97" s="11">
        <v>-16.642453355778471</v>
      </c>
      <c r="P97" s="11"/>
      <c r="Q97" s="11"/>
      <c r="R97" s="11"/>
      <c r="S97" s="11"/>
      <c r="T97" s="11"/>
      <c r="U97" s="11"/>
    </row>
    <row r="98" spans="1:21">
      <c r="A98" t="str">
        <f t="shared" si="68"/>
        <v>23 Teaching and other educational professionals</v>
      </c>
      <c r="B98" s="11">
        <v>399.01738541729816</v>
      </c>
      <c r="C98" s="11">
        <v>241.28480375892627</v>
      </c>
      <c r="D98" s="11">
        <f t="shared" ref="D98" si="72">C98-B98</f>
        <v>-157.73258165837188</v>
      </c>
      <c r="E98" s="11">
        <v>154.80122919419654</v>
      </c>
      <c r="F98" s="11">
        <f t="shared" ref="F98" si="73">SUM(D98:E98)</f>
        <v>-2.9313524641753474</v>
      </c>
      <c r="G98" s="177">
        <f t="shared" si="71"/>
        <v>2.2096062808864669E-2</v>
      </c>
      <c r="I98" s="11" t="str">
        <f>I87</f>
        <v>Associate professional occupations</v>
      </c>
      <c r="J98" s="11">
        <v>317.39360218134868</v>
      </c>
      <c r="K98" s="11">
        <v>189.23387008354601</v>
      </c>
      <c r="L98" s="11">
        <v>-128.1597320978027</v>
      </c>
      <c r="M98" s="11">
        <v>89.203898698167848</v>
      </c>
      <c r="N98" s="11">
        <v>-38.955833399634827</v>
      </c>
      <c r="P98" s="11"/>
      <c r="Q98" s="11"/>
      <c r="R98" s="11"/>
      <c r="S98" s="11"/>
      <c r="T98" s="11"/>
      <c r="U98" s="11"/>
    </row>
    <row r="99" spans="1:21">
      <c r="A99" t="str">
        <f t="shared" si="68"/>
        <v>24 Business, media and public service professionals</v>
      </c>
      <c r="B99" s="11">
        <v>866.23688345642836</v>
      </c>
      <c r="C99" s="11">
        <v>866.01263297894423</v>
      </c>
      <c r="D99" s="11">
        <f t="shared" si="69"/>
        <v>-0.22425047748413363</v>
      </c>
      <c r="E99" s="11">
        <v>447.79499192127582</v>
      </c>
      <c r="F99" s="11">
        <f t="shared" si="70"/>
        <v>447.57074144379169</v>
      </c>
      <c r="G99" s="177">
        <f t="shared" si="71"/>
        <v>2.8169259939356373E-2</v>
      </c>
      <c r="I99" s="11" t="str">
        <f>I88</f>
        <v>Administrative and secretarial occupations</v>
      </c>
      <c r="J99" s="11">
        <v>386.24818689115534</v>
      </c>
      <c r="K99" s="11">
        <v>87.01561250575773</v>
      </c>
      <c r="L99" s="11">
        <v>-299.23257438539758</v>
      </c>
      <c r="M99" s="11">
        <v>80.735580254380338</v>
      </c>
      <c r="N99" s="11">
        <v>-218.49699413101726</v>
      </c>
      <c r="P99" s="11"/>
      <c r="Q99" s="11"/>
      <c r="R99" s="11"/>
      <c r="S99" s="11"/>
      <c r="T99" s="11"/>
      <c r="U99" s="11"/>
    </row>
    <row r="100" spans="1:21">
      <c r="A100" t="str">
        <f t="shared" si="68"/>
        <v>31 Science, engineering and technology associate professionals</v>
      </c>
      <c r="B100" s="11">
        <v>159.38396175918751</v>
      </c>
      <c r="C100" s="11">
        <v>172.03365955687698</v>
      </c>
      <c r="D100" s="11">
        <f t="shared" si="69"/>
        <v>12.64969779768947</v>
      </c>
      <c r="E100" s="11">
        <v>73.10458031951859</v>
      </c>
      <c r="F100" s="11">
        <f t="shared" si="70"/>
        <v>85.754278117208059</v>
      </c>
      <c r="G100" s="177">
        <f t="shared" si="71"/>
        <v>2.5487715916653553E-2</v>
      </c>
      <c r="I100" s="11" t="str">
        <f t="shared" ref="I100:I104" si="74">I89</f>
        <v>Skilled trades occupations</v>
      </c>
      <c r="J100" s="11">
        <v>387.09207458036479</v>
      </c>
      <c r="K100" s="11">
        <v>303.75766715881105</v>
      </c>
      <c r="L100" s="11">
        <v>-83.334407421553749</v>
      </c>
      <c r="M100" s="11">
        <v>135.76580992041482</v>
      </c>
      <c r="N100" s="11">
        <v>52.43140249886109</v>
      </c>
      <c r="P100" s="11"/>
      <c r="Q100" s="11"/>
      <c r="R100" s="11"/>
      <c r="S100" s="11"/>
      <c r="T100" s="11"/>
      <c r="U100" s="11"/>
    </row>
    <row r="101" spans="1:21">
      <c r="A101" t="str">
        <f t="shared" si="68"/>
        <v>32 Health and social care associate professionals</v>
      </c>
      <c r="B101" s="11">
        <v>176.63848816815215</v>
      </c>
      <c r="C101" s="11">
        <v>378.4392606927654</v>
      </c>
      <c r="D101" s="11">
        <f t="shared" si="69"/>
        <v>201.80077252461325</v>
      </c>
      <c r="E101" s="11">
        <v>201.83882275581342</v>
      </c>
      <c r="F101" s="11">
        <f t="shared" si="70"/>
        <v>403.63959528042665</v>
      </c>
      <c r="G101" s="177">
        <f t="shared" si="71"/>
        <v>5.2116021476870111E-2</v>
      </c>
      <c r="I101" s="11" t="str">
        <f t="shared" si="74"/>
        <v>Caring, leisure and other service occupations</v>
      </c>
      <c r="J101" s="11">
        <v>187.60701589002272</v>
      </c>
      <c r="K101" s="11">
        <v>123.19297463448399</v>
      </c>
      <c r="L101" s="11">
        <v>-64.414041255538734</v>
      </c>
      <c r="M101" s="11">
        <v>55.326696181087421</v>
      </c>
      <c r="N101" s="11">
        <v>-9.0873450744513065</v>
      </c>
      <c r="P101" s="11"/>
      <c r="Q101" s="11"/>
      <c r="R101" s="11"/>
      <c r="S101" s="11"/>
      <c r="T101" s="11"/>
      <c r="U101" s="11"/>
    </row>
    <row r="102" spans="1:21">
      <c r="A102" t="str">
        <f t="shared" si="68"/>
        <v>33 Protective service occupations</v>
      </c>
      <c r="B102" s="11">
        <v>85.982075183148353</v>
      </c>
      <c r="C102" s="11">
        <v>101.76193997383547</v>
      </c>
      <c r="D102" s="11">
        <f t="shared" si="69"/>
        <v>15.779864790687114</v>
      </c>
      <c r="E102" s="11">
        <v>36.402082298895209</v>
      </c>
      <c r="F102" s="11">
        <f t="shared" si="70"/>
        <v>52.181947089582323</v>
      </c>
      <c r="G102" s="177">
        <f t="shared" si="71"/>
        <v>2.3814207529410103E-2</v>
      </c>
      <c r="I102" s="11" t="str">
        <f t="shared" si="74"/>
        <v>Sales and customer service occupations</v>
      </c>
      <c r="J102" s="11">
        <v>366.32782385303517</v>
      </c>
      <c r="K102" s="11">
        <v>155.11287024119272</v>
      </c>
      <c r="L102" s="11">
        <v>-211.21495361184247</v>
      </c>
      <c r="M102" s="11">
        <v>94.424752449979394</v>
      </c>
      <c r="N102" s="11">
        <v>-116.79020116186308</v>
      </c>
      <c r="P102" s="11"/>
      <c r="Q102" s="11"/>
      <c r="R102" s="11"/>
      <c r="S102" s="11"/>
      <c r="T102" s="11"/>
      <c r="U102" s="11"/>
    </row>
    <row r="103" spans="1:21">
      <c r="A103" t="str">
        <f t="shared" si="68"/>
        <v>34 Culture, media and sports occupations</v>
      </c>
      <c r="B103" s="11">
        <v>263.4924970364458</v>
      </c>
      <c r="C103" s="11">
        <v>237.77128725661876</v>
      </c>
      <c r="D103" s="11">
        <f t="shared" ref="D103:D104" si="75">C103-B103</f>
        <v>-25.721209779827035</v>
      </c>
      <c r="E103" s="11">
        <v>116.59777177020143</v>
      </c>
      <c r="F103" s="11">
        <f t="shared" ref="F103:F104" si="76">SUM(D103:E103)</f>
        <v>90.876561990374398</v>
      </c>
      <c r="G103" s="177">
        <f t="shared" si="71"/>
        <v>2.472634047864708E-2</v>
      </c>
      <c r="I103" s="11" t="str">
        <f t="shared" si="74"/>
        <v>Process, plant and machine operatives</v>
      </c>
      <c r="J103" s="11">
        <v>402.76120146557628</v>
      </c>
      <c r="K103" s="11">
        <v>243.00193696944561</v>
      </c>
      <c r="L103" s="11">
        <v>-159.75926449613064</v>
      </c>
      <c r="M103" s="11">
        <v>140.93766571860954</v>
      </c>
      <c r="N103" s="11">
        <v>-18.82159877752111</v>
      </c>
      <c r="P103" s="11"/>
      <c r="Q103" s="11"/>
      <c r="R103" s="11"/>
      <c r="S103" s="11"/>
      <c r="T103" s="11"/>
      <c r="U103" s="11"/>
    </row>
    <row r="104" spans="1:21">
      <c r="A104" t="str">
        <f t="shared" si="68"/>
        <v>35 Business and public service associate professionals</v>
      </c>
      <c r="B104" s="11">
        <v>557.73036014366437</v>
      </c>
      <c r="C104" s="11">
        <v>576.77389697047931</v>
      </c>
      <c r="D104" s="11">
        <f t="shared" si="75"/>
        <v>19.043536826814943</v>
      </c>
      <c r="E104" s="11">
        <v>290.13816251445741</v>
      </c>
      <c r="F104" s="11">
        <f t="shared" si="76"/>
        <v>309.18169934127235</v>
      </c>
      <c r="G104" s="177">
        <f t="shared" si="71"/>
        <v>2.8316841011453153E-2</v>
      </c>
      <c r="I104" s="11" t="str">
        <f t="shared" si="74"/>
        <v>Elementary occupations</v>
      </c>
      <c r="J104" s="11">
        <v>774.6295183743697</v>
      </c>
      <c r="K104" s="11">
        <v>558.52236316601068</v>
      </c>
      <c r="L104" s="11">
        <v>-216.10715520835896</v>
      </c>
      <c r="M104" s="11">
        <v>279.86469645894198</v>
      </c>
      <c r="N104" s="11">
        <v>63.757541250583017</v>
      </c>
      <c r="P104" s="11"/>
      <c r="Q104" s="11"/>
      <c r="R104" s="11"/>
      <c r="S104" s="11"/>
      <c r="T104" s="11"/>
      <c r="U104" s="11"/>
    </row>
    <row r="105" spans="1:21">
      <c r="A105" t="str">
        <f t="shared" si="68"/>
        <v>41 Administrative occupations</v>
      </c>
      <c r="B105" s="11">
        <v>537.48557519818246</v>
      </c>
      <c r="C105" s="11">
        <v>744.2094540117422</v>
      </c>
      <c r="D105" s="11">
        <f t="shared" si="69"/>
        <v>206.72387881355974</v>
      </c>
      <c r="E105" s="11">
        <v>372.99222758235516</v>
      </c>
      <c r="F105" s="11">
        <f t="shared" si="70"/>
        <v>579.71610639591495</v>
      </c>
      <c r="G105" s="177">
        <f t="shared" si="71"/>
        <v>3.5762468246077095E-2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ht="12.95">
      <c r="A106" t="str">
        <f t="shared" si="68"/>
        <v>42 Secretarial and related occupations</v>
      </c>
      <c r="B106" s="11">
        <v>92.615489336962213</v>
      </c>
      <c r="C106" s="11">
        <v>154.9850318806235</v>
      </c>
      <c r="D106" s="11">
        <f t="shared" si="69"/>
        <v>62.369542543661282</v>
      </c>
      <c r="E106" s="11">
        <v>79.271612301620408</v>
      </c>
      <c r="F106" s="11">
        <f t="shared" si="70"/>
        <v>141.64115484528168</v>
      </c>
      <c r="G106" s="177">
        <f t="shared" si="71"/>
        <v>4.2086998571309264E-2</v>
      </c>
      <c r="I106" s="68" t="str">
        <f>name!F12</f>
        <v>No Qualification</v>
      </c>
      <c r="J106" s="11"/>
      <c r="K106" s="11"/>
      <c r="L106" s="11"/>
      <c r="M106" s="11"/>
      <c r="N106" s="11"/>
      <c r="O106" s="55"/>
      <c r="P106" s="11"/>
      <c r="Q106" s="11"/>
      <c r="R106" s="11"/>
      <c r="S106" s="11"/>
      <c r="T106" s="11"/>
      <c r="U106" s="11"/>
    </row>
    <row r="107" spans="1:21">
      <c r="A107" t="str">
        <f t="shared" si="68"/>
        <v>51 Skilled agricultural and related trades</v>
      </c>
      <c r="B107" s="11">
        <v>40.941479040203575</v>
      </c>
      <c r="C107" s="11">
        <v>64.434887290412405</v>
      </c>
      <c r="D107" s="11">
        <f t="shared" si="69"/>
        <v>23.49340825020883</v>
      </c>
      <c r="E107" s="11">
        <v>36.009285652932498</v>
      </c>
      <c r="F107" s="11">
        <f t="shared" si="70"/>
        <v>59.502693903141328</v>
      </c>
      <c r="G107" s="177">
        <f t="shared" si="71"/>
        <v>4.2965543387574412E-2</v>
      </c>
      <c r="I107" s="11" t="str">
        <f>I96</f>
        <v>Managers, directors and senior officials</v>
      </c>
      <c r="J107" s="11">
        <f t="array" ref="J107:J115">MMULT(aggregation!$B$38:$AA$46,B268:B293)</f>
        <v>75.225553285316522</v>
      </c>
      <c r="K107" s="11">
        <f t="array" ref="K107:K115">MMULT(aggregation!$B$38:$AA$46,C268:C293)</f>
        <v>68.374478349018688</v>
      </c>
      <c r="L107" s="11">
        <f t="array" ref="L107:L115">MMULT(aggregation!$B$38:$AA$46,D268:D293)</f>
        <v>-6.8510749362978487</v>
      </c>
      <c r="M107" s="11">
        <f t="array" ref="M107:M115">MMULT(aggregation!$B$38:$AA$46,E268:E293)</f>
        <v>24.228249711474135</v>
      </c>
      <c r="N107" s="11">
        <f t="array" ref="N107:N115">MMULT(aggregation!$B$38:$AA$46,F268:F293)</f>
        <v>17.377174775176286</v>
      </c>
      <c r="P107" s="11"/>
      <c r="Q107" s="11"/>
      <c r="R107" s="11"/>
      <c r="S107" s="11"/>
      <c r="T107" s="11"/>
      <c r="U107" s="11"/>
    </row>
    <row r="108" spans="1:21" ht="12.95">
      <c r="A108" t="str">
        <f t="shared" si="68"/>
        <v>52 Skilled metal, electrical and electronic trades</v>
      </c>
      <c r="B108" s="11">
        <v>52.842401910304368</v>
      </c>
      <c r="C108" s="11">
        <v>78.878408048582813</v>
      </c>
      <c r="D108" s="11">
        <f t="shared" si="69"/>
        <v>26.036006138278445</v>
      </c>
      <c r="E108" s="11">
        <v>33.626236813966855</v>
      </c>
      <c r="F108" s="11">
        <f t="shared" si="70"/>
        <v>59.6622429522453</v>
      </c>
      <c r="G108" s="177">
        <f t="shared" si="71"/>
        <v>3.337608065773523E-2</v>
      </c>
      <c r="I108" s="11" t="str">
        <f>I97</f>
        <v>Professional occupations</v>
      </c>
      <c r="J108" s="11">
        <v>64.593555295963085</v>
      </c>
      <c r="K108" s="11">
        <v>76.608347069096922</v>
      </c>
      <c r="L108" s="11">
        <v>12.014791773133835</v>
      </c>
      <c r="M108" s="11">
        <v>24.462372875421003</v>
      </c>
      <c r="N108" s="11">
        <v>36.47716464855484</v>
      </c>
      <c r="P108" s="66"/>
      <c r="Q108" s="58"/>
      <c r="R108" s="58"/>
      <c r="S108" s="56"/>
      <c r="T108" s="56"/>
      <c r="U108" s="56"/>
    </row>
    <row r="109" spans="1:21">
      <c r="A109" t="str">
        <f t="shared" si="68"/>
        <v>53 Skilled construction and building trades</v>
      </c>
      <c r="B109" s="11">
        <v>29.365244092976415</v>
      </c>
      <c r="C109" s="11">
        <v>39.633334739711437</v>
      </c>
      <c r="D109" s="11">
        <f t="shared" ref="D109" si="77">C109-B109</f>
        <v>10.268090646735022</v>
      </c>
      <c r="E109" s="11">
        <v>19.272368631651968</v>
      </c>
      <c r="F109" s="11">
        <f t="shared" ref="F109" si="78">SUM(D109:E109)</f>
        <v>29.54045927838699</v>
      </c>
      <c r="G109" s="177">
        <f t="shared" si="71"/>
        <v>3.4211213542446162E-2</v>
      </c>
      <c r="I109" s="11" t="str">
        <f>I98</f>
        <v>Associate professional occupations</v>
      </c>
      <c r="J109" s="11">
        <v>69.946637620060272</v>
      </c>
      <c r="K109" s="11">
        <v>70.664127159952642</v>
      </c>
      <c r="L109" s="11">
        <v>0.71748953989236597</v>
      </c>
      <c r="M109" s="11">
        <v>22.809184254962538</v>
      </c>
      <c r="N109" s="11">
        <v>23.526673794854901</v>
      </c>
      <c r="P109" s="11"/>
      <c r="Q109" s="11"/>
      <c r="R109" s="11"/>
      <c r="S109" s="11"/>
      <c r="T109" s="11"/>
      <c r="U109" s="11"/>
    </row>
    <row r="110" spans="1:21">
      <c r="A110" t="str">
        <f t="shared" si="68"/>
        <v>54 Textiles, printing and other skilled trades</v>
      </c>
      <c r="B110" s="11">
        <v>51.515885097068569</v>
      </c>
      <c r="C110" s="11">
        <v>87.841431556761918</v>
      </c>
      <c r="D110" s="11">
        <f t="shared" si="69"/>
        <v>36.325546459693349</v>
      </c>
      <c r="E110" s="11">
        <v>40.356640508238854</v>
      </c>
      <c r="F110" s="11">
        <f t="shared" si="70"/>
        <v>76.682186967932211</v>
      </c>
      <c r="G110" s="177">
        <f t="shared" si="71"/>
        <v>3.9320832783541038E-2</v>
      </c>
      <c r="I110" s="11" t="str">
        <f>I99</f>
        <v>Administrative and secretarial occupations</v>
      </c>
      <c r="J110" s="11">
        <v>98.965306134732771</v>
      </c>
      <c r="K110" s="11">
        <v>63.985610889805287</v>
      </c>
      <c r="L110" s="11">
        <v>-34.979695244927477</v>
      </c>
      <c r="M110" s="11">
        <v>27.117390094343456</v>
      </c>
      <c r="N110" s="11">
        <v>-7.8623051505840191</v>
      </c>
      <c r="P110" s="11"/>
      <c r="Q110" s="11"/>
      <c r="R110" s="11"/>
      <c r="S110" s="11"/>
      <c r="T110" s="11"/>
      <c r="U110" s="11"/>
    </row>
    <row r="111" spans="1:21">
      <c r="A111" t="str">
        <f t="shared" si="68"/>
        <v>61 Caring personal service occupations</v>
      </c>
      <c r="B111" s="11">
        <v>262.76753795456767</v>
      </c>
      <c r="C111" s="11">
        <v>371.83216845023162</v>
      </c>
      <c r="D111" s="11">
        <f>C111-B111</f>
        <v>109.06463049566395</v>
      </c>
      <c r="E111" s="11">
        <v>212.24259876649364</v>
      </c>
      <c r="F111" s="11">
        <f>SUM(D111:E111)</f>
        <v>321.30722926215759</v>
      </c>
      <c r="G111" s="177">
        <f t="shared" si="71"/>
        <v>4.0260427229959372E-2</v>
      </c>
      <c r="I111" s="11" t="str">
        <f t="shared" ref="I111:I115" si="79">I100</f>
        <v>Skilled trades occupations</v>
      </c>
      <c r="J111" s="11">
        <v>173.22153701089834</v>
      </c>
      <c r="K111" s="11">
        <v>68.89574098370575</v>
      </c>
      <c r="L111" s="11">
        <v>-104.32579602719258</v>
      </c>
      <c r="M111" s="11">
        <v>37.107424287059445</v>
      </c>
      <c r="N111" s="11">
        <v>-67.218371740133136</v>
      </c>
      <c r="P111" s="11"/>
      <c r="Q111" s="11"/>
      <c r="R111" s="11"/>
      <c r="S111" s="11"/>
      <c r="T111" s="11"/>
      <c r="U111" s="11"/>
    </row>
    <row r="112" spans="1:21">
      <c r="A112" t="str">
        <f t="shared" si="68"/>
        <v>62 Leisure, travel and related personal service occupations</v>
      </c>
      <c r="B112" s="11">
        <v>71.287493676036505</v>
      </c>
      <c r="C112" s="11">
        <v>110.41350145610029</v>
      </c>
      <c r="D112" s="11">
        <f t="shared" ref="D112:D113" si="80">C112-B112</f>
        <v>39.126007780063787</v>
      </c>
      <c r="E112" s="11">
        <v>55.965013483822062</v>
      </c>
      <c r="F112" s="11">
        <f t="shared" ref="F112:F113" si="81">SUM(D112:E112)</f>
        <v>95.09102126388585</v>
      </c>
      <c r="G112" s="177">
        <f t="shared" si="71"/>
        <v>3.9386009507744957E-2</v>
      </c>
      <c r="I112" s="11" t="str">
        <f t="shared" si="79"/>
        <v>Caring, leisure and other service occupations</v>
      </c>
      <c r="J112" s="11">
        <v>53.942318761132711</v>
      </c>
      <c r="K112" s="11">
        <v>34.884730730610571</v>
      </c>
      <c r="L112" s="11">
        <v>-19.057588030522144</v>
      </c>
      <c r="M112" s="11">
        <v>12.451256366086008</v>
      </c>
      <c r="N112" s="11">
        <v>-6.6063316644361354</v>
      </c>
      <c r="P112" s="11"/>
      <c r="Q112" s="11"/>
      <c r="R112" s="11"/>
      <c r="S112" s="11"/>
      <c r="T112" s="11"/>
      <c r="U112" s="11"/>
    </row>
    <row r="113" spans="1:21">
      <c r="A113" t="str">
        <f t="shared" si="68"/>
        <v>63 Community and civil enforcement occupations</v>
      </c>
      <c r="B113" s="11">
        <v>5.501617032527812</v>
      </c>
      <c r="C113" s="11">
        <v>6.9296044283107658</v>
      </c>
      <c r="D113" s="11">
        <f t="shared" si="80"/>
        <v>1.4279873957829539</v>
      </c>
      <c r="E113" s="11">
        <v>3.9520910765054231</v>
      </c>
      <c r="F113" s="11">
        <f t="shared" si="81"/>
        <v>5.3800784722883765</v>
      </c>
      <c r="G113" s="177">
        <f t="shared" si="71"/>
        <v>3.6750186609731728E-2</v>
      </c>
      <c r="I113" s="11" t="str">
        <f t="shared" si="79"/>
        <v>Sales and customer service occupations</v>
      </c>
      <c r="J113" s="11">
        <v>133.21376339778644</v>
      </c>
      <c r="K113" s="11">
        <v>77.618857352918226</v>
      </c>
      <c r="L113" s="11">
        <v>-55.594906044868203</v>
      </c>
      <c r="M113" s="11">
        <v>28.042692777910968</v>
      </c>
      <c r="N113" s="11">
        <v>-27.552213266957231</v>
      </c>
      <c r="P113" s="11"/>
      <c r="Q113" s="11"/>
      <c r="R113" s="11"/>
      <c r="S113" s="11"/>
      <c r="T113" s="11"/>
      <c r="U113" s="11"/>
    </row>
    <row r="114" spans="1:21">
      <c r="A114" t="str">
        <f t="shared" si="68"/>
        <v>71 Sales occupations</v>
      </c>
      <c r="B114" s="11">
        <v>260.32686674301789</v>
      </c>
      <c r="C114" s="11">
        <v>374.42227488447776</v>
      </c>
      <c r="D114" s="11">
        <f t="shared" si="69"/>
        <v>114.09540814145987</v>
      </c>
      <c r="E114" s="11">
        <v>175.69469015941567</v>
      </c>
      <c r="F114" s="11">
        <f t="shared" si="70"/>
        <v>289.79009830087557</v>
      </c>
      <c r="G114" s="177">
        <f t="shared" si="71"/>
        <v>3.4981526283996089E-2</v>
      </c>
      <c r="I114" s="11" t="str">
        <f t="shared" si="79"/>
        <v>Process, plant and machine operatives</v>
      </c>
      <c r="J114" s="11">
        <v>175.80242286557137</v>
      </c>
      <c r="K114" s="11">
        <v>63.539573976452822</v>
      </c>
      <c r="L114" s="11">
        <v>-112.26284888911854</v>
      </c>
      <c r="M114" s="11">
        <v>38.92344013808728</v>
      </c>
      <c r="N114" s="11">
        <v>-73.339408751031272</v>
      </c>
      <c r="P114" s="11"/>
      <c r="Q114" s="11"/>
      <c r="R114" s="11"/>
      <c r="S114" s="11"/>
      <c r="T114" s="11"/>
      <c r="U114" s="11"/>
    </row>
    <row r="115" spans="1:21">
      <c r="A115" t="str">
        <f t="shared" si="68"/>
        <v>72 Customer service occupations</v>
      </c>
      <c r="B115" s="11">
        <v>89.094576657776344</v>
      </c>
      <c r="C115" s="11">
        <v>137.29997525973533</v>
      </c>
      <c r="D115" s="11">
        <f t="shared" si="69"/>
        <v>48.20539860195899</v>
      </c>
      <c r="E115" s="11">
        <v>59.505152103681127</v>
      </c>
      <c r="F115" s="11">
        <f t="shared" si="70"/>
        <v>107.71055070564012</v>
      </c>
      <c r="G115" s="177">
        <f t="shared" si="71"/>
        <v>3.4692060292547122E-2</v>
      </c>
      <c r="I115" s="11" t="str">
        <f t="shared" si="79"/>
        <v>Elementary occupations</v>
      </c>
      <c r="J115" s="11">
        <v>294.3886335592145</v>
      </c>
      <c r="K115" s="11">
        <v>169.46776882641115</v>
      </c>
      <c r="L115" s="11">
        <v>-124.92086473280334</v>
      </c>
      <c r="M115" s="11">
        <v>65.714683591655714</v>
      </c>
      <c r="N115" s="11">
        <v>-59.20618114114761</v>
      </c>
      <c r="P115" s="11"/>
      <c r="Q115" s="11"/>
      <c r="R115" s="11"/>
      <c r="S115" s="11"/>
      <c r="T115" s="11"/>
      <c r="U115" s="11"/>
    </row>
    <row r="116" spans="1:21">
      <c r="A116" t="str">
        <f t="shared" si="68"/>
        <v>81 Process, plant and machine operatives</v>
      </c>
      <c r="B116" s="11">
        <v>23.793365260196765</v>
      </c>
      <c r="C116" s="11">
        <v>59.156743217026786</v>
      </c>
      <c r="D116" s="11">
        <f t="shared" ref="D116:D117" si="82">C116-B116</f>
        <v>35.363377956830021</v>
      </c>
      <c r="E116" s="11">
        <v>22.545431802944154</v>
      </c>
      <c r="F116" s="11">
        <f t="shared" ref="F116:F117" si="83">SUM(D116:E116)</f>
        <v>57.908809759774172</v>
      </c>
      <c r="G116" s="177">
        <f t="shared" si="71"/>
        <v>4.5440351758846198E-2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>
      <c r="A117" t="str">
        <f t="shared" si="68"/>
        <v>82 Transport and mobile machine drivers and operatives</v>
      </c>
      <c r="B117" s="11">
        <v>59.511021843978419</v>
      </c>
      <c r="C117" s="11">
        <v>98.212642157344362</v>
      </c>
      <c r="D117" s="11">
        <f t="shared" si="82"/>
        <v>38.701620313365943</v>
      </c>
      <c r="E117" s="11">
        <v>54.897682214086792</v>
      </c>
      <c r="F117" s="11">
        <f t="shared" si="83"/>
        <v>93.599302527452735</v>
      </c>
      <c r="G117" s="177">
        <f t="shared" si="71"/>
        <v>4.4537678843552531E-2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>
      <c r="A118" t="str">
        <f t="shared" si="68"/>
        <v>91 Elementary trades and related occupations</v>
      </c>
      <c r="B118" s="11">
        <v>16.89242608503757</v>
      </c>
      <c r="C118" s="11">
        <v>66.903826066554444</v>
      </c>
      <c r="D118" s="11">
        <f t="shared" si="69"/>
        <v>50.011399981516874</v>
      </c>
      <c r="E118" s="11">
        <v>33.702587382261306</v>
      </c>
      <c r="F118" s="11">
        <f t="shared" si="70"/>
        <v>83.713987363778188</v>
      </c>
      <c r="G118" s="177">
        <f t="shared" si="71"/>
        <v>7.5873092311873336E-2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>
      <c r="A119" t="str">
        <f t="shared" si="68"/>
        <v>92 Elementary administration and service occupations</v>
      </c>
      <c r="B119" s="11">
        <v>232.92637474681507</v>
      </c>
      <c r="C119" s="11">
        <v>315.42911972267063</v>
      </c>
      <c r="D119" s="11">
        <f t="shared" ref="D119" si="84">C119-B119</f>
        <v>82.502744975855563</v>
      </c>
      <c r="E119" s="11">
        <v>176.85164539057962</v>
      </c>
      <c r="F119" s="11">
        <f t="shared" ref="F119" si="85">SUM(D119:E119)</f>
        <v>259.35439036643515</v>
      </c>
      <c r="G119" s="177">
        <f t="shared" ref="G119" si="86">IF(B119&gt;0,(1+(E119/B119))^(1/($C$6-$B$6))-1,0)</f>
        <v>3.8377652408092544E-2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>
      <c r="A120" t="str">
        <f t="shared" si="68"/>
        <v>All occupations</v>
      </c>
      <c r="B120" s="11">
        <f>SUM(B94:B119)</f>
        <v>6391.785891368233</v>
      </c>
      <c r="C120" s="11">
        <f t="shared" ref="C120:F120" si="87">SUM(C94:C119)</f>
        <v>7601.5451445197614</v>
      </c>
      <c r="D120" s="11">
        <f t="shared" si="87"/>
        <v>1209.7592531515272</v>
      </c>
      <c r="E120" s="11">
        <f t="shared" si="87"/>
        <v>3849.0247638436076</v>
      </c>
      <c r="F120" s="11">
        <f t="shared" si="87"/>
        <v>5058.7840169951351</v>
      </c>
      <c r="G120" s="177">
        <f t="shared" si="71"/>
        <v>3.192343288337951E-2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26.1">
      <c r="A122" s="178" t="str">
        <f>CONCATENATE(name!F7," (Constrained)")</f>
        <v>RQF5 Foundation degree;Nursing;Teaching (Constrained)</v>
      </c>
      <c r="B122" s="59">
        <f t="shared" ref="B122:G122" si="88">B35</f>
        <v>2020</v>
      </c>
      <c r="C122" s="59">
        <f t="shared" si="88"/>
        <v>2035</v>
      </c>
      <c r="D122" s="69" t="str">
        <f t="shared" si="88"/>
        <v>Net Change</v>
      </c>
      <c r="E122" s="69" t="str">
        <f t="shared" si="88"/>
        <v>Replacement Demand level</v>
      </c>
      <c r="F122" s="69" t="str">
        <f t="shared" si="88"/>
        <v>Total Requirement</v>
      </c>
      <c r="G122" s="69" t="str">
        <f t="shared" si="88"/>
        <v>Replacement Demand rate</v>
      </c>
      <c r="I122" s="66"/>
      <c r="J122" s="58"/>
      <c r="K122" s="58"/>
      <c r="L122" s="56"/>
      <c r="M122" s="56"/>
      <c r="N122" s="56"/>
      <c r="P122" s="11"/>
      <c r="Q122" s="11"/>
      <c r="R122" s="11"/>
      <c r="S122" s="11"/>
      <c r="T122" s="11"/>
      <c r="U122" s="11"/>
    </row>
    <row r="123" spans="1:21">
      <c r="A123" t="str">
        <f t="shared" ref="A123:A149" si="89">A36</f>
        <v>11 Corporate managers and directors</v>
      </c>
      <c r="B123" s="11">
        <v>126.12599726327144</v>
      </c>
      <c r="C123" s="11">
        <v>119.86809944068239</v>
      </c>
      <c r="D123" s="11">
        <f>C123-B123</f>
        <v>-6.257897822589058</v>
      </c>
      <c r="E123" s="11">
        <v>62.183199949383138</v>
      </c>
      <c r="F123" s="11">
        <f>SUM(D123:E123)</f>
        <v>55.92530212679408</v>
      </c>
      <c r="G123" s="177">
        <f>IF(B123&gt;0,(1+(E123/B123))^(1/($C$6-$B$6))-1,0)</f>
        <v>2.7080446560492133E-2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>
      <c r="A124" t="str">
        <f t="shared" si="89"/>
        <v>12 Other managers and proprietors</v>
      </c>
      <c r="B124" s="11">
        <v>67.667869464136274</v>
      </c>
      <c r="C124" s="11">
        <v>81.355936151426434</v>
      </c>
      <c r="D124" s="11">
        <f t="shared" ref="D124:D139" si="90">C124-B124</f>
        <v>13.68806668729016</v>
      </c>
      <c r="E124" s="11">
        <v>46.493760940049604</v>
      </c>
      <c r="F124" s="11">
        <f t="shared" ref="F124:F131" si="91">SUM(D124:E124)</f>
        <v>60.181827627339764</v>
      </c>
      <c r="G124" s="177">
        <f t="shared" ref="G124:G149" si="92">IF(B124&gt;0,(1+(E124/B124))^(1/($C$6-$B$6))-1,0)</f>
        <v>3.5481896957896941E-2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>
      <c r="A125" t="str">
        <f t="shared" si="89"/>
        <v>21 Science, research, engineering and technology professionals</v>
      </c>
      <c r="B125" s="11">
        <v>69.193047257610345</v>
      </c>
      <c r="C125" s="11">
        <v>92.020276884597919</v>
      </c>
      <c r="D125" s="11">
        <f t="shared" si="90"/>
        <v>22.827229626987574</v>
      </c>
      <c r="E125" s="11">
        <v>33.088928016544379</v>
      </c>
      <c r="F125" s="11">
        <f t="shared" si="91"/>
        <v>55.916157643531953</v>
      </c>
      <c r="G125" s="177">
        <f t="shared" si="92"/>
        <v>2.6397951543416953E-2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>
      <c r="A126" t="str">
        <f t="shared" si="89"/>
        <v>22 Health professionals</v>
      </c>
      <c r="B126" s="11">
        <v>161.86144354341599</v>
      </c>
      <c r="C126" s="11">
        <v>34.037458091072473</v>
      </c>
      <c r="D126" s="11">
        <f t="shared" si="90"/>
        <v>-127.82398545234352</v>
      </c>
      <c r="E126" s="11">
        <v>29.255844068605974</v>
      </c>
      <c r="F126" s="11">
        <f t="shared" si="91"/>
        <v>-98.568141383737554</v>
      </c>
      <c r="G126" s="177">
        <f t="shared" si="92"/>
        <v>1.1138012791469976E-2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>
      <c r="A127" t="str">
        <f t="shared" si="89"/>
        <v>23 Teaching and other educational professionals</v>
      </c>
      <c r="B127" s="11">
        <v>31.812407522960381</v>
      </c>
      <c r="C127" s="11">
        <v>18.338872241547527</v>
      </c>
      <c r="D127" s="11">
        <f t="shared" si="90"/>
        <v>-13.473535281412854</v>
      </c>
      <c r="E127" s="11">
        <v>6.1298775388603506</v>
      </c>
      <c r="F127" s="11">
        <f t="shared" si="91"/>
        <v>-7.3436577425525034</v>
      </c>
      <c r="G127" s="177">
        <f>IF(B127&gt;0,(1+(E127/B127))^(1/($C$6-$B$6))-1,0)</f>
        <v>1.1816590991259091E-2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>
      <c r="A128" t="str">
        <f t="shared" si="89"/>
        <v>24 Business, media and public service professionals</v>
      </c>
      <c r="B128" s="11">
        <v>76.778294461262533</v>
      </c>
      <c r="C128" s="11">
        <v>71.378009438764622</v>
      </c>
      <c r="D128" s="11">
        <f t="shared" si="90"/>
        <v>-5.4002850224979113</v>
      </c>
      <c r="E128" s="11">
        <v>27.169611317226373</v>
      </c>
      <c r="F128" s="11">
        <f t="shared" si="91"/>
        <v>21.769326294728462</v>
      </c>
      <c r="G128" s="177">
        <f t="shared" si="92"/>
        <v>2.0403216467884233E-2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>
      <c r="A129" t="str">
        <f t="shared" si="89"/>
        <v>31 Science, engineering and technology associate professionals</v>
      </c>
      <c r="B129" s="11">
        <v>28.003822197619829</v>
      </c>
      <c r="C129" s="11">
        <v>38.626295479697745</v>
      </c>
      <c r="D129" s="11">
        <f t="shared" si="90"/>
        <v>10.622473282077916</v>
      </c>
      <c r="E129" s="11">
        <v>15.543414553766842</v>
      </c>
      <c r="F129" s="11">
        <f t="shared" si="91"/>
        <v>26.165887835844757</v>
      </c>
      <c r="G129" s="177">
        <f t="shared" si="92"/>
        <v>2.9871135129347692E-2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>
      <c r="A130" t="str">
        <f t="shared" si="89"/>
        <v>32 Health and social care associate professionals</v>
      </c>
      <c r="B130" s="11">
        <v>87.012025656230563</v>
      </c>
      <c r="C130" s="11">
        <v>60.472335754718813</v>
      </c>
      <c r="D130" s="11">
        <f t="shared" si="90"/>
        <v>-26.53968990151175</v>
      </c>
      <c r="E130" s="11">
        <v>37.688045995580381</v>
      </c>
      <c r="F130" s="11">
        <f t="shared" si="91"/>
        <v>11.148356094068632</v>
      </c>
      <c r="G130" s="177">
        <f t="shared" si="92"/>
        <v>2.4281105618121801E-2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>
      <c r="A131" t="str">
        <f t="shared" si="89"/>
        <v>33 Protective service occupations</v>
      </c>
      <c r="B131" s="11">
        <v>23.174940434744304</v>
      </c>
      <c r="C131" s="11">
        <v>27.722079125457629</v>
      </c>
      <c r="D131" s="11">
        <f t="shared" si="90"/>
        <v>4.5471386907133251</v>
      </c>
      <c r="E131" s="11">
        <v>8.8321287775934501</v>
      </c>
      <c r="F131" s="11">
        <f t="shared" si="91"/>
        <v>13.379267468306775</v>
      </c>
      <c r="G131" s="177">
        <f t="shared" si="92"/>
        <v>2.175903218341757E-2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>
      <c r="A132" t="str">
        <f t="shared" si="89"/>
        <v>34 Culture, media and sports occupations</v>
      </c>
      <c r="B132" s="11">
        <v>37.66042712307538</v>
      </c>
      <c r="C132" s="11">
        <v>40.783563796876074</v>
      </c>
      <c r="D132" s="11">
        <f t="shared" si="90"/>
        <v>3.123136673800694</v>
      </c>
      <c r="E132" s="11">
        <v>17.818691316990577</v>
      </c>
      <c r="F132" s="11">
        <f t="shared" ref="F132:F133" si="93">SUM(D132:E132)</f>
        <v>20.941827990791271</v>
      </c>
      <c r="G132" s="177">
        <f t="shared" si="92"/>
        <v>2.6162848676585249E-2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>
      <c r="A133" t="str">
        <f t="shared" si="89"/>
        <v>35 Business and public service associate professionals</v>
      </c>
      <c r="B133" s="11">
        <v>149.71673935422331</v>
      </c>
      <c r="C133" s="11">
        <v>167.79003326635447</v>
      </c>
      <c r="D133" s="11">
        <f t="shared" si="90"/>
        <v>18.073293912131163</v>
      </c>
      <c r="E133" s="11">
        <v>77.313825962566398</v>
      </c>
      <c r="F133" s="11">
        <f t="shared" si="93"/>
        <v>95.387119874697561</v>
      </c>
      <c r="G133" s="177">
        <f t="shared" si="92"/>
        <v>2.8144755838412028E-2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>
      <c r="A134" t="str">
        <f t="shared" si="89"/>
        <v>41 Administrative occupations</v>
      </c>
      <c r="B134" s="11">
        <v>191.05860248330478</v>
      </c>
      <c r="C134" s="11">
        <v>250.35997515494807</v>
      </c>
      <c r="D134" s="11">
        <f t="shared" si="90"/>
        <v>59.301372671643293</v>
      </c>
      <c r="E134" s="11">
        <v>133.87550789712424</v>
      </c>
      <c r="F134" s="11">
        <f t="shared" ref="F134:F137" si="94">SUM(D134:E134)</f>
        <v>193.17688056876753</v>
      </c>
      <c r="G134" s="177">
        <f t="shared" si="92"/>
        <v>3.6036955929352299E-2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>
      <c r="A135" t="str">
        <f t="shared" si="89"/>
        <v>42 Secretarial and related occupations</v>
      </c>
      <c r="B135" s="11">
        <v>43.978131164130211</v>
      </c>
      <c r="C135" s="11">
        <v>52.144053802131971</v>
      </c>
      <c r="D135" s="11">
        <f t="shared" si="90"/>
        <v>8.16592263800176</v>
      </c>
      <c r="E135" s="11">
        <v>30.431365418205342</v>
      </c>
      <c r="F135" s="11">
        <f t="shared" si="94"/>
        <v>38.597288056207105</v>
      </c>
      <c r="G135" s="177">
        <f t="shared" si="92"/>
        <v>3.5681232276057129E-2</v>
      </c>
      <c r="I135" s="11"/>
      <c r="J135" s="11"/>
      <c r="K135" s="11"/>
      <c r="L135" s="11"/>
      <c r="M135" s="11"/>
      <c r="N135" s="11"/>
    </row>
    <row r="136" spans="1:21">
      <c r="A136" t="str">
        <f t="shared" si="89"/>
        <v>51 Skilled agricultural and related trades</v>
      </c>
      <c r="B136" s="11">
        <v>17.404452571814186</v>
      </c>
      <c r="C136" s="11">
        <v>25.233363923633707</v>
      </c>
      <c r="D136" s="11">
        <f t="shared" si="90"/>
        <v>7.8289113518195208</v>
      </c>
      <c r="E136" s="11">
        <v>15.591813322425665</v>
      </c>
      <c r="F136" s="11">
        <f t="shared" si="94"/>
        <v>23.420724674245186</v>
      </c>
      <c r="G136" s="177">
        <f t="shared" si="92"/>
        <v>4.3566898765853068E-2</v>
      </c>
      <c r="I136" s="11"/>
      <c r="J136" s="11"/>
      <c r="K136" s="11"/>
      <c r="L136" s="11"/>
      <c r="M136" s="11"/>
      <c r="N136" s="11"/>
      <c r="O136" s="55"/>
    </row>
    <row r="137" spans="1:21">
      <c r="A137" t="str">
        <f t="shared" si="89"/>
        <v>52 Skilled metal, electrical and electronic trades</v>
      </c>
      <c r="B137" s="11">
        <v>19.850348549717005</v>
      </c>
      <c r="C137" s="11">
        <v>30.693419434268787</v>
      </c>
      <c r="D137" s="11">
        <f t="shared" si="90"/>
        <v>10.843070884551782</v>
      </c>
      <c r="E137" s="11">
        <v>11.833054905169762</v>
      </c>
      <c r="F137" s="11">
        <f t="shared" si="94"/>
        <v>22.676125789721546</v>
      </c>
      <c r="G137" s="177">
        <f t="shared" si="92"/>
        <v>3.1662345043199425E-2</v>
      </c>
      <c r="I137" s="11"/>
      <c r="J137" s="11"/>
      <c r="K137" s="11"/>
      <c r="L137" s="11"/>
      <c r="M137" s="11"/>
      <c r="N137" s="11"/>
    </row>
    <row r="138" spans="1:21" ht="12.95">
      <c r="A138" t="str">
        <f t="shared" si="89"/>
        <v>53 Skilled construction and building trades</v>
      </c>
      <c r="B138" s="11">
        <v>19.941702707578372</v>
      </c>
      <c r="C138" s="11">
        <v>28.923388259731265</v>
      </c>
      <c r="D138" s="11">
        <f t="shared" si="90"/>
        <v>8.9816855521528929</v>
      </c>
      <c r="E138" s="11">
        <v>14.505282656374273</v>
      </c>
      <c r="F138" s="11">
        <f t="shared" ref="F138" si="95">SUM(D138:E138)</f>
        <v>23.486968208527166</v>
      </c>
      <c r="G138" s="177">
        <f t="shared" si="92"/>
        <v>3.711265161915045E-2</v>
      </c>
      <c r="I138" s="11"/>
      <c r="J138" s="11"/>
      <c r="K138" s="11"/>
      <c r="L138" s="11"/>
      <c r="M138" s="11"/>
      <c r="N138" s="11"/>
      <c r="P138" s="66"/>
      <c r="Q138" s="58"/>
      <c r="R138" s="58"/>
      <c r="S138" s="56"/>
      <c r="T138" s="56"/>
      <c r="U138" s="56"/>
    </row>
    <row r="139" spans="1:21">
      <c r="A139" t="str">
        <f t="shared" si="89"/>
        <v>54 Textiles, printing and other skilled trades</v>
      </c>
      <c r="B139" s="11">
        <v>20.159467305530779</v>
      </c>
      <c r="C139" s="11">
        <v>28.703038411886155</v>
      </c>
      <c r="D139" s="11">
        <f t="shared" si="90"/>
        <v>8.5435711063553761</v>
      </c>
      <c r="E139" s="11">
        <v>13.86281091852995</v>
      </c>
      <c r="F139" s="11">
        <f t="shared" ref="F139" si="96">SUM(D139:E139)</f>
        <v>22.406382024885325</v>
      </c>
      <c r="G139" s="177">
        <f t="shared" si="92"/>
        <v>3.5505212347562098E-2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>
      <c r="A140" t="str">
        <f t="shared" si="89"/>
        <v>61 Caring personal service occupations</v>
      </c>
      <c r="B140" s="11">
        <v>212.18555593047594</v>
      </c>
      <c r="C140" s="11">
        <v>219.42317398249233</v>
      </c>
      <c r="D140" s="11">
        <f>C140-B140</f>
        <v>7.2376180520163871</v>
      </c>
      <c r="E140" s="11">
        <v>126.63391295160149</v>
      </c>
      <c r="F140" s="11">
        <f>SUM(D140:E140)</f>
        <v>133.87153100361786</v>
      </c>
      <c r="G140" s="177">
        <f t="shared" si="92"/>
        <v>3.1692252843971813E-2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>
      <c r="A141" t="str">
        <f t="shared" si="89"/>
        <v>62 Leisure, travel and related personal service occupations</v>
      </c>
      <c r="B141" s="11">
        <v>44.562207325842607</v>
      </c>
      <c r="C141" s="11">
        <v>62.687201700256871</v>
      </c>
      <c r="D141" s="11">
        <f t="shared" ref="D141:D147" si="97">C141-B141</f>
        <v>18.124994374414264</v>
      </c>
      <c r="E141" s="11">
        <v>32.814614657220915</v>
      </c>
      <c r="F141" s="11">
        <f t="shared" ref="F141:F142" si="98">SUM(D141:E141)</f>
        <v>50.939609031635179</v>
      </c>
      <c r="G141" s="177">
        <f t="shared" si="92"/>
        <v>3.747174932157149E-2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>
      <c r="A142" t="str">
        <f t="shared" si="89"/>
        <v>63 Community and civil enforcement occupations</v>
      </c>
      <c r="B142" s="11">
        <v>1.7151310309745893</v>
      </c>
      <c r="C142" s="11">
        <v>1.6353727341219537</v>
      </c>
      <c r="D142" s="11">
        <f t="shared" si="97"/>
        <v>-7.975829685263558E-2</v>
      </c>
      <c r="E142" s="11">
        <v>0.88834131579399611</v>
      </c>
      <c r="F142" s="11">
        <f t="shared" si="98"/>
        <v>0.80858301894136053</v>
      </c>
      <c r="G142" s="177">
        <f t="shared" si="92"/>
        <v>2.8214469056646596E-2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>
      <c r="A143" t="str">
        <f t="shared" si="89"/>
        <v>71 Sales occupations</v>
      </c>
      <c r="B143" s="11">
        <v>84.248694447228374</v>
      </c>
      <c r="C143" s="11">
        <v>112.13814056552744</v>
      </c>
      <c r="D143" s="11">
        <f t="shared" si="97"/>
        <v>27.889446118299063</v>
      </c>
      <c r="E143" s="11">
        <v>54.199623437420222</v>
      </c>
      <c r="F143" s="11">
        <f t="shared" ref="F143:F144" si="99">SUM(D143:E143)</f>
        <v>82.089069555719277</v>
      </c>
      <c r="G143" s="177">
        <f t="shared" si="92"/>
        <v>3.3669337336057925E-2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>
      <c r="A144" t="str">
        <f t="shared" si="89"/>
        <v>72 Customer service occupations</v>
      </c>
      <c r="B144" s="11">
        <v>28.674981175587426</v>
      </c>
      <c r="C144" s="11">
        <v>43.340049716829448</v>
      </c>
      <c r="D144" s="11">
        <f t="shared" si="97"/>
        <v>14.665068541242022</v>
      </c>
      <c r="E144" s="11">
        <v>20.077895317384478</v>
      </c>
      <c r="F144" s="11">
        <f t="shared" si="99"/>
        <v>34.742963858626496</v>
      </c>
      <c r="G144" s="177">
        <f t="shared" si="92"/>
        <v>3.6016026117584143E-2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>
      <c r="A145" t="str">
        <f t="shared" si="89"/>
        <v>81 Process, plant and machine operatives</v>
      </c>
      <c r="B145" s="11">
        <v>11.146972174742556</v>
      </c>
      <c r="C145" s="11">
        <v>22.96070378347526</v>
      </c>
      <c r="D145" s="11">
        <f t="shared" si="97"/>
        <v>11.813731608732704</v>
      </c>
      <c r="E145" s="11">
        <v>8.5896218290404622</v>
      </c>
      <c r="F145" s="11">
        <f t="shared" ref="F145:F146" si="100">SUM(D145:E145)</f>
        <v>20.403353437773166</v>
      </c>
      <c r="G145" s="177">
        <f t="shared" si="92"/>
        <v>3.882171509157506E-2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>
      <c r="A146" t="str">
        <f t="shared" si="89"/>
        <v>82 Transport and mobile machine drivers and operatives</v>
      </c>
      <c r="B146" s="11">
        <v>28.357108702519792</v>
      </c>
      <c r="C146" s="11">
        <v>43.474664181554374</v>
      </c>
      <c r="D146" s="11">
        <f t="shared" si="97"/>
        <v>15.117555479034582</v>
      </c>
      <c r="E146" s="11">
        <v>24.755579007909198</v>
      </c>
      <c r="F146" s="11">
        <f t="shared" si="100"/>
        <v>39.873134486943783</v>
      </c>
      <c r="G146" s="177">
        <f t="shared" si="92"/>
        <v>4.2723325516328403E-2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>
      <c r="A147" t="str">
        <f t="shared" si="89"/>
        <v>91 Elementary trades and related occupations</v>
      </c>
      <c r="B147" s="11">
        <v>11.36381553558893</v>
      </c>
      <c r="C147" s="11">
        <v>45.228754326726119</v>
      </c>
      <c r="D147" s="11">
        <f t="shared" si="97"/>
        <v>33.864938791137192</v>
      </c>
      <c r="E147" s="11">
        <v>22.866700248663552</v>
      </c>
      <c r="F147" s="11">
        <f t="shared" ref="F147" si="101">SUM(D147:E147)</f>
        <v>56.73163903980074</v>
      </c>
      <c r="G147" s="177">
        <f t="shared" si="92"/>
        <v>7.6281687972409307E-2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>
      <c r="A148" t="str">
        <f t="shared" si="89"/>
        <v>92 Elementary administration and service occupations</v>
      </c>
      <c r="B148" s="11">
        <v>112.28806672279106</v>
      </c>
      <c r="C148" s="11">
        <v>149.33818321788289</v>
      </c>
      <c r="D148" s="11">
        <f t="shared" ref="D148" si="102">C148-B148</f>
        <v>37.050116495091828</v>
      </c>
      <c r="E148" s="11">
        <v>79.467823803611836</v>
      </c>
      <c r="F148" s="11">
        <f t="shared" ref="F148" si="103">SUM(D148:E148)</f>
        <v>116.51794029870366</v>
      </c>
      <c r="G148" s="177">
        <f t="shared" ref="G148" si="104">IF(B148&gt;0,(1+(E148/B148))^(1/($C$6-$B$6))-1,0)</f>
        <v>3.6321099826369885E-2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>
      <c r="A149" t="str">
        <f t="shared" si="89"/>
        <v>All occupations</v>
      </c>
      <c r="B149" s="11">
        <f>SUM(B123:B148)</f>
        <v>1705.9422521063766</v>
      </c>
      <c r="C149" s="11">
        <f t="shared" ref="C149:F149" si="105">SUM(C123:C148)</f>
        <v>1868.6764428666629</v>
      </c>
      <c r="D149" s="11">
        <f t="shared" si="105"/>
        <v>162.73419076028577</v>
      </c>
      <c r="E149" s="11">
        <f t="shared" si="105"/>
        <v>951.91127612364255</v>
      </c>
      <c r="F149" s="11">
        <f t="shared" si="105"/>
        <v>1114.6454668839285</v>
      </c>
      <c r="G149" s="177">
        <f t="shared" si="92"/>
        <v>3.000131981013876E-2</v>
      </c>
      <c r="P149" s="11"/>
      <c r="Q149" s="11"/>
      <c r="R149" s="11"/>
      <c r="S149" s="11"/>
      <c r="T149" s="11"/>
      <c r="U149" s="11"/>
    </row>
    <row r="150" spans="1:21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25.5">
      <c r="A151" s="178" t="str">
        <f>CONCATENATE(name!F8," (Constrained)")</f>
        <v>RQF4 HE below degree level (Constrained)</v>
      </c>
      <c r="B151" s="59">
        <f t="shared" ref="B151:G151" si="106">B64</f>
        <v>2020</v>
      </c>
      <c r="C151" s="59">
        <f t="shared" si="106"/>
        <v>2035</v>
      </c>
      <c r="D151" s="69" t="str">
        <f t="shared" si="106"/>
        <v>Net Change</v>
      </c>
      <c r="E151" s="69" t="str">
        <f t="shared" si="106"/>
        <v>Replacement Demand level</v>
      </c>
      <c r="F151" s="69" t="str">
        <f t="shared" si="106"/>
        <v>Total Requirement</v>
      </c>
      <c r="G151" s="69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ht="12.95">
      <c r="A152" t="str">
        <f t="shared" ref="A152:A178" si="107">A65</f>
        <v>11 Corporate managers and directors</v>
      </c>
      <c r="B152" s="11">
        <v>185.7676879091259</v>
      </c>
      <c r="C152" s="11">
        <v>172.44196029167435</v>
      </c>
      <c r="D152" s="11">
        <f>C152-B152</f>
        <v>-13.325727617451548</v>
      </c>
      <c r="E152" s="11">
        <v>90.515628373040357</v>
      </c>
      <c r="F152" s="11">
        <f>SUM(D152:E152)</f>
        <v>77.189900755588809</v>
      </c>
      <c r="G152" s="177">
        <f>IF(B152&gt;0,(1+(E152/B152))^(1/($C$6-$B$6))-1,0)</f>
        <v>2.6815223718282377E-2</v>
      </c>
      <c r="I152" s="66"/>
      <c r="J152" s="58"/>
      <c r="K152" s="58"/>
      <c r="L152" s="56"/>
      <c r="M152" s="56"/>
      <c r="N152" s="56"/>
      <c r="P152" s="11"/>
      <c r="Q152" s="11"/>
      <c r="R152" s="11"/>
      <c r="S152" s="11"/>
      <c r="T152" s="11"/>
      <c r="U152" s="11"/>
    </row>
    <row r="153" spans="1:21">
      <c r="A153" t="str">
        <f t="shared" si="107"/>
        <v>12 Other managers and proprietors</v>
      </c>
      <c r="B153" s="11">
        <v>75.691871629597401</v>
      </c>
      <c r="C153" s="11">
        <v>92.494155451467591</v>
      </c>
      <c r="D153" s="11">
        <f t="shared" ref="D153:D168" si="108">C153-B153</f>
        <v>16.802283821870191</v>
      </c>
      <c r="E153" s="11">
        <v>51.528750908650103</v>
      </c>
      <c r="F153" s="11">
        <f t="shared" ref="F153:F160" si="109">SUM(D153:E153)</f>
        <v>68.331034730520287</v>
      </c>
      <c r="G153" s="177">
        <f t="shared" ref="G153:G155" si="110">IF(B153&gt;0,(1+(E153/B153))^(1/($C$6-$B$6))-1,0)</f>
        <v>3.52229343914372E-2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>
      <c r="A154" t="str">
        <f t="shared" si="107"/>
        <v>21 Science, research, engineering and technology professionals</v>
      </c>
      <c r="B154" s="11">
        <v>162.21015541665392</v>
      </c>
      <c r="C154" s="11">
        <v>178.81490235839374</v>
      </c>
      <c r="D154" s="11">
        <f t="shared" si="108"/>
        <v>16.604746941739819</v>
      </c>
      <c r="E154" s="11">
        <v>65.28590541122405</v>
      </c>
      <c r="F154" s="11">
        <f t="shared" si="109"/>
        <v>81.890652352963869</v>
      </c>
      <c r="G154" s="177">
        <f t="shared" si="110"/>
        <v>2.2805503121593018E-2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>
      <c r="A155" t="str">
        <f t="shared" si="107"/>
        <v>22 Health professionals</v>
      </c>
      <c r="B155" s="11">
        <v>37.823688764213919</v>
      </c>
      <c r="C155" s="11">
        <v>42.042275501932203</v>
      </c>
      <c r="D155" s="11">
        <f t="shared" si="108"/>
        <v>4.2185867377182831</v>
      </c>
      <c r="E155" s="11">
        <v>20.352495463330225</v>
      </c>
      <c r="F155" s="11">
        <f t="shared" si="109"/>
        <v>24.571082201048508</v>
      </c>
      <c r="G155" s="177">
        <f t="shared" si="110"/>
        <v>2.9118590115414511E-2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>
      <c r="A156" t="str">
        <f t="shared" si="107"/>
        <v>23 Teaching and other educational professionals</v>
      </c>
      <c r="B156" s="11">
        <v>17.405918454900569</v>
      </c>
      <c r="C156" s="11">
        <v>13.236834371669651</v>
      </c>
      <c r="D156" s="11">
        <f t="shared" si="108"/>
        <v>-4.1690840832309171</v>
      </c>
      <c r="E156" s="11">
        <v>7.2556964094830807</v>
      </c>
      <c r="F156" s="11">
        <f t="shared" si="109"/>
        <v>3.0866123262521636</v>
      </c>
      <c r="G156" s="177">
        <f>IF(B156&gt;0,(1+(E156/B156))^(1/($C$6-$B$6))-1,0)</f>
        <v>2.3501078053518976E-2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>
      <c r="A157" t="str">
        <f t="shared" si="107"/>
        <v>24 Business, media and public service professionals</v>
      </c>
      <c r="B157" s="11">
        <v>132.60578942461001</v>
      </c>
      <c r="C157" s="11">
        <v>140.12793770843066</v>
      </c>
      <c r="D157" s="11">
        <f t="shared" si="108"/>
        <v>7.5221482838206555</v>
      </c>
      <c r="E157" s="11">
        <v>66.648766206714285</v>
      </c>
      <c r="F157" s="11">
        <f t="shared" si="109"/>
        <v>74.17091449053494</v>
      </c>
      <c r="G157" s="177">
        <f t="shared" ref="G157:G178" si="111">IF(B157&gt;0,(1+(E157/B157))^(1/($C$6-$B$6))-1,0)</f>
        <v>2.7518661820629786E-2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>
      <c r="A158" t="str">
        <f t="shared" si="107"/>
        <v>31 Science, engineering and technology associate professionals</v>
      </c>
      <c r="B158" s="11">
        <v>61.856862746993393</v>
      </c>
      <c r="C158" s="11">
        <v>53.994960665619324</v>
      </c>
      <c r="D158" s="11">
        <f t="shared" si="108"/>
        <v>-7.861902081374069</v>
      </c>
      <c r="E158" s="11">
        <v>21.421863198091561</v>
      </c>
      <c r="F158" s="11">
        <f t="shared" si="109"/>
        <v>13.559961116717492</v>
      </c>
      <c r="G158" s="177">
        <f t="shared" si="111"/>
        <v>2.0022485515416966E-2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>
      <c r="A159" t="str">
        <f t="shared" si="107"/>
        <v>32 Health and social care associate professionals</v>
      </c>
      <c r="B159" s="11">
        <v>27.880815055717839</v>
      </c>
      <c r="C159" s="11">
        <v>47.364479309286914</v>
      </c>
      <c r="D159" s="11">
        <f t="shared" si="108"/>
        <v>19.483664253569074</v>
      </c>
      <c r="E159" s="11">
        <v>24.280068819186745</v>
      </c>
      <c r="F159" s="11">
        <f t="shared" si="109"/>
        <v>43.763733072755819</v>
      </c>
      <c r="G159" s="177">
        <f t="shared" si="111"/>
        <v>4.2643800042989177E-2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>
      <c r="A160" t="str">
        <f t="shared" si="107"/>
        <v>33 Protective service occupations</v>
      </c>
      <c r="B160" s="11">
        <v>17.646714969927086</v>
      </c>
      <c r="C160" s="11">
        <v>14.75500661115316</v>
      </c>
      <c r="D160" s="11">
        <f t="shared" si="108"/>
        <v>-2.8917083587739256</v>
      </c>
      <c r="E160" s="11">
        <v>5.1852929053471666</v>
      </c>
      <c r="F160" s="11">
        <f t="shared" si="109"/>
        <v>2.293584546573241</v>
      </c>
      <c r="G160" s="177">
        <f t="shared" si="111"/>
        <v>1.73225760378799E-2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>
      <c r="A161" t="str">
        <f t="shared" si="107"/>
        <v>34 Culture, media and sports occupations</v>
      </c>
      <c r="B161" s="11">
        <v>39.044078353658499</v>
      </c>
      <c r="C161" s="11">
        <v>31.674736462160066</v>
      </c>
      <c r="D161" s="11">
        <f t="shared" si="108"/>
        <v>-7.3693418914984328</v>
      </c>
      <c r="E161" s="11">
        <v>15.484296507377628</v>
      </c>
      <c r="F161" s="11">
        <f t="shared" ref="F161:F162" si="112">SUM(D161:E161)</f>
        <v>8.1149546158791956</v>
      </c>
      <c r="G161" s="177">
        <f t="shared" si="111"/>
        <v>2.2518463087794816E-2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>
      <c r="A162" t="str">
        <f t="shared" si="107"/>
        <v>35 Business and public service associate professionals</v>
      </c>
      <c r="B162" s="11">
        <v>131.73566917883977</v>
      </c>
      <c r="C162" s="11">
        <v>142.71285249460033</v>
      </c>
      <c r="D162" s="11">
        <f t="shared" si="108"/>
        <v>10.977183315760556</v>
      </c>
      <c r="E162" s="11">
        <v>65.428402707130303</v>
      </c>
      <c r="F162" s="11">
        <f t="shared" si="112"/>
        <v>76.405586022890859</v>
      </c>
      <c r="G162" s="177">
        <f t="shared" si="111"/>
        <v>2.7247184923314016E-2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>
      <c r="A163" t="str">
        <f t="shared" si="107"/>
        <v>41 Administrative occupations</v>
      </c>
      <c r="B163" s="11">
        <v>182.71226070227547</v>
      </c>
      <c r="C163" s="11">
        <v>224.55972946955333</v>
      </c>
      <c r="D163" s="11">
        <f t="shared" si="108"/>
        <v>41.84746876727786</v>
      </c>
      <c r="E163" s="11">
        <v>114.98145737099625</v>
      </c>
      <c r="F163" s="11">
        <f t="shared" ref="F163:F166" si="113">SUM(D163:E163)</f>
        <v>156.82892613827411</v>
      </c>
      <c r="G163" s="177">
        <f t="shared" si="111"/>
        <v>3.3078837758784729E-2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>
      <c r="A164" t="str">
        <f t="shared" si="107"/>
        <v>42 Secretarial and related occupations</v>
      </c>
      <c r="B164" s="11">
        <v>33.310254428260365</v>
      </c>
      <c r="C164" s="11">
        <v>35.298386769015721</v>
      </c>
      <c r="D164" s="11">
        <f t="shared" si="108"/>
        <v>1.9881323407553566</v>
      </c>
      <c r="E164" s="11">
        <v>20.386975901373457</v>
      </c>
      <c r="F164" s="11">
        <f t="shared" si="113"/>
        <v>22.375108242128814</v>
      </c>
      <c r="G164" s="177">
        <f t="shared" si="111"/>
        <v>3.2345167261147223E-2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>
      <c r="A165" t="str">
        <f t="shared" si="107"/>
        <v>51 Skilled agricultural and related trades</v>
      </c>
      <c r="B165" s="11">
        <v>25.09780787077905</v>
      </c>
      <c r="C165" s="11">
        <v>37.070132892365571</v>
      </c>
      <c r="D165" s="11">
        <f t="shared" si="108"/>
        <v>11.972325021586521</v>
      </c>
      <c r="E165" s="11">
        <v>20.106702314172999</v>
      </c>
      <c r="F165" s="11">
        <f t="shared" si="113"/>
        <v>32.07902733575952</v>
      </c>
      <c r="G165" s="177">
        <f t="shared" si="111"/>
        <v>4.0007325849290565E-2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>
      <c r="A166" t="str">
        <f t="shared" si="107"/>
        <v>52 Skilled metal, electrical and electronic trades</v>
      </c>
      <c r="B166" s="11">
        <v>77.419883142461117</v>
      </c>
      <c r="C166" s="11">
        <v>101.69540370019892</v>
      </c>
      <c r="D166" s="11">
        <f t="shared" si="108"/>
        <v>24.275520557737806</v>
      </c>
      <c r="E166" s="11">
        <v>40.937530306785078</v>
      </c>
      <c r="F166" s="11">
        <f t="shared" si="113"/>
        <v>65.213050864522884</v>
      </c>
      <c r="G166" s="177">
        <f t="shared" si="111"/>
        <v>2.8701872302140163E-2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>
      <c r="A167" t="str">
        <f t="shared" si="107"/>
        <v>53 Skilled construction and building trades</v>
      </c>
      <c r="B167" s="11">
        <v>29.007572692999432</v>
      </c>
      <c r="C167" s="11">
        <v>37.854464648409788</v>
      </c>
      <c r="D167" s="11">
        <f t="shared" si="108"/>
        <v>8.8468919554103564</v>
      </c>
      <c r="E167" s="11">
        <v>19.507128624948336</v>
      </c>
      <c r="F167" s="11">
        <f t="shared" ref="F167" si="114">SUM(D167:E167)</f>
        <v>28.354020580358693</v>
      </c>
      <c r="G167" s="177">
        <f t="shared" si="111"/>
        <v>3.4881916546260827E-2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>
      <c r="A168" t="str">
        <f t="shared" si="107"/>
        <v>54 Textiles, printing and other skilled trades</v>
      </c>
      <c r="B168" s="11">
        <v>23.103836119966427</v>
      </c>
      <c r="C168" s="11">
        <v>33.270463118676759</v>
      </c>
      <c r="D168" s="11">
        <f t="shared" si="108"/>
        <v>10.166626998710331</v>
      </c>
      <c r="E168" s="11">
        <v>15.756055543671454</v>
      </c>
      <c r="F168" s="11">
        <f t="shared" ref="F168" si="115">SUM(D168:E168)</f>
        <v>25.922682542381786</v>
      </c>
      <c r="G168" s="177">
        <f t="shared" si="111"/>
        <v>3.5272074173285484E-2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>
      <c r="A169" t="str">
        <f t="shared" si="107"/>
        <v>61 Caring personal service occupations</v>
      </c>
      <c r="B169" s="11">
        <v>123.37819099082368</v>
      </c>
      <c r="C169" s="11">
        <v>138.66316805893877</v>
      </c>
      <c r="D169" s="11">
        <f>C169-B169</f>
        <v>15.284977068115083</v>
      </c>
      <c r="E169" s="11">
        <v>78.779390917365532</v>
      </c>
      <c r="F169" s="11">
        <f>SUM(D169:E169)</f>
        <v>94.064367985480615</v>
      </c>
      <c r="G169" s="177">
        <f t="shared" si="111"/>
        <v>3.3467385876670752E-2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>
      <c r="A170" t="str">
        <f t="shared" si="107"/>
        <v>62 Leisure, travel and related personal service occupations</v>
      </c>
      <c r="B170" s="11">
        <v>56.802439030312875</v>
      </c>
      <c r="C170" s="11">
        <v>84.987540823422137</v>
      </c>
      <c r="D170" s="11">
        <f t="shared" ref="D170:D176" si="116">C170-B170</f>
        <v>28.185101793109261</v>
      </c>
      <c r="E170" s="11">
        <v>43.515931013315395</v>
      </c>
      <c r="F170" s="11">
        <f t="shared" ref="F170:F171" si="117">SUM(D170:E170)</f>
        <v>71.701032806424649</v>
      </c>
      <c r="G170" s="177">
        <f t="shared" si="111"/>
        <v>3.8646030198868031E-2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>
      <c r="A171" t="str">
        <f t="shared" si="107"/>
        <v>63 Community and civil enforcement occupations</v>
      </c>
      <c r="B171" s="11">
        <v>1.4802553424398088</v>
      </c>
      <c r="C171" s="11">
        <v>1.1366270095308024</v>
      </c>
      <c r="D171" s="11">
        <f t="shared" si="116"/>
        <v>-0.34362833290900641</v>
      </c>
      <c r="E171" s="11">
        <v>0.69831754528729606</v>
      </c>
      <c r="F171" s="11">
        <f t="shared" si="117"/>
        <v>0.35468921237828965</v>
      </c>
      <c r="G171" s="177">
        <f t="shared" si="111"/>
        <v>2.6098447437561179E-2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>
      <c r="A172" t="str">
        <f t="shared" si="107"/>
        <v>71 Sales occupations</v>
      </c>
      <c r="B172" s="11">
        <v>68.093105353966649</v>
      </c>
      <c r="C172" s="11">
        <v>84.904800539321897</v>
      </c>
      <c r="D172" s="11">
        <f t="shared" si="116"/>
        <v>16.811695185355248</v>
      </c>
      <c r="E172" s="11">
        <v>36.196989485607787</v>
      </c>
      <c r="F172" s="11">
        <f t="shared" ref="F172:F173" si="118">SUM(D172:E172)</f>
        <v>53.008684670963035</v>
      </c>
      <c r="G172" s="177">
        <f t="shared" si="111"/>
        <v>2.8827730438653054E-2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>
      <c r="A173" t="str">
        <f t="shared" si="107"/>
        <v>72 Customer service occupations</v>
      </c>
      <c r="B173" s="11">
        <v>35.726698840381076</v>
      </c>
      <c r="C173" s="11">
        <v>49.057867444913271</v>
      </c>
      <c r="D173" s="11">
        <f t="shared" si="116"/>
        <v>13.331168604532195</v>
      </c>
      <c r="E173" s="11">
        <v>20.913235531380391</v>
      </c>
      <c r="F173" s="11">
        <f t="shared" si="118"/>
        <v>34.244404135912589</v>
      </c>
      <c r="G173" s="177">
        <f t="shared" si="111"/>
        <v>3.1197829333264648E-2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>
      <c r="A174" t="str">
        <f t="shared" si="107"/>
        <v>81 Process, plant and machine operatives</v>
      </c>
      <c r="B174" s="11">
        <v>23.882052091829671</v>
      </c>
      <c r="C174" s="11">
        <v>39.840447451058864</v>
      </c>
      <c r="D174" s="11">
        <f t="shared" si="116"/>
        <v>15.958395359229193</v>
      </c>
      <c r="E174" s="11">
        <v>16.168524496821018</v>
      </c>
      <c r="F174" s="11">
        <f t="shared" ref="F174:F175" si="119">SUM(D174:E174)</f>
        <v>32.126919856050208</v>
      </c>
      <c r="G174" s="177">
        <f t="shared" si="111"/>
        <v>3.5068619396706469E-2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>
      <c r="A175" t="str">
        <f t="shared" si="107"/>
        <v>82 Transport and mobile machine drivers and operatives</v>
      </c>
      <c r="B175" s="11">
        <v>44.889378939258876</v>
      </c>
      <c r="C175" s="11">
        <v>62.85742471498525</v>
      </c>
      <c r="D175" s="11">
        <f t="shared" si="116"/>
        <v>17.968045775726374</v>
      </c>
      <c r="E175" s="11">
        <v>37.60501572185202</v>
      </c>
      <c r="F175" s="11">
        <f t="shared" si="119"/>
        <v>55.573061497578394</v>
      </c>
      <c r="G175" s="177">
        <f t="shared" si="111"/>
        <v>4.1402756506256244E-2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>
      <c r="A176" t="str">
        <f t="shared" si="107"/>
        <v>91 Elementary trades and related occupations</v>
      </c>
      <c r="B176" s="11">
        <v>13.964579666128117</v>
      </c>
      <c r="C176" s="11">
        <v>48.308847945978826</v>
      </c>
      <c r="D176" s="11">
        <f t="shared" si="116"/>
        <v>34.344268279850709</v>
      </c>
      <c r="E176" s="11">
        <v>22.652004034627087</v>
      </c>
      <c r="F176" s="11">
        <f t="shared" ref="F176" si="120">SUM(D176:E176)</f>
        <v>56.996272314477793</v>
      </c>
      <c r="G176" s="177">
        <f t="shared" si="111"/>
        <v>6.6375103140811298E-2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>
      <c r="A177" t="str">
        <f t="shared" si="107"/>
        <v>92 Elementary administration and service occupations</v>
      </c>
      <c r="B177" s="11">
        <v>99.880602977208753</v>
      </c>
      <c r="C177" s="11">
        <v>129.86197497361198</v>
      </c>
      <c r="D177" s="11">
        <f t="shared" ref="D177" si="121">C177-B177</f>
        <v>29.981371996403226</v>
      </c>
      <c r="E177" s="11">
        <v>68.21916104482429</v>
      </c>
      <c r="F177" s="11">
        <f t="shared" ref="F177" si="122">SUM(D177:E177)</f>
        <v>98.200533041227516</v>
      </c>
      <c r="G177" s="177">
        <f t="shared" ref="G177" si="123">IF(B177&gt;0,(1+(E177/B177))^(1/($C$6-$B$6))-1,0)</f>
        <v>3.5314738453466887E-2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>
      <c r="A178" t="str">
        <f t="shared" si="107"/>
        <v>All occupations</v>
      </c>
      <c r="B178" s="11">
        <f>SUM(B152:B177)</f>
        <v>1728.4181700933295</v>
      </c>
      <c r="C178" s="11">
        <f t="shared" ref="C178:F178" si="124">SUM(C152:C177)</f>
        <v>2039.0273807863698</v>
      </c>
      <c r="D178" s="11">
        <f t="shared" si="124"/>
        <v>310.60921069304015</v>
      </c>
      <c r="E178" s="11">
        <f t="shared" si="124"/>
        <v>989.81158676260395</v>
      </c>
      <c r="F178" s="11">
        <f t="shared" si="124"/>
        <v>1300.4207974556443</v>
      </c>
      <c r="G178" s="177">
        <f t="shared" si="111"/>
        <v>3.0645131125476066E-2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25.5">
      <c r="A180" s="178" t="str">
        <f>CONCATENATE(name!F9," (Constrained)")</f>
        <v>RQF3 A level &amp; equivalent (Constrained)</v>
      </c>
      <c r="B180" s="59">
        <f t="shared" ref="B180:G180" si="125">B93</f>
        <v>2020</v>
      </c>
      <c r="C180" s="59">
        <f t="shared" si="125"/>
        <v>2035</v>
      </c>
      <c r="D180" s="69" t="str">
        <f t="shared" si="125"/>
        <v>Net Change</v>
      </c>
      <c r="E180" s="69" t="str">
        <f t="shared" si="125"/>
        <v>Replacement Demand level</v>
      </c>
      <c r="F180" s="69" t="str">
        <f t="shared" si="125"/>
        <v>Total Requirement</v>
      </c>
      <c r="G180" s="69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>
      <c r="A181" t="str">
        <f t="shared" ref="A181:A207" si="126">A94</f>
        <v>11 Corporate managers and directors</v>
      </c>
      <c r="B181" s="11">
        <v>398.94793313209016</v>
      </c>
      <c r="C181" s="11">
        <v>341.26844622264412</v>
      </c>
      <c r="D181" s="11">
        <f>C181-B181</f>
        <v>-57.679486909446041</v>
      </c>
      <c r="E181" s="11">
        <v>151.37417882872063</v>
      </c>
      <c r="F181" s="11">
        <f>SUM(D181:E181)</f>
        <v>93.69469191927459</v>
      </c>
      <c r="G181" s="177">
        <f>IF(B181&gt;0,(1+(E181/B181))^(1/($C$6-$B$6))-1,0)</f>
        <v>2.1676450134508141E-2</v>
      </c>
      <c r="I181" s="11"/>
      <c r="J181" s="11"/>
      <c r="K181" s="11"/>
      <c r="L181" s="11"/>
      <c r="M181" s="11"/>
      <c r="N181" s="11"/>
      <c r="P181" s="63"/>
      <c r="Q181" s="57"/>
    </row>
    <row r="182" spans="1:21">
      <c r="A182" t="str">
        <f t="shared" si="126"/>
        <v>12 Other managers and proprietors</v>
      </c>
      <c r="B182" s="11">
        <v>170.19393698225952</v>
      </c>
      <c r="C182" s="11">
        <v>161.05018618147656</v>
      </c>
      <c r="D182" s="11">
        <f t="shared" ref="D182:D197" si="127">C182-B182</f>
        <v>-9.1437508007829535</v>
      </c>
      <c r="E182" s="11">
        <v>74.984965902932458</v>
      </c>
      <c r="F182" s="11">
        <f t="shared" ref="F182:F189" si="128">SUM(D182:E182)</f>
        <v>65.841215102149505</v>
      </c>
      <c r="G182" s="177">
        <f t="shared" ref="G182:G184" si="129">IF(B182&gt;0,(1+(E182/B182))^(1/($C$6-$B$6))-1,0)</f>
        <v>2.4635190797088979E-2</v>
      </c>
      <c r="I182" s="11"/>
      <c r="J182" s="11"/>
      <c r="K182" s="11"/>
      <c r="L182" s="11"/>
      <c r="M182" s="11"/>
      <c r="N182" s="11"/>
    </row>
    <row r="183" spans="1:21">
      <c r="A183" t="str">
        <f t="shared" si="126"/>
        <v>21 Science, research, engineering and technology professionals</v>
      </c>
      <c r="B183" s="11">
        <v>227.084093432706</v>
      </c>
      <c r="C183" s="11">
        <v>239.17716750116983</v>
      </c>
      <c r="D183" s="11">
        <f t="shared" si="127"/>
        <v>12.093074068463835</v>
      </c>
      <c r="E183" s="11">
        <v>70.654801647565677</v>
      </c>
      <c r="F183" s="11">
        <f t="shared" si="128"/>
        <v>82.747875716029512</v>
      </c>
      <c r="G183" s="177">
        <f t="shared" si="129"/>
        <v>1.8223830883193237E-2</v>
      </c>
      <c r="I183" s="11"/>
      <c r="J183" s="11"/>
      <c r="K183" s="11"/>
      <c r="L183" s="11"/>
      <c r="M183" s="11"/>
      <c r="N183" s="11"/>
    </row>
    <row r="184" spans="1:21">
      <c r="A184" t="str">
        <f t="shared" si="126"/>
        <v>22 Health professionals</v>
      </c>
      <c r="B184" s="11">
        <v>136.24624290135077</v>
      </c>
      <c r="C184" s="11">
        <v>146.90961062929966</v>
      </c>
      <c r="D184" s="11">
        <f t="shared" si="127"/>
        <v>10.663367727948895</v>
      </c>
      <c r="E184" s="11">
        <v>77.414590501404135</v>
      </c>
      <c r="F184" s="11">
        <f t="shared" si="128"/>
        <v>88.07795822935303</v>
      </c>
      <c r="G184" s="177">
        <f t="shared" si="129"/>
        <v>3.0449451007632744E-2</v>
      </c>
      <c r="I184" s="11"/>
      <c r="J184" s="11"/>
      <c r="K184" s="11"/>
      <c r="L184" s="11"/>
      <c r="M184" s="11"/>
      <c r="N184" s="11"/>
    </row>
    <row r="185" spans="1:21">
      <c r="A185" t="str">
        <f t="shared" si="126"/>
        <v>23 Teaching and other educational professionals</v>
      </c>
      <c r="B185" s="11">
        <v>63.805255054476447</v>
      </c>
      <c r="C185" s="11">
        <v>62.540014608562529</v>
      </c>
      <c r="D185" s="11">
        <f t="shared" si="127"/>
        <v>-1.2652404459139177</v>
      </c>
      <c r="E185" s="11">
        <v>24.940271372884848</v>
      </c>
      <c r="F185" s="11">
        <f t="shared" si="128"/>
        <v>23.67503092697093</v>
      </c>
      <c r="G185" s="177">
        <f>IF(B185&gt;0,(1+(E185/B185))^(1/($C$6-$B$6))-1,0)</f>
        <v>2.2239522816477786E-2</v>
      </c>
      <c r="I185" s="11"/>
      <c r="J185" s="11"/>
      <c r="K185" s="11"/>
      <c r="L185" s="11"/>
      <c r="M185" s="11"/>
      <c r="N185" s="11"/>
    </row>
    <row r="186" spans="1:21">
      <c r="A186" t="str">
        <f t="shared" si="126"/>
        <v>24 Business, media and public service professionals</v>
      </c>
      <c r="B186" s="11">
        <v>267.88170328424013</v>
      </c>
      <c r="C186" s="11">
        <v>267.30013517447134</v>
      </c>
      <c r="D186" s="11">
        <f t="shared" si="127"/>
        <v>-0.58156810976879569</v>
      </c>
      <c r="E186" s="11">
        <v>108.03900597617029</v>
      </c>
      <c r="F186" s="11">
        <f t="shared" si="128"/>
        <v>107.45743786640149</v>
      </c>
      <c r="G186" s="177">
        <f t="shared" ref="G186:G207" si="130">IF(B186&gt;0,(1+(E186/B186))^(1/($C$6-$B$6))-1,0)</f>
        <v>2.2845910949046866E-2</v>
      </c>
      <c r="I186" s="11"/>
      <c r="J186" s="11"/>
      <c r="K186" s="11"/>
      <c r="L186" s="11"/>
      <c r="M186" s="11"/>
      <c r="N186" s="11"/>
    </row>
    <row r="187" spans="1:21">
      <c r="A187" t="str">
        <f t="shared" si="126"/>
        <v>31 Science, engineering and technology associate professionals</v>
      </c>
      <c r="B187" s="11">
        <v>99.72964743110299</v>
      </c>
      <c r="C187" s="11">
        <v>65.18292876606408</v>
      </c>
      <c r="D187" s="11">
        <f t="shared" si="127"/>
        <v>-34.54671866503891</v>
      </c>
      <c r="E187" s="11">
        <v>26.377281208930704</v>
      </c>
      <c r="F187" s="11">
        <f t="shared" si="128"/>
        <v>-8.1694374561082057</v>
      </c>
      <c r="G187" s="177">
        <f t="shared" si="130"/>
        <v>1.5767494724506781E-2</v>
      </c>
      <c r="I187" s="11"/>
      <c r="J187" s="11"/>
      <c r="K187" s="11"/>
      <c r="L187" s="11"/>
      <c r="M187" s="11"/>
      <c r="N187" s="11"/>
    </row>
    <row r="188" spans="1:21">
      <c r="A188" t="str">
        <f t="shared" si="126"/>
        <v>32 Health and social care associate professionals</v>
      </c>
      <c r="B188" s="11">
        <v>103.70870643350668</v>
      </c>
      <c r="C188" s="11">
        <v>208.89861587356893</v>
      </c>
      <c r="D188" s="11">
        <f t="shared" si="127"/>
        <v>105.18990944006225</v>
      </c>
      <c r="E188" s="11">
        <v>102.98043418473348</v>
      </c>
      <c r="F188" s="11">
        <f t="shared" si="128"/>
        <v>208.17034362479575</v>
      </c>
      <c r="G188" s="177">
        <f t="shared" si="130"/>
        <v>4.7048573582495923E-2</v>
      </c>
      <c r="I188" s="11"/>
      <c r="J188" s="11"/>
      <c r="K188" s="11"/>
      <c r="L188" s="11"/>
      <c r="M188" s="11"/>
      <c r="N188" s="11"/>
    </row>
    <row r="189" spans="1:21">
      <c r="A189" t="str">
        <f t="shared" si="126"/>
        <v>33 Protective service occupations</v>
      </c>
      <c r="B189" s="11">
        <v>60.920644218364053</v>
      </c>
      <c r="C189" s="11">
        <v>41.702596234348512</v>
      </c>
      <c r="D189" s="11">
        <f t="shared" si="127"/>
        <v>-19.218047984015541</v>
      </c>
      <c r="E189" s="11">
        <v>11.769425485779303</v>
      </c>
      <c r="F189" s="11">
        <f t="shared" si="128"/>
        <v>-7.4486224982362383</v>
      </c>
      <c r="G189" s="177">
        <f t="shared" si="130"/>
        <v>1.1845116256380406E-2</v>
      </c>
      <c r="I189" s="11"/>
      <c r="J189" s="11"/>
      <c r="K189" s="11"/>
      <c r="L189" s="11"/>
      <c r="M189" s="11"/>
      <c r="N189" s="11"/>
    </row>
    <row r="190" spans="1:21">
      <c r="A190" t="str">
        <f t="shared" si="126"/>
        <v>34 Culture, media and sports occupations</v>
      </c>
      <c r="B190" s="11">
        <v>89.206517663312439</v>
      </c>
      <c r="C190" s="11">
        <v>66.731645424225079</v>
      </c>
      <c r="D190" s="11">
        <f t="shared" si="127"/>
        <v>-22.474872239087361</v>
      </c>
      <c r="E190" s="11">
        <v>26.450767081697464</v>
      </c>
      <c r="F190" s="11">
        <f t="shared" ref="F190:F191" si="131">SUM(D190:E190)</f>
        <v>3.9758948426101028</v>
      </c>
      <c r="G190" s="177">
        <f t="shared" si="130"/>
        <v>1.7462536093092673E-2</v>
      </c>
      <c r="I190" s="11"/>
      <c r="J190" s="11"/>
      <c r="K190" s="11"/>
      <c r="L190" s="11"/>
      <c r="M190" s="11"/>
      <c r="N190" s="11"/>
    </row>
    <row r="191" spans="1:21">
      <c r="A191" t="str">
        <f t="shared" si="126"/>
        <v>35 Business and public service associate professionals</v>
      </c>
      <c r="B191" s="11">
        <v>343.49978057057399</v>
      </c>
      <c r="C191" s="11">
        <v>302.94095036525556</v>
      </c>
      <c r="D191" s="11">
        <f t="shared" si="127"/>
        <v>-40.558830205318429</v>
      </c>
      <c r="E191" s="11">
        <v>132.5851924021234</v>
      </c>
      <c r="F191" s="11">
        <f t="shared" si="131"/>
        <v>92.026362196804968</v>
      </c>
      <c r="G191" s="177">
        <f t="shared" si="130"/>
        <v>2.1999148563157211E-2</v>
      </c>
      <c r="I191" s="11"/>
      <c r="J191" s="11"/>
      <c r="K191" s="11"/>
      <c r="L191" s="11"/>
      <c r="M191" s="11"/>
      <c r="N191" s="11"/>
    </row>
    <row r="192" spans="1:21">
      <c r="A192" t="str">
        <f t="shared" si="126"/>
        <v>41 Administrative occupations</v>
      </c>
      <c r="B192" s="11">
        <v>540.21053421620047</v>
      </c>
      <c r="C192" s="11">
        <v>468.0742752173548</v>
      </c>
      <c r="D192" s="11">
        <f t="shared" si="127"/>
        <v>-72.136258998845676</v>
      </c>
      <c r="E192" s="11">
        <v>242.20544889820715</v>
      </c>
      <c r="F192" s="11">
        <f t="shared" ref="F192:F195" si="132">SUM(D192:E192)</f>
        <v>170.06918989936148</v>
      </c>
      <c r="G192" s="177">
        <f t="shared" si="130"/>
        <v>2.500262511163398E-2</v>
      </c>
      <c r="I192" s="11"/>
      <c r="J192" s="11"/>
      <c r="K192" s="11"/>
      <c r="L192" s="11"/>
      <c r="M192" s="11"/>
      <c r="N192" s="11"/>
    </row>
    <row r="193" spans="1:14">
      <c r="A193" t="str">
        <f t="shared" si="126"/>
        <v>42 Secretarial and related occupations</v>
      </c>
      <c r="B193" s="11">
        <v>109.09605370536821</v>
      </c>
      <c r="C193" s="11">
        <v>36.560881086667962</v>
      </c>
      <c r="D193" s="11">
        <f t="shared" si="127"/>
        <v>-72.535172618700244</v>
      </c>
      <c r="E193" s="11">
        <v>39.860919258390837</v>
      </c>
      <c r="F193" s="11">
        <f t="shared" si="132"/>
        <v>-32.674253360309407</v>
      </c>
      <c r="G193" s="177">
        <f t="shared" si="130"/>
        <v>2.0978946082002903E-2</v>
      </c>
      <c r="I193" s="11"/>
      <c r="J193" s="11"/>
      <c r="K193" s="11"/>
      <c r="L193" s="11"/>
      <c r="M193" s="11"/>
      <c r="N193" s="11"/>
    </row>
    <row r="194" spans="1:14">
      <c r="A194" t="str">
        <f t="shared" si="126"/>
        <v>51 Skilled agricultural and related trades</v>
      </c>
      <c r="B194" s="11">
        <v>40.525543283479607</v>
      </c>
      <c r="C194" s="11">
        <v>38.865788427019417</v>
      </c>
      <c r="D194" s="11">
        <f t="shared" si="127"/>
        <v>-1.6597548564601894</v>
      </c>
      <c r="E194" s="11">
        <v>20.021958079239777</v>
      </c>
      <c r="F194" s="11">
        <f t="shared" si="132"/>
        <v>18.362203222779588</v>
      </c>
      <c r="G194" s="177">
        <f t="shared" si="130"/>
        <v>2.7127819171669731E-2</v>
      </c>
      <c r="I194" s="11"/>
      <c r="J194" s="11"/>
      <c r="K194" s="11"/>
      <c r="L194" s="11"/>
      <c r="M194" s="11"/>
      <c r="N194" s="11"/>
    </row>
    <row r="195" spans="1:14">
      <c r="A195" t="str">
        <f t="shared" si="126"/>
        <v>52 Skilled metal, electrical and electronic trades</v>
      </c>
      <c r="B195" s="11">
        <v>386.23897692269026</v>
      </c>
      <c r="C195" s="11">
        <v>351.36845996977218</v>
      </c>
      <c r="D195" s="11">
        <f t="shared" si="127"/>
        <v>-34.870516952918081</v>
      </c>
      <c r="E195" s="11">
        <v>128.25901967403172</v>
      </c>
      <c r="F195" s="11">
        <f t="shared" si="132"/>
        <v>93.388502721113639</v>
      </c>
      <c r="G195" s="177">
        <f t="shared" si="130"/>
        <v>1.9299566077688901E-2</v>
      </c>
      <c r="I195" s="63"/>
      <c r="J195" s="57"/>
    </row>
    <row r="196" spans="1:14">
      <c r="A196" t="str">
        <f t="shared" si="126"/>
        <v>53 Skilled construction and building trades</v>
      </c>
      <c r="B196" s="11">
        <v>262.89421429055284</v>
      </c>
      <c r="C196" s="11">
        <v>219.80633270214221</v>
      </c>
      <c r="D196" s="11">
        <f t="shared" si="127"/>
        <v>-43.087881588410625</v>
      </c>
      <c r="E196" s="11">
        <v>91.833284879964282</v>
      </c>
      <c r="F196" s="11">
        <f t="shared" ref="F196" si="133">SUM(D196:E196)</f>
        <v>48.745403291553657</v>
      </c>
      <c r="G196" s="177">
        <f t="shared" si="130"/>
        <v>2.017401004995234E-2</v>
      </c>
    </row>
    <row r="197" spans="1:14">
      <c r="A197" t="str">
        <f t="shared" si="126"/>
        <v>54 Textiles, printing and other skilled trades</v>
      </c>
      <c r="B197" s="11">
        <v>133.87504987213867</v>
      </c>
      <c r="C197" s="11">
        <v>155.57155374039721</v>
      </c>
      <c r="D197" s="11">
        <f t="shared" si="127"/>
        <v>21.696503868258532</v>
      </c>
      <c r="E197" s="11">
        <v>61.672501029965595</v>
      </c>
      <c r="F197" s="11">
        <f t="shared" ref="F197" si="134">SUM(D197:E197)</f>
        <v>83.369004898224119</v>
      </c>
      <c r="G197" s="177">
        <f t="shared" si="130"/>
        <v>2.5581509823362492E-2</v>
      </c>
    </row>
    <row r="198" spans="1:14">
      <c r="A198" t="str">
        <f t="shared" si="126"/>
        <v>61 Caring personal service occupations</v>
      </c>
      <c r="B198" s="11">
        <v>733.0990844039859</v>
      </c>
      <c r="C198" s="11">
        <v>889.05638720983563</v>
      </c>
      <c r="D198" s="11">
        <f>C198-B198</f>
        <v>155.95730280584974</v>
      </c>
      <c r="E198" s="11">
        <v>454.76809476934812</v>
      </c>
      <c r="F198" s="11">
        <f>SUM(D198:E198)</f>
        <v>610.7253975751978</v>
      </c>
      <c r="G198" s="177">
        <f t="shared" si="130"/>
        <v>3.2698819067602747E-2</v>
      </c>
    </row>
    <row r="199" spans="1:14">
      <c r="A199" t="str">
        <f t="shared" si="126"/>
        <v>62 Leisure, travel and related personal service occupations</v>
      </c>
      <c r="B199" s="11">
        <v>156.16675746179777</v>
      </c>
      <c r="C199" s="11">
        <v>129.77405753013383</v>
      </c>
      <c r="D199" s="11">
        <f t="shared" ref="D199:D205" si="135">C199-B199</f>
        <v>-26.392699931663941</v>
      </c>
      <c r="E199" s="11">
        <v>63.686700629673773</v>
      </c>
      <c r="F199" s="11">
        <f t="shared" ref="F199:F200" si="136">SUM(D199:E199)</f>
        <v>37.294000698009832</v>
      </c>
      <c r="G199" s="177">
        <f t="shared" si="130"/>
        <v>2.3064418692742006E-2</v>
      </c>
    </row>
    <row r="200" spans="1:14">
      <c r="A200" t="str">
        <f t="shared" si="126"/>
        <v>63 Community and civil enforcement occupations</v>
      </c>
      <c r="B200" s="11">
        <v>5.1168184109386718</v>
      </c>
      <c r="C200" s="11">
        <v>3.4339538816269504</v>
      </c>
      <c r="D200" s="11">
        <f t="shared" si="135"/>
        <v>-1.6828645293117215</v>
      </c>
      <c r="E200" s="11">
        <v>1.2946184424687632</v>
      </c>
      <c r="F200" s="11">
        <f t="shared" si="136"/>
        <v>-0.38824608684295825</v>
      </c>
      <c r="G200" s="177">
        <f t="shared" si="130"/>
        <v>1.5150324153200057E-2</v>
      </c>
    </row>
    <row r="201" spans="1:14">
      <c r="A201" t="str">
        <f t="shared" si="126"/>
        <v>71 Sales occupations</v>
      </c>
      <c r="B201" s="11">
        <v>496.3448864387006</v>
      </c>
      <c r="C201" s="11">
        <v>512.86723823978161</v>
      </c>
      <c r="D201" s="11">
        <f t="shared" si="135"/>
        <v>16.522351801081015</v>
      </c>
      <c r="E201" s="11">
        <v>229.80112972743447</v>
      </c>
      <c r="F201" s="11">
        <f t="shared" ref="F201:F202" si="137">SUM(D201:E201)</f>
        <v>246.32348152851549</v>
      </c>
      <c r="G201" s="177">
        <f t="shared" si="130"/>
        <v>2.5689777458139051E-2</v>
      </c>
    </row>
    <row r="202" spans="1:14">
      <c r="A202" t="str">
        <f t="shared" si="126"/>
        <v>72 Customer service occupations</v>
      </c>
      <c r="B202" s="11">
        <v>124.70900684025813</v>
      </c>
      <c r="C202" s="11">
        <v>146.13130071179953</v>
      </c>
      <c r="D202" s="11">
        <f t="shared" si="135"/>
        <v>21.422293871541399</v>
      </c>
      <c r="E202" s="11">
        <v>58.695697225871612</v>
      </c>
      <c r="F202" s="11">
        <f t="shared" si="137"/>
        <v>80.117991097413011</v>
      </c>
      <c r="G202" s="177">
        <f t="shared" si="130"/>
        <v>2.6047602670652203E-2</v>
      </c>
    </row>
    <row r="203" spans="1:14">
      <c r="A203" t="str">
        <f t="shared" si="126"/>
        <v>81 Process, plant and machine operatives</v>
      </c>
      <c r="B203" s="11">
        <v>151.02693653123859</v>
      </c>
      <c r="C203" s="11">
        <v>185.40285462887917</v>
      </c>
      <c r="D203" s="11">
        <f t="shared" si="135"/>
        <v>34.375918097640579</v>
      </c>
      <c r="E203" s="11">
        <v>64.409135303707743</v>
      </c>
      <c r="F203" s="11">
        <f t="shared" ref="F203:F204" si="138">SUM(D203:E203)</f>
        <v>98.785053401348321</v>
      </c>
      <c r="G203" s="177">
        <f t="shared" si="130"/>
        <v>2.3963007461719865E-2</v>
      </c>
    </row>
    <row r="204" spans="1:14">
      <c r="A204" t="str">
        <f t="shared" si="126"/>
        <v>82 Transport and mobile machine drivers and operatives</v>
      </c>
      <c r="B204" s="11">
        <v>214.60005803791523</v>
      </c>
      <c r="C204" s="11">
        <v>250.01432262122057</v>
      </c>
      <c r="D204" s="11">
        <f t="shared" si="135"/>
        <v>35.414264583305339</v>
      </c>
      <c r="E204" s="11">
        <v>119.86508149690779</v>
      </c>
      <c r="F204" s="11">
        <f t="shared" si="138"/>
        <v>155.27934608021314</v>
      </c>
      <c r="G204" s="177">
        <f t="shared" si="130"/>
        <v>3.0025717583084921E-2</v>
      </c>
    </row>
    <row r="205" spans="1:14">
      <c r="A205" t="str">
        <f t="shared" si="126"/>
        <v>91 Elementary trades and related occupations</v>
      </c>
      <c r="B205" s="11">
        <v>60.752114184172825</v>
      </c>
      <c r="C205" s="11">
        <v>157.77357154703657</v>
      </c>
      <c r="D205" s="11">
        <f t="shared" si="135"/>
        <v>97.021457362863742</v>
      </c>
      <c r="E205" s="11">
        <v>59.40040723171014</v>
      </c>
      <c r="F205" s="11">
        <f t="shared" ref="F205" si="139">SUM(D205:E205)</f>
        <v>156.42186459457389</v>
      </c>
      <c r="G205" s="177">
        <f t="shared" si="130"/>
        <v>4.6513333957948211E-2</v>
      </c>
    </row>
    <row r="206" spans="1:14">
      <c r="A206" t="str">
        <f t="shared" si="126"/>
        <v>92 Elementary administration and service occupations</v>
      </c>
      <c r="B206" s="11">
        <v>466.91441419684907</v>
      </c>
      <c r="C206" s="11">
        <v>372.47316280201608</v>
      </c>
      <c r="D206" s="11">
        <f t="shared" ref="D206" si="140">C206-B206</f>
        <v>-94.441251394832989</v>
      </c>
      <c r="E206" s="11">
        <v>195.09933466507712</v>
      </c>
      <c r="F206" s="11">
        <f t="shared" ref="F206" si="141">SUM(D206:E206)</f>
        <v>100.65808327024413</v>
      </c>
      <c r="G206" s="177">
        <f t="shared" ref="G206" si="142">IF(B206&gt;0,(1+(E206/B206))^(1/($C$6-$B$6))-1,0)</f>
        <v>2.3549024024972276E-2</v>
      </c>
    </row>
    <row r="207" spans="1:14">
      <c r="A207" t="str">
        <f t="shared" si="126"/>
        <v>All occupations</v>
      </c>
      <c r="B207" s="11">
        <f>SUM(B181:B206)</f>
        <v>5842.7949099002708</v>
      </c>
      <c r="C207" s="11">
        <f t="shared" ref="C207:F207" si="143">SUM(C181:C206)</f>
        <v>5820.8764372967689</v>
      </c>
      <c r="D207" s="11">
        <f t="shared" si="143"/>
        <v>-21.918472603500078</v>
      </c>
      <c r="E207" s="11">
        <f t="shared" si="143"/>
        <v>2638.4442459049419</v>
      </c>
      <c r="F207" s="11">
        <f t="shared" si="143"/>
        <v>2616.5257733014414</v>
      </c>
      <c r="G207" s="177">
        <f t="shared" si="130"/>
        <v>2.5154316093494167E-2</v>
      </c>
    </row>
    <row r="209" spans="1:7" ht="25.5">
      <c r="A209" s="178" t="str">
        <f>CONCATENATE(name!F10," (Constrained)")</f>
        <v>RQF2 GCSE(A-C) &amp; equivalent (Constrained)</v>
      </c>
      <c r="B209" s="59">
        <f t="shared" ref="B209:G209" si="144">B122</f>
        <v>2020</v>
      </c>
      <c r="C209" s="59">
        <f t="shared" si="144"/>
        <v>2035</v>
      </c>
      <c r="D209" s="69" t="str">
        <f t="shared" si="144"/>
        <v>Net Change</v>
      </c>
      <c r="E209" s="69" t="str">
        <f t="shared" si="144"/>
        <v>Replacement Demand level</v>
      </c>
      <c r="F209" s="69" t="str">
        <f t="shared" si="144"/>
        <v>Total Requirement</v>
      </c>
      <c r="G209" s="69" t="str">
        <f t="shared" si="144"/>
        <v>Replacement Demand rate</v>
      </c>
    </row>
    <row r="210" spans="1:7">
      <c r="A210" t="str">
        <f t="shared" ref="A210:A236" si="145">A123</f>
        <v>11 Corporate managers and directors</v>
      </c>
      <c r="B210" s="11">
        <v>292.20855688537557</v>
      </c>
      <c r="C210" s="11">
        <v>180.85878272104983</v>
      </c>
      <c r="D210" s="11">
        <f>C210-B210</f>
        <v>-111.34977416432574</v>
      </c>
      <c r="E210" s="11">
        <v>100.4766486608995</v>
      </c>
      <c r="F210" s="11">
        <f>SUM(D210:E210)</f>
        <v>-10.873125503426238</v>
      </c>
      <c r="G210" s="177">
        <f>IF(B210&gt;0,(1+(E210/B210))^(1/($C$6-$B$6))-1,0)</f>
        <v>1.9898079519792722E-2</v>
      </c>
    </row>
    <row r="211" spans="1:7">
      <c r="A211" t="str">
        <f t="shared" si="145"/>
        <v>12 Other managers and proprietors</v>
      </c>
      <c r="B211" s="11">
        <v>168.05354766258824</v>
      </c>
      <c r="C211" s="11">
        <v>143.91902860001426</v>
      </c>
      <c r="D211" s="11">
        <f t="shared" ref="D211:D226" si="146">C211-B211</f>
        <v>-24.134519062573986</v>
      </c>
      <c r="E211" s="11">
        <v>83.76738067751208</v>
      </c>
      <c r="F211" s="11">
        <f t="shared" ref="F211:F218" si="147">SUM(D211:E211)</f>
        <v>59.632861614938093</v>
      </c>
      <c r="G211" s="177">
        <f t="shared" ref="G211:G213" si="148">IF(B211&gt;0,(1+(E211/B211))^(1/($C$6-$B$6))-1,0)</f>
        <v>2.7329144899592483E-2</v>
      </c>
    </row>
    <row r="212" spans="1:7">
      <c r="A212" t="str">
        <f t="shared" si="145"/>
        <v>21 Science, research, engineering and technology professionals</v>
      </c>
      <c r="B212" s="11">
        <v>160.77102837558149</v>
      </c>
      <c r="C212" s="11">
        <v>156.16918971525743</v>
      </c>
      <c r="D212" s="11">
        <f t="shared" si="146"/>
        <v>-4.6018386603240629</v>
      </c>
      <c r="E212" s="11">
        <v>56.503906023104626</v>
      </c>
      <c r="F212" s="11">
        <f t="shared" si="147"/>
        <v>51.902067362780564</v>
      </c>
      <c r="G212" s="177">
        <f t="shared" si="148"/>
        <v>2.0281759660740972E-2</v>
      </c>
    </row>
    <row r="213" spans="1:7">
      <c r="A213" t="str">
        <f t="shared" si="145"/>
        <v>22 Health professionals</v>
      </c>
      <c r="B213" s="11">
        <v>92.334272141857454</v>
      </c>
      <c r="C213" s="11">
        <v>68.201808825092129</v>
      </c>
      <c r="D213" s="11">
        <f t="shared" si="146"/>
        <v>-24.132463316765325</v>
      </c>
      <c r="E213" s="11">
        <v>38.493471931792918</v>
      </c>
      <c r="F213" s="11">
        <f t="shared" si="147"/>
        <v>14.361008615027593</v>
      </c>
      <c r="G213" s="177">
        <f t="shared" si="148"/>
        <v>2.350301935187793E-2</v>
      </c>
    </row>
    <row r="214" spans="1:7">
      <c r="A214" t="str">
        <f t="shared" si="145"/>
        <v>23 Teaching and other educational professionals</v>
      </c>
      <c r="B214" s="11">
        <v>45.053147846999231</v>
      </c>
      <c r="C214" s="11">
        <v>34.111002097343615</v>
      </c>
      <c r="D214" s="11">
        <f t="shared" si="146"/>
        <v>-10.942145749655616</v>
      </c>
      <c r="E214" s="11">
        <v>17.483366360495872</v>
      </c>
      <c r="F214" s="11">
        <f t="shared" si="147"/>
        <v>6.5412206108402557</v>
      </c>
      <c r="G214" s="177">
        <f>IF(B214&gt;0,(1+(E214/B214))^(1/($C$6-$B$6))-1,0)</f>
        <v>2.2101208943600792E-2</v>
      </c>
    </row>
    <row r="215" spans="1:7">
      <c r="A215" t="str">
        <f t="shared" si="145"/>
        <v>24 Business, media and public service professionals</v>
      </c>
      <c r="B215" s="11">
        <v>173.11526902517599</v>
      </c>
      <c r="C215" s="11">
        <v>127.52745363886899</v>
      </c>
      <c r="D215" s="11">
        <f t="shared" si="146"/>
        <v>-45.587815386307</v>
      </c>
      <c r="E215" s="11">
        <v>60.04397745856734</v>
      </c>
      <c r="F215" s="11">
        <f t="shared" si="147"/>
        <v>14.456162072260341</v>
      </c>
      <c r="G215" s="177">
        <f t="shared" ref="G215:G236" si="149">IF(B215&gt;0,(1+(E215/B215))^(1/($C$6-$B$6))-1,0)</f>
        <v>2.0049274289896557E-2</v>
      </c>
    </row>
    <row r="216" spans="1:7">
      <c r="A216" t="str">
        <f t="shared" si="145"/>
        <v>31 Science, engineering and technology associate professionals</v>
      </c>
      <c r="B216" s="11">
        <v>75.13090533230698</v>
      </c>
      <c r="C216" s="11">
        <v>62.113094672182136</v>
      </c>
      <c r="D216" s="11">
        <f t="shared" si="146"/>
        <v>-13.017810660124844</v>
      </c>
      <c r="E216" s="11">
        <v>24.606241652498174</v>
      </c>
      <c r="F216" s="11">
        <f t="shared" si="147"/>
        <v>11.588430992373329</v>
      </c>
      <c r="G216" s="177">
        <f t="shared" si="149"/>
        <v>1.9066569032547331E-2</v>
      </c>
    </row>
    <row r="217" spans="1:7">
      <c r="A217" t="str">
        <f t="shared" si="145"/>
        <v>32 Health and social care associate professionals</v>
      </c>
      <c r="B217" s="11">
        <v>72.204719962111326</v>
      </c>
      <c r="C217" s="11">
        <v>92.021323597616643</v>
      </c>
      <c r="D217" s="11">
        <f t="shared" si="146"/>
        <v>19.816603635505317</v>
      </c>
      <c r="E217" s="11">
        <v>51.892855019074922</v>
      </c>
      <c r="F217" s="11">
        <f t="shared" si="147"/>
        <v>71.709458654580231</v>
      </c>
      <c r="G217" s="177">
        <f t="shared" si="149"/>
        <v>3.6763853271242874E-2</v>
      </c>
    </row>
    <row r="218" spans="1:7">
      <c r="A218" t="str">
        <f t="shared" si="145"/>
        <v>33 Protective service occupations</v>
      </c>
      <c r="B218" s="11">
        <v>66.517401386878831</v>
      </c>
      <c r="C218" s="11">
        <v>37.089111862454615</v>
      </c>
      <c r="D218" s="11">
        <f t="shared" si="146"/>
        <v>-29.428289524424216</v>
      </c>
      <c r="E218" s="11">
        <v>13.659110580872461</v>
      </c>
      <c r="F218" s="11">
        <f t="shared" si="147"/>
        <v>-15.769178943551754</v>
      </c>
      <c r="G218" s="177">
        <f t="shared" si="149"/>
        <v>1.252897245035145E-2</v>
      </c>
    </row>
    <row r="219" spans="1:7">
      <c r="A219" t="str">
        <f t="shared" si="145"/>
        <v>34 Culture, media and sports occupations</v>
      </c>
      <c r="B219" s="11">
        <v>40.744987437033238</v>
      </c>
      <c r="C219" s="11">
        <v>16.270171753873104</v>
      </c>
      <c r="D219" s="11">
        <f t="shared" si="146"/>
        <v>-24.474815683160134</v>
      </c>
      <c r="E219" s="11">
        <v>9.2673865605507828</v>
      </c>
      <c r="F219" s="11">
        <f t="shared" ref="F219:F220" si="150">SUM(D219:E219)</f>
        <v>-15.207429122609351</v>
      </c>
      <c r="G219" s="177">
        <f t="shared" si="149"/>
        <v>1.3756267265766953E-2</v>
      </c>
    </row>
    <row r="220" spans="1:7">
      <c r="A220" t="str">
        <f t="shared" si="145"/>
        <v>35 Business and public service associate professionals</v>
      </c>
      <c r="B220" s="11">
        <v>262.92615540247124</v>
      </c>
      <c r="C220" s="11">
        <v>187.67745381466992</v>
      </c>
      <c r="D220" s="11">
        <f t="shared" si="146"/>
        <v>-75.248701587801321</v>
      </c>
      <c r="E220" s="11">
        <v>87.014211385192127</v>
      </c>
      <c r="F220" s="11">
        <f t="shared" si="150"/>
        <v>11.765509797390806</v>
      </c>
      <c r="G220" s="177">
        <f t="shared" si="149"/>
        <v>1.924209090801865E-2</v>
      </c>
    </row>
    <row r="221" spans="1:7">
      <c r="A221" t="str">
        <f t="shared" si="145"/>
        <v>41 Administrative occupations</v>
      </c>
      <c r="B221" s="11">
        <v>566.2334469202267</v>
      </c>
      <c r="C221" s="11">
        <v>366.55010780257834</v>
      </c>
      <c r="D221" s="11">
        <f t="shared" si="146"/>
        <v>-199.68333911764836</v>
      </c>
      <c r="E221" s="11">
        <v>207.0706402648444</v>
      </c>
      <c r="F221" s="11">
        <f t="shared" ref="F221:F224" si="151">SUM(D221:E221)</f>
        <v>7.387301147196041</v>
      </c>
      <c r="G221" s="177">
        <f t="shared" si="149"/>
        <v>2.0995087346847852E-2</v>
      </c>
    </row>
    <row r="222" spans="1:7">
      <c r="A222" t="str">
        <f t="shared" si="145"/>
        <v>42 Secretarial and related occupations</v>
      </c>
      <c r="B222" s="11">
        <v>120.61980827099188</v>
      </c>
      <c r="C222" s="11">
        <v>20.362731755414369</v>
      </c>
      <c r="D222" s="11">
        <f t="shared" si="146"/>
        <v>-100.25707651557751</v>
      </c>
      <c r="E222" s="11">
        <v>30.411248860592238</v>
      </c>
      <c r="F222" s="11">
        <f t="shared" si="151"/>
        <v>-69.845827654985271</v>
      </c>
      <c r="G222" s="177">
        <f t="shared" si="149"/>
        <v>1.5102370357256145E-2</v>
      </c>
    </row>
    <row r="223" spans="1:7">
      <c r="A223" t="str">
        <f t="shared" si="145"/>
        <v>51 Skilled agricultural and related trades</v>
      </c>
      <c r="B223" s="11">
        <v>61.879574623219447</v>
      </c>
      <c r="C223" s="11">
        <v>57.74752520686507</v>
      </c>
      <c r="D223" s="11">
        <f t="shared" si="146"/>
        <v>-4.1320494163543771</v>
      </c>
      <c r="E223" s="11">
        <v>32.222838899782452</v>
      </c>
      <c r="F223" s="11">
        <f t="shared" si="151"/>
        <v>28.090789483428075</v>
      </c>
      <c r="G223" s="177">
        <f t="shared" si="149"/>
        <v>2.8340395467894686E-2</v>
      </c>
    </row>
    <row r="224" spans="1:7">
      <c r="A224" t="str">
        <f t="shared" si="145"/>
        <v>52 Skilled metal, electrical and electronic trades</v>
      </c>
      <c r="B224" s="11">
        <v>218.51482078263501</v>
      </c>
      <c r="C224" s="11">
        <v>169.66472452055629</v>
      </c>
      <c r="D224" s="11">
        <f t="shared" si="146"/>
        <v>-48.850096262078722</v>
      </c>
      <c r="E224" s="11">
        <v>72.03842629807356</v>
      </c>
      <c r="F224" s="11">
        <f t="shared" si="151"/>
        <v>23.188330035994838</v>
      </c>
      <c r="G224" s="177">
        <f t="shared" si="149"/>
        <v>1.9177097111088282E-2</v>
      </c>
    </row>
    <row r="225" spans="1:7">
      <c r="A225" t="str">
        <f t="shared" si="145"/>
        <v>53 Skilled construction and building trades</v>
      </c>
      <c r="B225" s="11">
        <v>244.3172280168674</v>
      </c>
      <c r="C225" s="11">
        <v>250.01661654352446</v>
      </c>
      <c r="D225" s="11">
        <f t="shared" si="146"/>
        <v>5.6993885266570601</v>
      </c>
      <c r="E225" s="11">
        <v>112.90709633114975</v>
      </c>
      <c r="F225" s="11">
        <f t="shared" ref="F225" si="152">SUM(D225:E225)</f>
        <v>118.60648485780681</v>
      </c>
      <c r="G225" s="177">
        <f t="shared" si="149"/>
        <v>2.5649868653465191E-2</v>
      </c>
    </row>
    <row r="226" spans="1:7">
      <c r="A226" t="str">
        <f t="shared" si="145"/>
        <v>54 Textiles, printing and other skilled trades</v>
      </c>
      <c r="B226" s="11">
        <v>130.03780799380579</v>
      </c>
      <c r="C226" s="11">
        <v>104.24029487694069</v>
      </c>
      <c r="D226" s="11">
        <f t="shared" si="146"/>
        <v>-25.79751311686509</v>
      </c>
      <c r="E226" s="11">
        <v>45.770850936431074</v>
      </c>
      <c r="F226" s="11">
        <f t="shared" ref="F226" si="153">SUM(D226:E226)</f>
        <v>19.973337819565984</v>
      </c>
      <c r="G226" s="177">
        <f t="shared" si="149"/>
        <v>2.0308194680875857E-2</v>
      </c>
    </row>
    <row r="227" spans="1:7">
      <c r="A227" t="str">
        <f t="shared" si="145"/>
        <v>61 Caring personal service occupations</v>
      </c>
      <c r="B227" s="11">
        <v>489.52334376807897</v>
      </c>
      <c r="C227" s="11">
        <v>373.28017493812598</v>
      </c>
      <c r="D227" s="11">
        <f>C227-B227</f>
        <v>-116.24316882995299</v>
      </c>
      <c r="E227" s="11">
        <v>215.55336902105768</v>
      </c>
      <c r="F227" s="11">
        <f>SUM(D227:E227)</f>
        <v>99.310200191104684</v>
      </c>
      <c r="G227" s="177">
        <f t="shared" si="149"/>
        <v>2.4623229425954296E-2</v>
      </c>
    </row>
    <row r="228" spans="1:7">
      <c r="A228" t="str">
        <f t="shared" si="145"/>
        <v>62 Leisure, travel and related personal service occupations</v>
      </c>
      <c r="B228" s="11">
        <v>149.50623850725597</v>
      </c>
      <c r="C228" s="11">
        <v>98.57698371485472</v>
      </c>
      <c r="D228" s="11">
        <f t="shared" ref="D228:D234" si="154">C228-B228</f>
        <v>-50.929254792401252</v>
      </c>
      <c r="E228" s="11">
        <v>55.958034142745184</v>
      </c>
      <c r="F228" s="11">
        <f t="shared" ref="F228:F229" si="155">SUM(D228:E228)</f>
        <v>5.0287793503439318</v>
      </c>
      <c r="G228" s="177">
        <f t="shared" si="149"/>
        <v>2.1421825067615474E-2</v>
      </c>
    </row>
    <row r="229" spans="1:7">
      <c r="A229" t="str">
        <f t="shared" si="145"/>
        <v>63 Community and civil enforcement occupations</v>
      </c>
      <c r="B229" s="11">
        <v>7.4406536550202595</v>
      </c>
      <c r="C229" s="11">
        <v>4.9207187478068288</v>
      </c>
      <c r="D229" s="11">
        <f t="shared" si="154"/>
        <v>-2.5199349072134307</v>
      </c>
      <c r="E229" s="11">
        <v>2.2242421079234145</v>
      </c>
      <c r="F229" s="11">
        <f t="shared" si="155"/>
        <v>-0.29569279929001624</v>
      </c>
      <c r="G229" s="177">
        <f t="shared" si="149"/>
        <v>1.7589004667512009E-2</v>
      </c>
    </row>
    <row r="230" spans="1:7">
      <c r="A230" t="str">
        <f t="shared" si="145"/>
        <v>71 Sales occupations</v>
      </c>
      <c r="B230" s="11">
        <v>447.6352486381474</v>
      </c>
      <c r="C230" s="11">
        <v>347.08285106297035</v>
      </c>
      <c r="D230" s="11">
        <f t="shared" si="154"/>
        <v>-100.55239757517705</v>
      </c>
      <c r="E230" s="11">
        <v>186.51981113701606</v>
      </c>
      <c r="F230" s="11">
        <f t="shared" ref="F230:F231" si="156">SUM(D230:E230)</f>
        <v>85.96741356183901</v>
      </c>
      <c r="G230" s="177">
        <f t="shared" si="149"/>
        <v>2.3492691067800608E-2</v>
      </c>
    </row>
    <row r="231" spans="1:7">
      <c r="A231" t="str">
        <f t="shared" si="145"/>
        <v>72 Customer service occupations</v>
      </c>
      <c r="B231" s="11">
        <v>123.00843730380261</v>
      </c>
      <c r="C231" s="11">
        <v>117.38844476340691</v>
      </c>
      <c r="D231" s="11">
        <f t="shared" si="154"/>
        <v>-5.6199925403956996</v>
      </c>
      <c r="E231" s="11">
        <v>57.705151137039294</v>
      </c>
      <c r="F231" s="11">
        <f t="shared" si="156"/>
        <v>52.085158596643595</v>
      </c>
      <c r="G231" s="177">
        <f t="shared" si="149"/>
        <v>2.5975666540840159E-2</v>
      </c>
    </row>
    <row r="232" spans="1:7">
      <c r="A232" t="str">
        <f t="shared" si="145"/>
        <v>81 Process, plant and machine operatives</v>
      </c>
      <c r="B232" s="11">
        <v>185.80870552453959</v>
      </c>
      <c r="C232" s="11">
        <v>183.2656185560881</v>
      </c>
      <c r="D232" s="11">
        <f t="shared" si="154"/>
        <v>-2.5430869684514903</v>
      </c>
      <c r="E232" s="11">
        <v>78.266722053171947</v>
      </c>
      <c r="F232" s="11">
        <f t="shared" ref="F232:F233" si="157">SUM(D232:E232)</f>
        <v>75.723635084720456</v>
      </c>
      <c r="G232" s="177">
        <f t="shared" si="149"/>
        <v>2.371121770793061E-2</v>
      </c>
    </row>
    <row r="233" spans="1:7">
      <c r="A233" t="str">
        <f t="shared" si="145"/>
        <v>82 Transport and mobile machine drivers and operatives</v>
      </c>
      <c r="B233" s="11">
        <v>308.12976472745146</v>
      </c>
      <c r="C233" s="11">
        <v>314.9070537920631</v>
      </c>
      <c r="D233" s="11">
        <f t="shared" si="154"/>
        <v>6.7772890646116366</v>
      </c>
      <c r="E233" s="11">
        <v>173.52075787345936</v>
      </c>
      <c r="F233" s="11">
        <f t="shared" si="157"/>
        <v>180.298046938071</v>
      </c>
      <c r="G233" s="177">
        <f t="shared" si="149"/>
        <v>3.0227706824740297E-2</v>
      </c>
    </row>
    <row r="234" spans="1:7">
      <c r="A234" t="str">
        <f t="shared" si="145"/>
        <v>91 Elementary trades and related occupations</v>
      </c>
      <c r="B234" s="11">
        <v>97.20641465646608</v>
      </c>
      <c r="C234" s="11">
        <v>179.41082528128257</v>
      </c>
      <c r="D234" s="11">
        <f t="shared" si="154"/>
        <v>82.204410624816489</v>
      </c>
      <c r="E234" s="11">
        <v>70.054235501935437</v>
      </c>
      <c r="F234" s="11">
        <f t="shared" ref="F234" si="158">SUM(D234:E234)</f>
        <v>152.25864612675193</v>
      </c>
      <c r="G234" s="177">
        <f t="shared" si="149"/>
        <v>3.6843613710441314E-2</v>
      </c>
    </row>
    <row r="235" spans="1:7">
      <c r="A235" t="str">
        <f t="shared" si="145"/>
        <v>92 Elementary administration and service occupations</v>
      </c>
      <c r="B235" s="11">
        <v>731.24038564340549</v>
      </c>
      <c r="C235" s="11">
        <v>579.16960449247222</v>
      </c>
      <c r="D235" s="11">
        <f t="shared" ref="D235" si="159">C235-B235</f>
        <v>-152.07078115093327</v>
      </c>
      <c r="E235" s="11">
        <v>307.4225151096615</v>
      </c>
      <c r="F235" s="11">
        <f t="shared" ref="F235" si="160">SUM(D235:E235)</f>
        <v>155.35173395872823</v>
      </c>
      <c r="G235" s="177">
        <f t="shared" ref="G235" si="161">IF(B235&gt;0,(1+(E235/B235))^(1/($C$6-$B$6))-1,0)</f>
        <v>2.3672327566945706E-2</v>
      </c>
    </row>
    <row r="236" spans="1:7">
      <c r="A236" t="str">
        <f t="shared" si="145"/>
        <v>All occupations</v>
      </c>
      <c r="B236" s="11">
        <f>SUM(B210:B235)</f>
        <v>5330.1618704902939</v>
      </c>
      <c r="C236" s="11">
        <f t="shared" ref="C236:F236" si="162">SUM(C210:C235)</f>
        <v>4272.5426973533722</v>
      </c>
      <c r="D236" s="11">
        <f t="shared" si="162"/>
        <v>-1057.6191731369211</v>
      </c>
      <c r="E236" s="11">
        <f t="shared" si="162"/>
        <v>2190.8544959854439</v>
      </c>
      <c r="F236" s="11">
        <f t="shared" si="162"/>
        <v>1133.2353228485231</v>
      </c>
      <c r="G236" s="177">
        <f t="shared" si="149"/>
        <v>2.3220130450204213E-2</v>
      </c>
    </row>
    <row r="238" spans="1:7" ht="26.1">
      <c r="A238" s="178" t="str">
        <f>CONCATENATE(name!F11," (Constrained)")</f>
        <v>RQF1 GCSE(below grade C) &amp; equivalent (Constrained)</v>
      </c>
      <c r="B238" s="59">
        <f t="shared" ref="B238:G238" si="163">B151</f>
        <v>2020</v>
      </c>
      <c r="C238" s="59">
        <f t="shared" si="163"/>
        <v>2035</v>
      </c>
      <c r="D238" s="69" t="str">
        <f t="shared" si="163"/>
        <v>Net Change</v>
      </c>
      <c r="E238" s="69" t="str">
        <f t="shared" si="163"/>
        <v>Replacement Demand level</v>
      </c>
      <c r="F238" s="69" t="str">
        <f t="shared" si="163"/>
        <v>Total Requirement</v>
      </c>
      <c r="G238" s="69" t="str">
        <f t="shared" si="163"/>
        <v>Replacement Demand rate</v>
      </c>
    </row>
    <row r="239" spans="1:7">
      <c r="A239" t="str">
        <f t="shared" ref="A239:A265" si="164">A152</f>
        <v>11 Corporate managers and directors</v>
      </c>
      <c r="B239" s="11">
        <v>209.90556903788868</v>
      </c>
      <c r="C239" s="11">
        <v>129.03552487855623</v>
      </c>
      <c r="D239" s="11">
        <f>C239-B239</f>
        <v>-80.870044159332451</v>
      </c>
      <c r="E239" s="11">
        <v>69.565583131144891</v>
      </c>
      <c r="F239" s="11">
        <f>SUM(D239:E239)</f>
        <v>-11.304461028187561</v>
      </c>
      <c r="G239" s="177">
        <f>IF(B239&gt;0,(1+(E239/B239))^(1/($C$6-$B$6))-1,0)</f>
        <v>1.9265993917738422E-2</v>
      </c>
    </row>
    <row r="240" spans="1:7">
      <c r="A240" t="str">
        <f t="shared" si="164"/>
        <v>12 Other managers and proprietors</v>
      </c>
      <c r="B240" s="11">
        <v>109.97112842812747</v>
      </c>
      <c r="C240" s="11">
        <v>74.894757849255939</v>
      </c>
      <c r="D240" s="11">
        <f t="shared" ref="D240:D255" si="165">C240-B240</f>
        <v>-35.076370578871533</v>
      </c>
      <c r="E240" s="11">
        <v>42.383399838580907</v>
      </c>
      <c r="F240" s="11">
        <f t="shared" ref="F240:F247" si="166">SUM(D240:E240)</f>
        <v>7.307029259709374</v>
      </c>
      <c r="G240" s="177">
        <f t="shared" ref="G240:G242" si="167">IF(B240&gt;0,(1+(E240/B240))^(1/($C$6-$B$6))-1,0)</f>
        <v>2.197070230640441E-2</v>
      </c>
    </row>
    <row r="241" spans="1:7">
      <c r="A241" t="str">
        <f t="shared" si="164"/>
        <v>21 Science, research, engineering and technology professionals</v>
      </c>
      <c r="B241" s="11">
        <v>97.347438387127113</v>
      </c>
      <c r="C241" s="11">
        <v>71.746327085719017</v>
      </c>
      <c r="D241" s="11">
        <f t="shared" si="165"/>
        <v>-25.601111301408096</v>
      </c>
      <c r="E241" s="11">
        <v>27.95733618035116</v>
      </c>
      <c r="F241" s="11">
        <f t="shared" si="166"/>
        <v>2.3562248789430633</v>
      </c>
      <c r="G241" s="177">
        <f t="shared" si="167"/>
        <v>1.6973273064398553E-2</v>
      </c>
    </row>
    <row r="242" spans="1:7">
      <c r="A242" t="str">
        <f t="shared" si="164"/>
        <v>22 Health professionals</v>
      </c>
      <c r="B242" s="11">
        <v>51.003313160911681</v>
      </c>
      <c r="C242" s="11">
        <v>29.468027676488884</v>
      </c>
      <c r="D242" s="11">
        <f t="shared" si="165"/>
        <v>-21.535285484422797</v>
      </c>
      <c r="E242" s="11">
        <v>17.017525372001586</v>
      </c>
      <c r="F242" s="11">
        <f t="shared" si="166"/>
        <v>-4.517760112421211</v>
      </c>
      <c r="G242" s="177">
        <f t="shared" si="167"/>
        <v>1.9380307341693825E-2</v>
      </c>
    </row>
    <row r="243" spans="1:7">
      <c r="A243" t="str">
        <f t="shared" si="164"/>
        <v>23 Teaching and other educational professionals</v>
      </c>
      <c r="B243" s="11">
        <v>32.980425698827261</v>
      </c>
      <c r="C243" s="11">
        <v>22.05039763685404</v>
      </c>
      <c r="D243" s="11">
        <f t="shared" si="165"/>
        <v>-10.930028061973221</v>
      </c>
      <c r="E243" s="11">
        <v>11.312084507594919</v>
      </c>
      <c r="F243" s="11">
        <f t="shared" si="166"/>
        <v>0.38205644562169816</v>
      </c>
      <c r="G243" s="177">
        <f>IF(B243&gt;0,(1+(E243/B243))^(1/($C$6-$B$6))-1,0)</f>
        <v>1.9854623548904327E-2</v>
      </c>
    </row>
    <row r="244" spans="1:7">
      <c r="A244" t="str">
        <f t="shared" si="164"/>
        <v>24 Business, media and public service professionals</v>
      </c>
      <c r="B244" s="11">
        <v>110.07349956784061</v>
      </c>
      <c r="C244" s="11">
        <v>62.678802078407202</v>
      </c>
      <c r="D244" s="11">
        <f t="shared" si="165"/>
        <v>-47.394697489433412</v>
      </c>
      <c r="E244" s="11">
        <v>32.531722921511388</v>
      </c>
      <c r="F244" s="11">
        <f t="shared" si="166"/>
        <v>-14.862974567922024</v>
      </c>
      <c r="G244" s="177">
        <f t="shared" ref="G244:G265" si="168">IF(B244&gt;0,(1+(E244/B244))^(1/($C$6-$B$6))-1,0)</f>
        <v>1.7411972088138272E-2</v>
      </c>
    </row>
    <row r="245" spans="1:7">
      <c r="A245" t="str">
        <f t="shared" si="164"/>
        <v>31 Science, engineering and technology associate professionals</v>
      </c>
      <c r="B245" s="11">
        <v>61.255054141887378</v>
      </c>
      <c r="C245" s="11">
        <v>42.921332576184383</v>
      </c>
      <c r="D245" s="11">
        <f t="shared" si="165"/>
        <v>-18.333721565702994</v>
      </c>
      <c r="E245" s="11">
        <v>17.666672697908758</v>
      </c>
      <c r="F245" s="11">
        <f t="shared" si="166"/>
        <v>-0.66704886779423589</v>
      </c>
      <c r="G245" s="177">
        <f>IF(B245&gt;0,(1+(E245/B245))^(1/($C$6-$B$6))-1,0)</f>
        <v>1.7037524140213423E-2</v>
      </c>
    </row>
    <row r="246" spans="1:7">
      <c r="A246" t="str">
        <f t="shared" si="164"/>
        <v>32 Health and social care associate professionals</v>
      </c>
      <c r="B246" s="11">
        <v>23.657839568444032</v>
      </c>
      <c r="C246" s="11">
        <v>21.232063751409434</v>
      </c>
      <c r="D246" s="11">
        <f t="shared" si="165"/>
        <v>-2.425775817034598</v>
      </c>
      <c r="E246" s="11">
        <v>11.71211784568408</v>
      </c>
      <c r="F246" s="11">
        <f t="shared" si="166"/>
        <v>9.2863420286494822</v>
      </c>
      <c r="G246" s="177">
        <f t="shared" si="168"/>
        <v>2.7173871588561882E-2</v>
      </c>
    </row>
    <row r="247" spans="1:7">
      <c r="A247" t="str">
        <f t="shared" si="164"/>
        <v>33 Protective service occupations</v>
      </c>
      <c r="B247" s="11">
        <v>37.383907858670774</v>
      </c>
      <c r="C247" s="11">
        <v>24.768385843027239</v>
      </c>
      <c r="D247" s="11">
        <f t="shared" si="165"/>
        <v>-12.615522015643535</v>
      </c>
      <c r="E247" s="11">
        <v>9.8181060953289094</v>
      </c>
      <c r="F247" s="11">
        <f t="shared" si="166"/>
        <v>-2.7974159203146254</v>
      </c>
      <c r="G247" s="177">
        <f t="shared" si="168"/>
        <v>1.5667888818931885E-2</v>
      </c>
    </row>
    <row r="248" spans="1:7">
      <c r="A248" t="str">
        <f t="shared" si="164"/>
        <v>34 Culture, media and sports occupations</v>
      </c>
      <c r="B248" s="11">
        <v>36.043960252654635</v>
      </c>
      <c r="C248" s="11">
        <v>14.712734183956155</v>
      </c>
      <c r="D248" s="11">
        <f t="shared" si="165"/>
        <v>-21.331226068698481</v>
      </c>
      <c r="E248" s="11">
        <v>7.8459942764677226</v>
      </c>
      <c r="F248" s="11">
        <f t="shared" ref="F248:F249" si="169">SUM(D248:E248)</f>
        <v>-13.485231792230758</v>
      </c>
      <c r="G248" s="177">
        <f t="shared" si="168"/>
        <v>1.3216317303514025E-2</v>
      </c>
    </row>
    <row r="249" spans="1:7">
      <c r="A249" t="str">
        <f t="shared" si="164"/>
        <v>35 Business and public service associate professionals</v>
      </c>
      <c r="B249" s="11">
        <v>159.05284035969188</v>
      </c>
      <c r="C249" s="11">
        <v>85.599353728968808</v>
      </c>
      <c r="D249" s="11">
        <f t="shared" si="165"/>
        <v>-73.453486630723077</v>
      </c>
      <c r="E249" s="11">
        <v>42.161007782778384</v>
      </c>
      <c r="F249" s="11">
        <f t="shared" si="169"/>
        <v>-31.292478847944693</v>
      </c>
      <c r="G249" s="177">
        <f t="shared" si="168"/>
        <v>1.5798956876227344E-2</v>
      </c>
    </row>
    <row r="250" spans="1:7">
      <c r="A250" t="str">
        <f t="shared" si="164"/>
        <v>41 Administrative occupations</v>
      </c>
      <c r="B250" s="11">
        <v>275.4574163936079</v>
      </c>
      <c r="C250" s="11">
        <v>73.445081768908238</v>
      </c>
      <c r="D250" s="11">
        <f t="shared" si="165"/>
        <v>-202.01233462469966</v>
      </c>
      <c r="E250" s="11">
        <v>59.957696115311904</v>
      </c>
      <c r="F250" s="11">
        <f t="shared" ref="F250:F253" si="170">SUM(D250:E250)</f>
        <v>-142.05463850938776</v>
      </c>
      <c r="G250" s="177">
        <f t="shared" si="168"/>
        <v>1.3215621716221593E-2</v>
      </c>
    </row>
    <row r="251" spans="1:7">
      <c r="A251" t="str">
        <f t="shared" si="164"/>
        <v>42 Secretarial and related occupations</v>
      </c>
      <c r="B251" s="11">
        <v>110.79077049754743</v>
      </c>
      <c r="C251" s="11">
        <v>13.570530736849497</v>
      </c>
      <c r="D251" s="11">
        <f t="shared" si="165"/>
        <v>-97.220239760697936</v>
      </c>
      <c r="E251" s="11">
        <v>20.77788413906843</v>
      </c>
      <c r="F251" s="11">
        <f t="shared" si="170"/>
        <v>-76.442355621629503</v>
      </c>
      <c r="G251" s="177">
        <f t="shared" si="168"/>
        <v>1.1524928212070185E-2</v>
      </c>
    </row>
    <row r="252" spans="1:7">
      <c r="A252" t="str">
        <f t="shared" si="164"/>
        <v>51 Skilled agricultural and related trades</v>
      </c>
      <c r="B252" s="11">
        <v>49.560329443156306</v>
      </c>
      <c r="C252" s="11">
        <v>48.666959219388666</v>
      </c>
      <c r="D252" s="11">
        <f t="shared" si="165"/>
        <v>-0.89337022376763997</v>
      </c>
      <c r="E252" s="11">
        <v>21.580990508756944</v>
      </c>
      <c r="F252" s="11">
        <f t="shared" si="170"/>
        <v>20.687620284989304</v>
      </c>
      <c r="G252" s="177">
        <f t="shared" si="168"/>
        <v>2.4391223414589547E-2</v>
      </c>
    </row>
    <row r="253" spans="1:7">
      <c r="A253" t="str">
        <f t="shared" si="164"/>
        <v>52 Skilled metal, electrical and electronic trades</v>
      </c>
      <c r="B253" s="11">
        <v>104.72369285756719</v>
      </c>
      <c r="C253" s="11">
        <v>52.997258902468786</v>
      </c>
      <c r="D253" s="11">
        <f t="shared" si="165"/>
        <v>-51.7264339550984</v>
      </c>
      <c r="E253" s="11">
        <v>29.156557086185629</v>
      </c>
      <c r="F253" s="11">
        <f t="shared" si="170"/>
        <v>-22.569876868912772</v>
      </c>
      <c r="G253" s="177">
        <f t="shared" si="168"/>
        <v>1.6509490554647233E-2</v>
      </c>
    </row>
    <row r="254" spans="1:7">
      <c r="A254" t="str">
        <f t="shared" si="164"/>
        <v>53 Skilled construction and building trades</v>
      </c>
      <c r="B254" s="11">
        <v>117.51029453189624</v>
      </c>
      <c r="C254" s="11">
        <v>109.23327610354238</v>
      </c>
      <c r="D254" s="11">
        <f t="shared" si="165"/>
        <v>-8.2770184283538555</v>
      </c>
      <c r="E254" s="11">
        <v>45.156617315755298</v>
      </c>
      <c r="F254" s="11">
        <f t="shared" ref="F254" si="171">SUM(D254:E254)</f>
        <v>36.879598887401443</v>
      </c>
      <c r="G254" s="177">
        <f t="shared" si="168"/>
        <v>2.191526642255015E-2</v>
      </c>
    </row>
    <row r="255" spans="1:7">
      <c r="A255" t="str">
        <f t="shared" si="164"/>
        <v>54 Textiles, printing and other skilled trades</v>
      </c>
      <c r="B255" s="11">
        <v>115.29775774774505</v>
      </c>
      <c r="C255" s="11">
        <v>92.860172933411192</v>
      </c>
      <c r="D255" s="11">
        <f t="shared" si="165"/>
        <v>-22.43758481433386</v>
      </c>
      <c r="E255" s="11">
        <v>39.871645009716971</v>
      </c>
      <c r="F255" s="11">
        <f t="shared" ref="F255" si="172">SUM(D255:E255)</f>
        <v>17.434060195383111</v>
      </c>
      <c r="G255" s="177">
        <f t="shared" si="168"/>
        <v>1.9997283520389431E-2</v>
      </c>
    </row>
    <row r="256" spans="1:7">
      <c r="A256" t="str">
        <f t="shared" si="164"/>
        <v>61 Caring personal service occupations</v>
      </c>
      <c r="B256" s="11">
        <v>82.037160606433673</v>
      </c>
      <c r="C256" s="11">
        <v>51.313631520522478</v>
      </c>
      <c r="D256" s="11">
        <f>C256-B256</f>
        <v>-30.723529085911196</v>
      </c>
      <c r="E256" s="11">
        <v>19.382603273462145</v>
      </c>
      <c r="F256" s="11">
        <f>SUM(D256:E256)</f>
        <v>-11.340925812449051</v>
      </c>
      <c r="G256" s="177">
        <f t="shared" si="168"/>
        <v>1.4240149173053718E-2</v>
      </c>
    </row>
    <row r="257" spans="1:7">
      <c r="A257" t="str">
        <f t="shared" si="164"/>
        <v>62 Leisure, travel and related personal service occupations</v>
      </c>
      <c r="B257" s="11">
        <v>99.16459056316657</v>
      </c>
      <c r="C257" s="11">
        <v>67.905933004272526</v>
      </c>
      <c r="D257" s="11">
        <f t="shared" ref="D257:D263" si="173">C257-B257</f>
        <v>-31.258657558894043</v>
      </c>
      <c r="E257" s="11">
        <v>34.136715985250049</v>
      </c>
      <c r="F257" s="11">
        <f t="shared" ref="F257:F258" si="174">SUM(D257:E257)</f>
        <v>2.8780584263560058</v>
      </c>
      <c r="G257" s="177">
        <f t="shared" si="168"/>
        <v>1.9917833378306993E-2</v>
      </c>
    </row>
    <row r="258" spans="1:7">
      <c r="A258" t="str">
        <f t="shared" si="164"/>
        <v>63 Community and civil enforcement occupations</v>
      </c>
      <c r="B258" s="11">
        <v>6.4052647204224762</v>
      </c>
      <c r="C258" s="11">
        <v>3.9734101096889849</v>
      </c>
      <c r="D258" s="11">
        <f t="shared" si="173"/>
        <v>-2.4318546107334913</v>
      </c>
      <c r="E258" s="11">
        <v>1.8073769223752287</v>
      </c>
      <c r="F258" s="11">
        <f t="shared" si="174"/>
        <v>-0.62447768835826256</v>
      </c>
      <c r="G258" s="177">
        <f t="shared" si="168"/>
        <v>1.6708339795641125E-2</v>
      </c>
    </row>
    <row r="259" spans="1:7">
      <c r="A259" t="str">
        <f t="shared" si="164"/>
        <v>71 Sales occupations</v>
      </c>
      <c r="B259" s="11">
        <v>307.03662981297884</v>
      </c>
      <c r="C259" s="11">
        <v>105.2204141270424</v>
      </c>
      <c r="D259" s="11">
        <f t="shared" si="173"/>
        <v>-201.81621568593644</v>
      </c>
      <c r="E259" s="11">
        <v>76.563060306016922</v>
      </c>
      <c r="F259" s="11">
        <f t="shared" ref="F259:F260" si="175">SUM(D259:E259)</f>
        <v>-125.25315537991952</v>
      </c>
      <c r="G259" s="177">
        <f t="shared" si="168"/>
        <v>1.4952857183994084E-2</v>
      </c>
    </row>
    <row r="260" spans="1:7">
      <c r="A260" t="str">
        <f t="shared" si="164"/>
        <v>72 Customer service occupations</v>
      </c>
      <c r="B260" s="11">
        <v>59.291194040056354</v>
      </c>
      <c r="C260" s="11">
        <v>49.89245611415032</v>
      </c>
      <c r="D260" s="11">
        <f t="shared" si="173"/>
        <v>-9.3987379259060333</v>
      </c>
      <c r="E260" s="11">
        <v>17.861692143962465</v>
      </c>
      <c r="F260" s="11">
        <f t="shared" si="175"/>
        <v>8.4629542180564314</v>
      </c>
      <c r="G260" s="177">
        <f t="shared" si="168"/>
        <v>1.7710211205951953E-2</v>
      </c>
    </row>
    <row r="261" spans="1:7">
      <c r="A261" t="str">
        <f t="shared" si="164"/>
        <v>81 Process, plant and machine operatives</v>
      </c>
      <c r="B261" s="11">
        <v>144.1807609122682</v>
      </c>
      <c r="C261" s="11">
        <v>61.151702403295126</v>
      </c>
      <c r="D261" s="11">
        <f t="shared" si="173"/>
        <v>-83.029058508973065</v>
      </c>
      <c r="E261" s="11">
        <v>39.212036880575134</v>
      </c>
      <c r="F261" s="11">
        <f t="shared" ref="F261:F262" si="176">SUM(D261:E261)</f>
        <v>-43.817021628397931</v>
      </c>
      <c r="G261" s="177">
        <f t="shared" si="168"/>
        <v>1.6166790410178988E-2</v>
      </c>
    </row>
    <row r="262" spans="1:7">
      <c r="A262" t="str">
        <f t="shared" si="164"/>
        <v>82 Transport and mobile machine drivers and operatives</v>
      </c>
      <c r="B262" s="11">
        <v>258.58044055330805</v>
      </c>
      <c r="C262" s="11">
        <v>181.85023456615048</v>
      </c>
      <c r="D262" s="11">
        <f t="shared" si="173"/>
        <v>-76.730205987157575</v>
      </c>
      <c r="E262" s="11">
        <v>101.7256288380344</v>
      </c>
      <c r="F262" s="11">
        <f t="shared" si="176"/>
        <v>24.995422850876821</v>
      </c>
      <c r="G262" s="177">
        <f t="shared" si="168"/>
        <v>2.236285114465919E-2</v>
      </c>
    </row>
    <row r="263" spans="1:7">
      <c r="A263" t="str">
        <f t="shared" si="164"/>
        <v>91 Elementary trades and related occupations</v>
      </c>
      <c r="B263" s="11">
        <v>117.51579728372072</v>
      </c>
      <c r="C263" s="11">
        <v>173.09996587075173</v>
      </c>
      <c r="D263" s="11">
        <f t="shared" si="173"/>
        <v>55.584168587031016</v>
      </c>
      <c r="E263" s="11">
        <v>75.258240995821041</v>
      </c>
      <c r="F263" s="11">
        <f t="shared" ref="F263" si="177">SUM(D263:E263)</f>
        <v>130.84240958285204</v>
      </c>
      <c r="G263" s="177">
        <f t="shared" si="168"/>
        <v>3.3546814839545913E-2</v>
      </c>
    </row>
    <row r="264" spans="1:7">
      <c r="A264" t="str">
        <f t="shared" si="164"/>
        <v>92 Elementary administration and service occupations</v>
      </c>
      <c r="B264" s="11">
        <v>657.11372109064894</v>
      </c>
      <c r="C264" s="11">
        <v>385.42239729525897</v>
      </c>
      <c r="D264" s="11">
        <f t="shared" ref="D264" si="178">C264-B264</f>
        <v>-271.69132379538996</v>
      </c>
      <c r="E264" s="11">
        <v>204.60645546312094</v>
      </c>
      <c r="F264" s="11">
        <f t="shared" ref="F264" si="179">SUM(D264:E264)</f>
        <v>-67.084868332269025</v>
      </c>
      <c r="G264" s="177">
        <f t="shared" ref="G264" si="180">IF(B264&gt;0,(1+(E264/B264))^(1/($C$6-$B$6))-1,0)</f>
        <v>1.8235845651650484E-2</v>
      </c>
    </row>
    <row r="265" spans="1:7">
      <c r="A265" t="str">
        <f t="shared" si="164"/>
        <v>All occupations</v>
      </c>
      <c r="B265" s="11">
        <f>SUM(B239:B264)</f>
        <v>3433.3407975165951</v>
      </c>
      <c r="C265" s="11">
        <f t="shared" ref="C265:F265" si="181">SUM(C239:C264)</f>
        <v>2049.7111319645287</v>
      </c>
      <c r="D265" s="11">
        <f t="shared" si="181"/>
        <v>-1383.6296655520664</v>
      </c>
      <c r="E265" s="11">
        <f t="shared" si="181"/>
        <v>1077.0267516327663</v>
      </c>
      <c r="F265" s="11">
        <f t="shared" si="181"/>
        <v>-306.60291391930014</v>
      </c>
      <c r="G265" s="177">
        <f t="shared" si="168"/>
        <v>1.8356097190358467E-2</v>
      </c>
    </row>
    <row r="267" spans="1:7" ht="25.5">
      <c r="A267" s="178" t="str">
        <f>CONCATENATE(name!F12," (Constrained)")</f>
        <v>No Qualification (Constrained)</v>
      </c>
      <c r="B267" s="59">
        <f t="shared" ref="B267:G267" si="182">B180</f>
        <v>2020</v>
      </c>
      <c r="C267" s="59">
        <f t="shared" si="182"/>
        <v>2035</v>
      </c>
      <c r="D267" s="69" t="str">
        <f t="shared" si="182"/>
        <v>Net Change</v>
      </c>
      <c r="E267" s="69" t="str">
        <f t="shared" si="182"/>
        <v>Replacement Demand level</v>
      </c>
      <c r="F267" s="69" t="str">
        <f t="shared" si="182"/>
        <v>Total Requirement</v>
      </c>
      <c r="G267" s="69" t="str">
        <f t="shared" si="182"/>
        <v>Replacement Demand rate</v>
      </c>
    </row>
    <row r="268" spans="1:7">
      <c r="A268" t="str">
        <f t="shared" ref="A268:A294" si="183">A181</f>
        <v>11 Corporate managers and directors</v>
      </c>
      <c r="B268" s="11">
        <v>40.294019151682562</v>
      </c>
      <c r="C268" s="11">
        <v>35.028317490927833</v>
      </c>
      <c r="D268" s="11">
        <f>C268-B268</f>
        <v>-5.2657016607547291</v>
      </c>
      <c r="E268" s="11">
        <v>11.873520598983397</v>
      </c>
      <c r="F268" s="11">
        <f>SUM(D268:E268)</f>
        <v>6.6078189382286681</v>
      </c>
      <c r="G268" s="177">
        <f>IF(B268&gt;0,(1+(E268/B268))^(1/($C$6-$B$6))-1,0)</f>
        <v>1.7366230118680548E-2</v>
      </c>
    </row>
    <row r="269" spans="1:7">
      <c r="A269" t="str">
        <f t="shared" si="183"/>
        <v>12 Other managers and proprietors</v>
      </c>
      <c r="B269" s="11">
        <v>34.931534133633967</v>
      </c>
      <c r="C269" s="11">
        <v>33.346160858090848</v>
      </c>
      <c r="D269" s="11">
        <f t="shared" ref="D269:D284" si="184">C269-B269</f>
        <v>-1.5853732755431196</v>
      </c>
      <c r="E269" s="11">
        <v>12.354729112490737</v>
      </c>
      <c r="F269" s="11">
        <f t="shared" ref="F269:F276" si="185">SUM(D269:E269)</f>
        <v>10.769355836947618</v>
      </c>
      <c r="G269" s="177">
        <f t="shared" ref="G269:G271" si="186">IF(B269&gt;0,(1+(E269/B269))^(1/($C$6-$B$6))-1,0)</f>
        <v>2.039382648452337E-2</v>
      </c>
    </row>
    <row r="270" spans="1:7">
      <c r="A270" t="str">
        <f t="shared" si="183"/>
        <v>21 Science, research, engineering and technology professionals</v>
      </c>
      <c r="B270" s="11">
        <v>22.945912021886116</v>
      </c>
      <c r="C270" s="11">
        <v>33.630195683048605</v>
      </c>
      <c r="D270" s="11">
        <f t="shared" si="184"/>
        <v>10.684283661162489</v>
      </c>
      <c r="E270" s="11">
        <v>9.15959449113533</v>
      </c>
      <c r="F270" s="11">
        <f t="shared" si="185"/>
        <v>19.843878152297819</v>
      </c>
      <c r="G270" s="177">
        <f t="shared" si="186"/>
        <v>2.2645111814432184E-2</v>
      </c>
    </row>
    <row r="271" spans="1:7">
      <c r="A271" t="str">
        <f t="shared" si="183"/>
        <v>22 Health professionals</v>
      </c>
      <c r="B271" s="11">
        <v>7.989853975289444</v>
      </c>
      <c r="C271" s="11">
        <v>9.4541443759564476</v>
      </c>
      <c r="D271" s="11">
        <f t="shared" si="184"/>
        <v>1.4642904006670037</v>
      </c>
      <c r="E271" s="11">
        <v>3.3074803188282016</v>
      </c>
      <c r="F271" s="11">
        <f t="shared" si="185"/>
        <v>4.7717707194952048</v>
      </c>
      <c r="G271" s="177">
        <f t="shared" si="186"/>
        <v>2.3361660756684222E-2</v>
      </c>
    </row>
    <row r="272" spans="1:7">
      <c r="A272" t="str">
        <f t="shared" si="183"/>
        <v>23 Teaching and other educational professionals</v>
      </c>
      <c r="B272" s="11">
        <v>7.8679704696597952</v>
      </c>
      <c r="C272" s="11">
        <v>7.5370763511777294</v>
      </c>
      <c r="D272" s="11">
        <f t="shared" si="184"/>
        <v>-0.33089411848206574</v>
      </c>
      <c r="E272" s="11">
        <v>2.9702532601061558</v>
      </c>
      <c r="F272" s="11">
        <f t="shared" si="185"/>
        <v>2.63935914162409</v>
      </c>
      <c r="G272" s="177">
        <f>IF(B272&gt;0,(1+(E272/B272))^(1/($C$6-$B$6))-1,0)</f>
        <v>2.1581515110370875E-2</v>
      </c>
    </row>
    <row r="273" spans="1:7">
      <c r="A273" t="str">
        <f t="shared" si="183"/>
        <v>24 Business, media and public service professionals</v>
      </c>
      <c r="B273" s="11">
        <v>25.789818829127732</v>
      </c>
      <c r="C273" s="11">
        <v>25.98693065891414</v>
      </c>
      <c r="D273" s="11">
        <f t="shared" si="184"/>
        <v>0.19711182978640807</v>
      </c>
      <c r="E273" s="11">
        <v>9.0250448053513157</v>
      </c>
      <c r="F273" s="11">
        <f t="shared" si="185"/>
        <v>9.2221566351377238</v>
      </c>
      <c r="G273" s="177">
        <f t="shared" ref="G273" si="187">IF(B273&gt;0,(1+(E273/B273))^(1/($C$6-$B$6))-1,0)</f>
        <v>2.0205734826006738E-2</v>
      </c>
    </row>
    <row r="274" spans="1:7">
      <c r="A274" t="str">
        <f t="shared" si="183"/>
        <v>31 Science, engineering and technology associate professionals</v>
      </c>
      <c r="B274" s="11">
        <v>13.909727452078373</v>
      </c>
      <c r="C274" s="11">
        <v>20.050269727304507</v>
      </c>
      <c r="D274" s="11">
        <f t="shared" si="184"/>
        <v>6.1405422752261334</v>
      </c>
      <c r="E274" s="11">
        <v>6.2371815360897784</v>
      </c>
      <c r="F274" s="11">
        <f t="shared" si="185"/>
        <v>12.377723811315912</v>
      </c>
      <c r="G274" s="177">
        <f>IF(B274&gt;0,(1+(E274/B274))^(1/($C$6-$B$6))-1,0)</f>
        <v>2.5005007178489747E-2</v>
      </c>
    </row>
    <row r="275" spans="1:7">
      <c r="A275" t="str">
        <f t="shared" si="183"/>
        <v>32 Health and social care associate professionals</v>
      </c>
      <c r="B275" s="11">
        <v>4.3366892885218515</v>
      </c>
      <c r="C275" s="11">
        <v>8.3920889689066165</v>
      </c>
      <c r="D275" s="11">
        <f t="shared" si="184"/>
        <v>4.0553996803847649</v>
      </c>
      <c r="E275" s="11">
        <v>2.8606166718192081</v>
      </c>
      <c r="F275" s="11">
        <f t="shared" si="185"/>
        <v>6.9160163522039735</v>
      </c>
      <c r="G275" s="177">
        <f t="shared" ref="G275:G292" si="188">IF(B275&gt;0,(1+(E275/B275))^(1/($C$6-$B$6))-1,0)</f>
        <v>3.4349821537767333E-2</v>
      </c>
    </row>
    <row r="276" spans="1:7">
      <c r="A276" t="str">
        <f t="shared" si="183"/>
        <v>33 Protective service occupations</v>
      </c>
      <c r="B276" s="11">
        <v>5.0095329307529548</v>
      </c>
      <c r="C276" s="11">
        <v>3.0972502531008241</v>
      </c>
      <c r="D276" s="11">
        <f t="shared" si="184"/>
        <v>-1.9122826776521307</v>
      </c>
      <c r="E276" s="11">
        <v>0.76856912764039531</v>
      </c>
      <c r="F276" s="11">
        <f t="shared" si="185"/>
        <v>-1.1437135500117352</v>
      </c>
      <c r="G276" s="177">
        <f t="shared" si="188"/>
        <v>9.560921814607326E-3</v>
      </c>
    </row>
    <row r="277" spans="1:7">
      <c r="A277" t="str">
        <f t="shared" si="183"/>
        <v>34 Culture, media and sports occupations</v>
      </c>
      <c r="B277" s="11">
        <v>12.373648742971801</v>
      </c>
      <c r="C277" s="11">
        <v>10.174900179019456</v>
      </c>
      <c r="D277" s="11">
        <f t="shared" si="184"/>
        <v>-2.1987485639523445</v>
      </c>
      <c r="E277" s="11">
        <v>3.5630714833570432</v>
      </c>
      <c r="F277" s="11">
        <f t="shared" ref="F277:F278" si="189">SUM(D277:E277)</f>
        <v>1.3643229194046986</v>
      </c>
      <c r="G277" s="177">
        <f t="shared" si="188"/>
        <v>1.7013562039283059E-2</v>
      </c>
    </row>
    <row r="278" spans="1:7">
      <c r="A278" t="str">
        <f t="shared" si="183"/>
        <v>35 Business and public service associate professionals</v>
      </c>
      <c r="B278" s="11">
        <v>34.317039205735298</v>
      </c>
      <c r="C278" s="11">
        <v>28.949618031621242</v>
      </c>
      <c r="D278" s="11">
        <f t="shared" si="184"/>
        <v>-5.3674211741140567</v>
      </c>
      <c r="E278" s="11">
        <v>9.3797454360561101</v>
      </c>
      <c r="F278" s="11">
        <f t="shared" si="189"/>
        <v>4.0123242619420534</v>
      </c>
      <c r="G278" s="177">
        <f t="shared" si="188"/>
        <v>1.6239281500848746E-2</v>
      </c>
    </row>
    <row r="279" spans="1:7">
      <c r="A279" t="str">
        <f t="shared" si="183"/>
        <v>41 Administrative occupations</v>
      </c>
      <c r="B279" s="11">
        <v>69.584907369597047</v>
      </c>
      <c r="C279" s="11">
        <v>41.675356820208648</v>
      </c>
      <c r="D279" s="11">
        <f t="shared" si="184"/>
        <v>-27.909550549388399</v>
      </c>
      <c r="E279" s="11">
        <v>16.598639178639488</v>
      </c>
      <c r="F279" s="11">
        <f t="shared" ref="F279:F282" si="190">SUM(D279:E279)</f>
        <v>-11.310911370748912</v>
      </c>
      <c r="G279" s="177">
        <f t="shared" si="188"/>
        <v>1.4364294961636714E-2</v>
      </c>
    </row>
    <row r="280" spans="1:7">
      <c r="A280" t="str">
        <f t="shared" si="183"/>
        <v>42 Secretarial and related occupations</v>
      </c>
      <c r="B280" s="11">
        <v>29.38039876513572</v>
      </c>
      <c r="C280" s="11">
        <v>22.310254069596642</v>
      </c>
      <c r="D280" s="11">
        <f t="shared" si="184"/>
        <v>-7.0701446955390779</v>
      </c>
      <c r="E280" s="11">
        <v>10.51875091570397</v>
      </c>
      <c r="F280" s="11">
        <f t="shared" si="190"/>
        <v>3.4486062201648924</v>
      </c>
      <c r="G280" s="177">
        <f t="shared" si="188"/>
        <v>2.0611357597251301E-2</v>
      </c>
    </row>
    <row r="281" spans="1:7">
      <c r="A281" t="str">
        <f t="shared" si="183"/>
        <v>51 Skilled agricultural and related trades</v>
      </c>
      <c r="B281" s="11">
        <v>30.947603636253575</v>
      </c>
      <c r="C281" s="11">
        <v>15.181259665699928</v>
      </c>
      <c r="D281" s="11">
        <f t="shared" si="184"/>
        <v>-15.766343970553647</v>
      </c>
      <c r="E281" s="11">
        <v>8.6843402011841455</v>
      </c>
      <c r="F281" s="11">
        <f t="shared" si="190"/>
        <v>-7.0820037693695017</v>
      </c>
      <c r="G281" s="177">
        <f t="shared" si="188"/>
        <v>1.6626025021354129E-2</v>
      </c>
    </row>
    <row r="282" spans="1:7">
      <c r="A282" t="str">
        <f t="shared" si="183"/>
        <v>52 Skilled metal, electrical and electronic trades</v>
      </c>
      <c r="B282" s="11">
        <v>40.251254533856056</v>
      </c>
      <c r="C282" s="11">
        <v>23.087214105403341</v>
      </c>
      <c r="D282" s="11">
        <f t="shared" si="184"/>
        <v>-17.164040428452715</v>
      </c>
      <c r="E282" s="11">
        <v>10.450492931754043</v>
      </c>
      <c r="F282" s="11">
        <f t="shared" si="190"/>
        <v>-6.7135474966986717</v>
      </c>
      <c r="G282" s="177">
        <f t="shared" si="188"/>
        <v>1.5506951072823849E-2</v>
      </c>
    </row>
    <row r="283" spans="1:7">
      <c r="A283" t="str">
        <f t="shared" si="183"/>
        <v>53 Skilled construction and building trades</v>
      </c>
      <c r="B283" s="11">
        <v>56.482334569882347</v>
      </c>
      <c r="C283" s="11">
        <v>9.7231652509124444</v>
      </c>
      <c r="D283" s="11">
        <f t="shared" si="184"/>
        <v>-46.759169318969903</v>
      </c>
      <c r="E283" s="11">
        <v>8.8426320642245297</v>
      </c>
      <c r="F283" s="11">
        <f t="shared" ref="F283" si="191">SUM(D283:E283)</f>
        <v>-37.916537254745371</v>
      </c>
      <c r="G283" s="177">
        <f t="shared" si="188"/>
        <v>9.743587564941647E-3</v>
      </c>
    </row>
    <row r="284" spans="1:7">
      <c r="A284" t="str">
        <f t="shared" si="183"/>
        <v>54 Textiles, printing and other skilled trades</v>
      </c>
      <c r="B284" s="11">
        <v>45.540344270906353</v>
      </c>
      <c r="C284" s="11">
        <v>20.904101961690035</v>
      </c>
      <c r="D284" s="11">
        <f t="shared" si="184"/>
        <v>-24.636242309216318</v>
      </c>
      <c r="E284" s="11">
        <v>9.1299590898967224</v>
      </c>
      <c r="F284" s="11">
        <f t="shared" ref="F284" si="192">SUM(D284:E284)</f>
        <v>-15.506283219319595</v>
      </c>
      <c r="G284" s="177">
        <f t="shared" si="188"/>
        <v>1.2255965714945916E-2</v>
      </c>
    </row>
    <row r="285" spans="1:7">
      <c r="A285" t="str">
        <f t="shared" si="183"/>
        <v>61 Caring personal service occupations</v>
      </c>
      <c r="B285" s="11">
        <v>19.76270821540502</v>
      </c>
      <c r="C285" s="11">
        <v>20.756231352869818</v>
      </c>
      <c r="D285" s="11">
        <f>C285-B285</f>
        <v>0.99352313746479837</v>
      </c>
      <c r="E285" s="11">
        <v>5.9189997388285454</v>
      </c>
      <c r="F285" s="11">
        <f>SUM(D285:E285)</f>
        <v>6.9125228762933437</v>
      </c>
      <c r="G285" s="177">
        <f t="shared" si="188"/>
        <v>1.7618896553708741E-2</v>
      </c>
    </row>
    <row r="286" spans="1:7">
      <c r="A286" t="str">
        <f t="shared" si="183"/>
        <v>62 Leisure, travel and related personal service occupations</v>
      </c>
      <c r="B286" s="11">
        <v>32.427965666919782</v>
      </c>
      <c r="C286" s="11">
        <v>13.664636134806933</v>
      </c>
      <c r="D286" s="11">
        <f t="shared" ref="D286:D292" si="193">C286-B286</f>
        <v>-18.763329532112849</v>
      </c>
      <c r="E286" s="11">
        <v>6.345963424387711</v>
      </c>
      <c r="F286" s="11">
        <f t="shared" ref="F286:F287" si="194">SUM(D286:E286)</f>
        <v>-12.417366107725137</v>
      </c>
      <c r="G286" s="177">
        <f t="shared" si="188"/>
        <v>1.1986394681838153E-2</v>
      </c>
    </row>
    <row r="287" spans="1:7">
      <c r="A287" t="str">
        <f t="shared" si="183"/>
        <v>63 Community and civil enforcement occupations</v>
      </c>
      <c r="B287" s="11">
        <v>1.7516448788079122</v>
      </c>
      <c r="C287" s="11">
        <v>0.46386324293381798</v>
      </c>
      <c r="D287" s="11">
        <f t="shared" si="193"/>
        <v>-1.2877816358740941</v>
      </c>
      <c r="E287" s="11">
        <v>0.18629320286975179</v>
      </c>
      <c r="F287" s="11">
        <f t="shared" si="194"/>
        <v>-1.1014884330043424</v>
      </c>
      <c r="G287" s="177">
        <f t="shared" si="188"/>
        <v>6.7607034801697719E-3</v>
      </c>
    </row>
    <row r="288" spans="1:7">
      <c r="A288" t="str">
        <f t="shared" si="183"/>
        <v>71 Sales occupations</v>
      </c>
      <c r="B288" s="11">
        <v>112.8007692684466</v>
      </c>
      <c r="C288" s="11">
        <v>51.401431599209538</v>
      </c>
      <c r="D288" s="11">
        <f t="shared" si="193"/>
        <v>-61.399337669237063</v>
      </c>
      <c r="E288" s="11">
        <v>20.137531155958303</v>
      </c>
      <c r="F288" s="11">
        <f t="shared" ref="F288:F289" si="195">SUM(D288:E288)</f>
        <v>-41.261806513278756</v>
      </c>
      <c r="G288" s="177">
        <f t="shared" si="188"/>
        <v>1.1010976461575339E-2</v>
      </c>
    </row>
    <row r="289" spans="1:7">
      <c r="A289" t="str">
        <f t="shared" si="183"/>
        <v>72 Customer service occupations</v>
      </c>
      <c r="B289" s="11">
        <v>20.412994129339829</v>
      </c>
      <c r="C289" s="11">
        <v>26.217425753708689</v>
      </c>
      <c r="D289" s="11">
        <f t="shared" si="193"/>
        <v>5.8044316243688598</v>
      </c>
      <c r="E289" s="11">
        <v>7.9051616219526659</v>
      </c>
      <c r="F289" s="11">
        <f t="shared" si="195"/>
        <v>13.709593246321525</v>
      </c>
      <c r="G289" s="177">
        <f t="shared" si="188"/>
        <v>2.2061942095365383E-2</v>
      </c>
    </row>
    <row r="290" spans="1:7">
      <c r="A290" t="str">
        <f t="shared" si="183"/>
        <v>81 Process, plant and machine operatives</v>
      </c>
      <c r="B290" s="11">
        <v>58.905113750571765</v>
      </c>
      <c r="C290" s="11">
        <v>12.868227699737369</v>
      </c>
      <c r="D290" s="11">
        <f t="shared" si="193"/>
        <v>-46.036886050834397</v>
      </c>
      <c r="E290" s="11">
        <v>6.8738787199446918</v>
      </c>
      <c r="F290" s="11">
        <f t="shared" ref="F290:F291" si="196">SUM(D290:E290)</f>
        <v>-39.163007330889705</v>
      </c>
      <c r="G290" s="177">
        <f t="shared" si="188"/>
        <v>7.3853123001834664E-3</v>
      </c>
    </row>
    <row r="291" spans="1:7">
      <c r="A291" t="str">
        <f t="shared" si="183"/>
        <v>82 Transport and mobile machine drivers and operatives</v>
      </c>
      <c r="B291" s="11">
        <v>116.8973091149996</v>
      </c>
      <c r="C291" s="11">
        <v>50.671346276715454</v>
      </c>
      <c r="D291" s="11">
        <f t="shared" si="193"/>
        <v>-66.225962838284147</v>
      </c>
      <c r="E291" s="11">
        <v>32.049561418142588</v>
      </c>
      <c r="F291" s="11">
        <f t="shared" si="196"/>
        <v>-34.176401420141559</v>
      </c>
      <c r="G291" s="177">
        <f t="shared" si="188"/>
        <v>1.6284084989196757E-2</v>
      </c>
    </row>
    <row r="292" spans="1:7">
      <c r="A292" t="str">
        <f t="shared" si="183"/>
        <v>91 Elementary trades and related occupations</v>
      </c>
      <c r="B292" s="11">
        <v>56.601339861986546</v>
      </c>
      <c r="C292" s="11">
        <v>79.902927574063881</v>
      </c>
      <c r="D292" s="11">
        <f t="shared" si="193"/>
        <v>23.301587712077335</v>
      </c>
      <c r="E292" s="11">
        <v>28.374625695659685</v>
      </c>
      <c r="F292" s="11">
        <f t="shared" ref="F292" si="197">SUM(D292:E292)</f>
        <v>51.676213407737023</v>
      </c>
      <c r="G292" s="177">
        <f t="shared" si="188"/>
        <v>2.745929743047304E-2</v>
      </c>
    </row>
    <row r="293" spans="1:7">
      <c r="A293" t="str">
        <f t="shared" si="183"/>
        <v>92 Elementary administration and service occupations</v>
      </c>
      <c r="B293" s="11">
        <v>237.78729369722794</v>
      </c>
      <c r="C293" s="11">
        <v>89.564841252347264</v>
      </c>
      <c r="D293" s="11">
        <f t="shared" ref="D293" si="198">C293-B293</f>
        <v>-148.22245244488067</v>
      </c>
      <c r="E293" s="11">
        <v>37.340057895996033</v>
      </c>
      <c r="F293" s="11">
        <f t="shared" ref="F293" si="199">SUM(D293:E293)</f>
        <v>-110.88239454888463</v>
      </c>
      <c r="G293" s="177">
        <f>IF(B293&gt;0,(1+(E293/B293))^(1/($C$6-$B$6))-1,0)</f>
        <v>9.7712659057056506E-3</v>
      </c>
    </row>
    <row r="294" spans="1:7">
      <c r="A294" s="21" t="str">
        <f t="shared" si="183"/>
        <v>All occupations</v>
      </c>
      <c r="B294" s="26">
        <f>SUM(B268:B293)</f>
        <v>1139.299727930676</v>
      </c>
      <c r="C294" s="26">
        <f>SUM(C268:C293)</f>
        <v>694.03923533797217</v>
      </c>
      <c r="D294" s="26">
        <f>SUM(D268:D293)</f>
        <v>-445.26049259270394</v>
      </c>
      <c r="E294" s="26">
        <f>SUM(E268:E293)</f>
        <v>280.85669409700057</v>
      </c>
      <c r="F294" s="26">
        <f>SUM(F268:F293)</f>
        <v>-164.40379849570337</v>
      </c>
      <c r="G294" s="210">
        <f>IF(B294&gt;0,(1+(E294/B294))^(1/($C$6-$B$6))-1,0)</f>
        <v>1.4798646314606589E-2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6"/>
  <cols>
    <col min="1" max="14" width="9.140625" style="62"/>
    <col min="15" max="15" width="44.140625" customWidth="1"/>
    <col min="16" max="17" width="16.85546875" customWidth="1"/>
  </cols>
  <sheetData>
    <row r="1" spans="1:17" ht="15.6">
      <c r="A1" s="61" t="str">
        <f>CONCATENATE("Replacement Demand Figure 1  Replacement Demand by Occupation Group (SOC 2020), ",P4,", ",Info!B5)</f>
        <v>Replacement Demand Figure 1  Replacement Demand by Occupation Group (SOC 2020), 2020-2035, England</v>
      </c>
    </row>
    <row r="2" spans="1:17" ht="12.95">
      <c r="A2" s="333" t="s">
        <v>180</v>
      </c>
    </row>
    <row r="3" spans="1:17" ht="12.95">
      <c r="O3" s="35" t="s">
        <v>213</v>
      </c>
    </row>
    <row r="4" spans="1:17">
      <c r="P4" s="15" t="str">
        <f>'Occ T1'!H4</f>
        <v>2020-2035</v>
      </c>
    </row>
    <row r="5" spans="1:17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>
      <c r="P6" s="11"/>
      <c r="Q6" s="11"/>
    </row>
    <row r="7" spans="1:17">
      <c r="O7" t="str">
        <f>name!E12</f>
        <v>Elementary occupations</v>
      </c>
      <c r="P7" s="11">
        <f>'Occ T1'!H16</f>
        <v>-8.0166864923749017</v>
      </c>
      <c r="Q7" s="11">
        <f>'Occ T1'!J16</f>
        <v>1460.7231055465809</v>
      </c>
    </row>
    <row r="8" spans="1:17">
      <c r="O8" t="str">
        <f>name!E11</f>
        <v>Process, plant and machine operatives</v>
      </c>
      <c r="P8" s="11">
        <f>'Occ T1'!H15</f>
        <v>-0.82419015245227456</v>
      </c>
      <c r="Q8" s="11">
        <f>'Occ T1'!J15</f>
        <v>820.57806131622067</v>
      </c>
    </row>
    <row r="9" spans="1:17">
      <c r="O9" t="str">
        <f>name!E10</f>
        <v>Sales and customer service occupations</v>
      </c>
      <c r="P9" s="11">
        <f>'Occ T1'!H14</f>
        <v>44.397824987127024</v>
      </c>
      <c r="Q9" s="11">
        <f>'Occ T1'!J14</f>
        <v>1153.3547676472981</v>
      </c>
    </row>
    <row r="10" spans="1:17">
      <c r="O10" t="str">
        <f>name!E9</f>
        <v>Caring, leisure and other service occupations</v>
      </c>
      <c r="P10" s="11">
        <f>'Occ T1'!H13</f>
        <v>241.45272039836482</v>
      </c>
      <c r="Q10" s="11">
        <f>'Occ T1'!J13</f>
        <v>1771.27670736135</v>
      </c>
    </row>
    <row r="11" spans="1:17">
      <c r="O11" t="str">
        <f>name!E8</f>
        <v>Skilled trades occupations</v>
      </c>
      <c r="P11" s="11">
        <f>'Occ T1'!H12</f>
        <v>-37.572861427484895</v>
      </c>
      <c r="Q11" s="11">
        <f>'Occ T1'!J12</f>
        <v>1038.6754285499644</v>
      </c>
    </row>
    <row r="12" spans="1:17">
      <c r="O12" t="str">
        <f>name!E7</f>
        <v>Administrative and secretarial occupations</v>
      </c>
      <c r="P12" s="11">
        <f>'Occ T1'!H11</f>
        <v>-133.28227531073435</v>
      </c>
      <c r="Q12" s="11">
        <f>'Occ T1'!J11</f>
        <v>1455.5267914479039</v>
      </c>
    </row>
    <row r="13" spans="1:17">
      <c r="O13" t="str">
        <f>name!E6</f>
        <v>Associate professional occupations</v>
      </c>
      <c r="P13" s="11">
        <f>'Occ T1'!H10</f>
        <v>624.61627301895351</v>
      </c>
      <c r="Q13" s="11">
        <f>'Occ T1'!J10</f>
        <v>2748.1110520655452</v>
      </c>
    </row>
    <row r="14" spans="1:17">
      <c r="O14" t="str">
        <f>name!E5</f>
        <v>Professional occupations</v>
      </c>
      <c r="P14" s="11">
        <f>'Occ T1'!H9</f>
        <v>1334.7797325929405</v>
      </c>
      <c r="Q14" s="11">
        <f>'Occ T1'!J9</f>
        <v>4939.4095394570068</v>
      </c>
    </row>
    <row r="15" spans="1:17">
      <c r="O15" t="str">
        <f>name!E4</f>
        <v>Managers, directors and senior officials</v>
      </c>
      <c r="P15" s="11">
        <f>'Occ T1'!H8</f>
        <v>144.85946240295607</v>
      </c>
      <c r="Q15" s="11">
        <f>'Occ T1'!J8</f>
        <v>1883.2512116086466</v>
      </c>
    </row>
    <row r="34" spans="1:17" ht="15.6">
      <c r="A34" s="61" t="str">
        <f>CONCATENATE("Replacement Demand Figure 1.1  Replacement Demand by Occupation (SOC 2020), ",P35,", ",Info!B5)</f>
        <v>Replacement Demand Figure 1.1  Replacement Demand by Occupation (SOC 2020), 2020-2035, England</v>
      </c>
      <c r="O34" s="35" t="s">
        <v>213</v>
      </c>
    </row>
    <row r="35" spans="1:17">
      <c r="P35" s="15" t="str">
        <f>'Occ T1'!H4</f>
        <v>2020-2035</v>
      </c>
    </row>
    <row r="36" spans="1:17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>
      <c r="O37" s="10" t="str">
        <f>name!D4</f>
        <v>11 Corporate managers and directors</v>
      </c>
      <c r="P37" s="11">
        <f>'Occ T2'!H8</f>
        <v>-24.014043082148874</v>
      </c>
      <c r="Q37" s="11">
        <f>'Occ T2'!J8</f>
        <v>1104.9345830693965</v>
      </c>
    </row>
    <row r="38" spans="1:17">
      <c r="O38" s="10" t="str">
        <f>name!D5</f>
        <v>12 Other managers and proprietors</v>
      </c>
      <c r="P38" s="11">
        <f>'Occ T2'!H9</f>
        <v>168.87350548510506</v>
      </c>
      <c r="Q38" s="11">
        <f>'Occ T2'!J9</f>
        <v>778.31662853925025</v>
      </c>
    </row>
    <row r="39" spans="1:17">
      <c r="O39" s="10" t="str">
        <f>name!D6</f>
        <v>21 Science, research, engineering and technology professionals</v>
      </c>
      <c r="P39" s="11">
        <f>'Occ T2'!H10</f>
        <v>783.3027734084435</v>
      </c>
      <c r="Q39" s="11">
        <f>'Occ T2'!J10</f>
        <v>1696.8869906901705</v>
      </c>
    </row>
    <row r="40" spans="1:17">
      <c r="O40" s="10" t="str">
        <f>name!D7</f>
        <v>22 Health professionals</v>
      </c>
      <c r="P40" s="11">
        <f>'Occ T2'!H11</f>
        <v>80.856725137882677</v>
      </c>
      <c r="Q40" s="11">
        <f>'Occ T2'!J11</f>
        <v>807.36747972068008</v>
      </c>
    </row>
    <row r="41" spans="1:17">
      <c r="O41" s="10" t="str">
        <f>name!D8</f>
        <v>23 Teaching and other educational professionals</v>
      </c>
      <c r="P41" s="11">
        <f>'Occ T2'!H12</f>
        <v>82.788009215527154</v>
      </c>
      <c r="Q41" s="11">
        <f>'Occ T2'!J12</f>
        <v>852.49465105936974</v>
      </c>
    </row>
    <row r="42" spans="1:17">
      <c r="O42" s="10" t="str">
        <f>name!D9</f>
        <v>24 Business, media and public service professionals</v>
      </c>
      <c r="P42" s="11">
        <f>'Occ T2'!H13</f>
        <v>387.83222483108693</v>
      </c>
      <c r="Q42" s="11">
        <f>'Occ T2'!J13</f>
        <v>1582.6604179867859</v>
      </c>
    </row>
    <row r="43" spans="1:17">
      <c r="O43" s="10" t="str">
        <f>name!D10</f>
        <v>31 Science, engineering and technology associate professionals</v>
      </c>
      <c r="P43" s="11">
        <f>'Occ T2'!H14</f>
        <v>15.925046244282839</v>
      </c>
      <c r="Q43" s="11">
        <f>'Occ T2'!J14</f>
        <v>253.2874559603232</v>
      </c>
    </row>
    <row r="44" spans="1:17">
      <c r="O44" s="10" t="str">
        <f>name!D11</f>
        <v>32 Health and social care associate professionals</v>
      </c>
      <c r="P44" s="11">
        <f>'Occ T2'!H15</f>
        <v>488.02781484177399</v>
      </c>
      <c r="Q44" s="11">
        <f>'Occ T2'!J15</f>
        <v>1019.0704117827407</v>
      </c>
    </row>
    <row r="45" spans="1:17">
      <c r="O45" s="10" t="str">
        <f>name!D12</f>
        <v>33 Protective service occupations</v>
      </c>
      <c r="P45" s="11">
        <f>'Occ T2'!H16</f>
        <v>-26.815806114484417</v>
      </c>
      <c r="Q45" s="11">
        <f>'Occ T2'!J16</f>
        <v>70.241341917877548</v>
      </c>
    </row>
    <row r="46" spans="1:17">
      <c r="O46" s="10" t="str">
        <f>name!D13</f>
        <v>34 Culture, media and sports occupations</v>
      </c>
      <c r="P46" s="11">
        <f>'Occ T2'!H17</f>
        <v>-2.3513213001396025</v>
      </c>
      <c r="Q46" s="11">
        <f>'Occ T2'!J17</f>
        <v>301.26362820183215</v>
      </c>
    </row>
    <row r="47" spans="1:17">
      <c r="O47" s="10" t="str">
        <f>name!D14</f>
        <v>35 Business and public service associate professionals</v>
      </c>
      <c r="P47" s="11">
        <f>'Occ T2'!H18</f>
        <v>149.83053934752138</v>
      </c>
      <c r="Q47" s="11">
        <f>'Occ T2'!J18</f>
        <v>1104.248214202772</v>
      </c>
    </row>
    <row r="48" spans="1:17">
      <c r="O48" s="10" t="str">
        <f>name!D15</f>
        <v>41 Administrative occupations</v>
      </c>
      <c r="P48" s="11">
        <f>'Occ T2'!H19</f>
        <v>40.24053977710264</v>
      </c>
      <c r="Q48" s="11">
        <f>'Occ T2'!J19</f>
        <v>1367.2249432846725</v>
      </c>
    </row>
    <row r="49" spans="15:17">
      <c r="O49" s="10" t="str">
        <f>name!D16</f>
        <v>42 Secretarial and related occupations</v>
      </c>
      <c r="P49" s="11">
        <f>'Occ T2'!H20</f>
        <v>-173.5228150878371</v>
      </c>
      <c r="Q49" s="11">
        <f>'Occ T2'!J20</f>
        <v>88.301848163231341</v>
      </c>
    </row>
    <row r="50" spans="15:17">
      <c r="O50" s="10" t="str">
        <f>name!D17</f>
        <v>51 Skilled agricultural and related trades</v>
      </c>
      <c r="P50" s="11">
        <f>'Occ T2'!H21</f>
        <v>26.050927064713676</v>
      </c>
      <c r="Q50" s="11">
        <f>'Occ T2'!J21</f>
        <v>185.37492094584431</v>
      </c>
    </row>
    <row r="51" spans="15:17">
      <c r="O51" s="10" t="str">
        <f>name!D18</f>
        <v>52 Skilled metal, electrical and electronic trades</v>
      </c>
      <c r="P51" s="11">
        <f>'Occ T2'!H22</f>
        <v>-56.503620593207415</v>
      </c>
      <c r="Q51" s="11">
        <f>'Occ T2'!J22</f>
        <v>289.49050339012263</v>
      </c>
    </row>
    <row r="52" spans="15:17">
      <c r="O52" s="10" t="str">
        <f>name!D19</f>
        <v>53 Skilled construction and building trades</v>
      </c>
      <c r="P52" s="11">
        <f>'Occ T2'!H23</f>
        <v>-50.914334851973422</v>
      </c>
      <c r="Q52" s="11">
        <f>'Occ T2'!J23</f>
        <v>269.97762252539042</v>
      </c>
    </row>
    <row r="53" spans="15:17">
      <c r="O53" s="10" t="str">
        <f>name!D20</f>
        <v>54 Textiles, printing and other skilled trades</v>
      </c>
      <c r="P53" s="11">
        <f>'Occ T2'!H24</f>
        <v>43.794166952982437</v>
      </c>
      <c r="Q53" s="11">
        <f>'Occ T2'!J24</f>
        <v>293.8323816886072</v>
      </c>
    </row>
    <row r="54" spans="15:17">
      <c r="O54" s="10" t="str">
        <f>name!D21</f>
        <v>61 Caring personal service occupations</v>
      </c>
      <c r="P54" s="11">
        <f>'Occ T2'!H25</f>
        <v>272.21701918340727</v>
      </c>
      <c r="Q54" s="11">
        <f>'Occ T2'!J25</f>
        <v>1483.0836052328245</v>
      </c>
    </row>
    <row r="55" spans="15:17">
      <c r="O55" s="10" t="str">
        <f>name!D22</f>
        <v>62 Leisure, travel and related personal service occupations</v>
      </c>
      <c r="P55" s="11">
        <f>'Occ T2'!H26</f>
        <v>-24.872804951645094</v>
      </c>
      <c r="Q55" s="11">
        <f>'Occ T2'!J26</f>
        <v>281.98161374596589</v>
      </c>
    </row>
    <row r="56" spans="15:17">
      <c r="O56" s="10" t="str">
        <f>name!D23</f>
        <v>63 Community and civil enforcement occupations</v>
      </c>
      <c r="P56" s="11">
        <f>'Occ T2'!H27</f>
        <v>-5.8914938333974973</v>
      </c>
      <c r="Q56" s="11">
        <f>'Occ T2'!J27</f>
        <v>6.2114883825593861</v>
      </c>
    </row>
    <row r="57" spans="15:17">
      <c r="O57" s="10" t="str">
        <f>name!D24</f>
        <v>71 Sales occupations</v>
      </c>
      <c r="P57" s="11">
        <f>'Occ T2'!H28</f>
        <v>-79.254333542742188</v>
      </c>
      <c r="Q57" s="11">
        <f>'Occ T2'!J28</f>
        <v>764.2877293388301</v>
      </c>
    </row>
    <row r="58" spans="15:17">
      <c r="O58" s="10" t="str">
        <f>name!D25</f>
        <v>72 Customer service occupations</v>
      </c>
      <c r="P58" s="11">
        <f>'Occ T2'!H29</f>
        <v>123.65215852986933</v>
      </c>
      <c r="Q58" s="11">
        <f>'Occ T2'!J29</f>
        <v>389.06703830846811</v>
      </c>
    </row>
    <row r="59" spans="15:17">
      <c r="O59" s="10" t="str">
        <f>name!D26</f>
        <v>81 Process, plant and machine operatives</v>
      </c>
      <c r="P59" s="11">
        <f>'Occ T2'!H30</f>
        <v>-11.330429149901988</v>
      </c>
      <c r="Q59" s="11">
        <f>'Occ T2'!J30</f>
        <v>236.3222406584824</v>
      </c>
    </row>
    <row r="60" spans="15:17">
      <c r="O60" s="10" t="str">
        <f>name!D27</f>
        <v>82 Transport and mobile machine drivers and operatives</v>
      </c>
      <c r="P60" s="11">
        <f>'Occ T2'!H31</f>
        <v>10.5062389974496</v>
      </c>
      <c r="Q60" s="11">
        <f>'Occ T2'!J31</f>
        <v>584.25582065773813</v>
      </c>
    </row>
    <row r="61" spans="15:17">
      <c r="O61" s="10" t="str">
        <f>name!D28</f>
        <v>91 Elementary trades and related occupations</v>
      </c>
      <c r="P61" s="11">
        <f>'Occ T2'!H32</f>
        <v>398.39048709735488</v>
      </c>
      <c r="Q61" s="11">
        <f>'Occ T2'!J32</f>
        <v>720.56801275030921</v>
      </c>
    </row>
    <row r="62" spans="15:17">
      <c r="O62" s="10" t="str">
        <f>name!D29</f>
        <v>92 Elementary administration and service occupations</v>
      </c>
      <c r="P62" s="11">
        <f>'Occ T2'!H33</f>
        <v>-406.40717358973006</v>
      </c>
      <c r="Q62" s="11">
        <f>'Occ T2'!J33</f>
        <v>740.15509279627145</v>
      </c>
    </row>
    <row r="63" spans="15:17">
      <c r="O63" s="10"/>
      <c r="P63" s="11"/>
      <c r="Q63" s="11"/>
    </row>
    <row r="64" spans="15:17">
      <c r="O64" s="10" t="str">
        <f>name!D3</f>
        <v>All occupations</v>
      </c>
      <c r="P64" s="11">
        <f>'Occ T2'!H35</f>
        <v>2210.4100000172984</v>
      </c>
      <c r="Q64" s="11">
        <f>'Occ T2'!J35</f>
        <v>17270.906665000519</v>
      </c>
    </row>
    <row r="65" spans="15:1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6"/>
  <cols>
    <col min="1" max="1" width="37.5703125" style="13" customWidth="1"/>
    <col min="2" max="4" width="8.140625" style="13" bestFit="1" customWidth="1"/>
    <col min="5" max="5" width="5.7109375" style="13" customWidth="1"/>
    <col min="6" max="8" width="5.7109375" style="13" bestFit="1" customWidth="1"/>
    <col min="9" max="9" width="5.7109375" style="13" customWidth="1"/>
    <col min="10" max="12" width="7.140625" style="13" bestFit="1" customWidth="1"/>
    <col min="13" max="13" width="5.7109375" style="13" customWidth="1"/>
    <col min="14" max="16" width="7.140625" style="13" bestFit="1" customWidth="1"/>
    <col min="17" max="17" width="5.85546875" style="13" customWidth="1"/>
    <col min="18" max="20" width="7.140625" style="13" bestFit="1" customWidth="1"/>
    <col min="21" max="21" width="5.7109375" style="13" customWidth="1"/>
    <col min="22" max="24" width="7.140625" style="13" bestFit="1" customWidth="1"/>
    <col min="25" max="25" width="5.7109375" style="13" customWidth="1"/>
    <col min="26" max="28" width="7.140625" style="13" bestFit="1" customWidth="1"/>
    <col min="29" max="29" width="5.7109375" style="13" customWidth="1"/>
    <col min="30" max="32" width="7.140625" style="13" bestFit="1" customWidth="1"/>
    <col min="33" max="33" width="5.7109375" style="13" customWidth="1"/>
    <col min="34" max="36" width="7.140625" style="13" bestFit="1" customWidth="1"/>
    <col min="37" max="37" width="5.7109375" style="13" customWidth="1"/>
    <col min="38" max="38" width="7.140625" style="13" bestFit="1" customWidth="1"/>
    <col min="39" max="40" width="5.7109375" style="13" bestFit="1" customWidth="1"/>
    <col min="41" max="16384" width="9.140625" style="13"/>
  </cols>
  <sheetData>
    <row r="1" spans="1:40" ht="15.6">
      <c r="A1" s="17" t="str">
        <f>CONCATENATE("Basic Table 1  Employment by Industry Sector, Occupation Group and Qualification, ",B$5,"-",D$5,", ",Info!B5)</f>
        <v>Basic Table 1  Employment by Industry Sector, Occupation Group and Qualification, 2020-2035, England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</row>
    <row r="2" spans="1:40" ht="12.75" customHeight="1">
      <c r="A2" s="158" t="s">
        <v>214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</row>
    <row r="3" spans="1:40" ht="12.75" customHeight="1">
      <c r="A3" s="17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3" t="s">
        <v>114</v>
      </c>
    </row>
    <row r="4" spans="1:40" ht="24.75" customHeight="1">
      <c r="A4" s="347"/>
      <c r="B4" s="374" t="str">
        <f>name!F3</f>
        <v>All qualifications</v>
      </c>
      <c r="C4" s="374"/>
      <c r="D4" s="374"/>
      <c r="E4" s="347"/>
      <c r="F4" s="375" t="str">
        <f>name!F4</f>
        <v>RQF8 Doctorate</v>
      </c>
      <c r="G4" s="375"/>
      <c r="H4" s="375"/>
      <c r="I4" s="347"/>
      <c r="J4" s="375" t="str">
        <f>name!F5</f>
        <v>RQF7 Other higher degree</v>
      </c>
      <c r="K4" s="375"/>
      <c r="L4" s="375"/>
      <c r="M4" s="347"/>
      <c r="N4" s="375" t="str">
        <f>name!F6</f>
        <v>RQF6 First degree</v>
      </c>
      <c r="O4" s="375"/>
      <c r="P4" s="375"/>
      <c r="Q4" s="347"/>
      <c r="R4" s="375" t="str">
        <f>name!F7</f>
        <v>RQF5 Foundation degree;Nursing;Teaching</v>
      </c>
      <c r="S4" s="375"/>
      <c r="T4" s="375"/>
      <c r="U4" s="347"/>
      <c r="V4" s="375" t="str">
        <f>name!F8</f>
        <v>RQF4 HE below degree level</v>
      </c>
      <c r="W4" s="375"/>
      <c r="X4" s="375"/>
      <c r="Y4" s="347"/>
      <c r="Z4" s="375" t="str">
        <f>name!F9</f>
        <v>RQF3 A level &amp; equivalent</v>
      </c>
      <c r="AA4" s="375"/>
      <c r="AB4" s="375"/>
      <c r="AC4" s="347"/>
      <c r="AD4" s="375" t="str">
        <f>name!F10</f>
        <v>RQF2 GCSE(A-C) &amp; equivalent</v>
      </c>
      <c r="AE4" s="375"/>
      <c r="AF4" s="375"/>
      <c r="AG4" s="347"/>
      <c r="AH4" s="375" t="str">
        <f>name!F11</f>
        <v>RQF1 GCSE(below grade C) &amp; equivalent</v>
      </c>
      <c r="AI4" s="375"/>
      <c r="AJ4" s="375"/>
      <c r="AK4" s="347"/>
      <c r="AL4" s="375" t="str">
        <f>name!F12</f>
        <v>No Qualification</v>
      </c>
      <c r="AM4" s="375"/>
      <c r="AN4" s="375"/>
    </row>
    <row r="5" spans="1:40" ht="12.95">
      <c r="A5" s="339"/>
      <c r="B5" s="32">
        <v>2020</v>
      </c>
      <c r="C5" s="32">
        <v>2025</v>
      </c>
      <c r="D5" s="32">
        <v>2035</v>
      </c>
      <c r="E5" s="339"/>
      <c r="F5" s="27">
        <f>B5</f>
        <v>2020</v>
      </c>
      <c r="G5" s="27">
        <f>C5</f>
        <v>2025</v>
      </c>
      <c r="H5" s="27">
        <f>D5</f>
        <v>2035</v>
      </c>
      <c r="I5" s="339"/>
      <c r="J5" s="27">
        <f>B5</f>
        <v>2020</v>
      </c>
      <c r="K5" s="27">
        <f>C5</f>
        <v>2025</v>
      </c>
      <c r="L5" s="27">
        <f>D5</f>
        <v>2035</v>
      </c>
      <c r="M5" s="339"/>
      <c r="N5" s="27">
        <f>B5</f>
        <v>2020</v>
      </c>
      <c r="O5" s="27">
        <f>C5</f>
        <v>2025</v>
      </c>
      <c r="P5" s="27">
        <f>D5</f>
        <v>2035</v>
      </c>
      <c r="Q5" s="339"/>
      <c r="R5" s="27">
        <f>F5</f>
        <v>2020</v>
      </c>
      <c r="S5" s="27">
        <f>G5</f>
        <v>2025</v>
      </c>
      <c r="T5" s="27">
        <f>H5</f>
        <v>2035</v>
      </c>
      <c r="U5" s="339"/>
      <c r="V5" s="27">
        <f>J5</f>
        <v>2020</v>
      </c>
      <c r="W5" s="27">
        <f>K5</f>
        <v>2025</v>
      </c>
      <c r="X5" s="27">
        <f>L5</f>
        <v>2035</v>
      </c>
      <c r="Y5" s="339"/>
      <c r="Z5" s="27">
        <f>N5</f>
        <v>2020</v>
      </c>
      <c r="AA5" s="27">
        <f>O5</f>
        <v>2025</v>
      </c>
      <c r="AB5" s="27">
        <f>P5</f>
        <v>2035</v>
      </c>
      <c r="AC5" s="339"/>
      <c r="AD5" s="27">
        <f>R5</f>
        <v>2020</v>
      </c>
      <c r="AE5" s="27">
        <f>S5</f>
        <v>2025</v>
      </c>
      <c r="AF5" s="27">
        <f>T5</f>
        <v>2035</v>
      </c>
      <c r="AG5" s="339"/>
      <c r="AH5" s="27">
        <f>V5</f>
        <v>2020</v>
      </c>
      <c r="AI5" s="27">
        <f>W5</f>
        <v>2025</v>
      </c>
      <c r="AJ5" s="27">
        <f>X5</f>
        <v>2035</v>
      </c>
      <c r="AK5" s="339"/>
      <c r="AL5" s="27">
        <f>Z5</f>
        <v>2020</v>
      </c>
      <c r="AM5" s="27">
        <f>AA5</f>
        <v>2025</v>
      </c>
      <c r="AN5" s="27">
        <f>AB5</f>
        <v>2035</v>
      </c>
    </row>
    <row r="7" spans="1:40" ht="12.95">
      <c r="A7" s="1" t="str">
        <f>name!C3</f>
        <v>All industries</v>
      </c>
      <c r="B7" s="64"/>
      <c r="C7" s="64"/>
      <c r="D7" s="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64"/>
      <c r="R7" s="164"/>
      <c r="S7" s="164"/>
      <c r="T7" s="164"/>
      <c r="U7" s="64"/>
      <c r="V7" s="164"/>
      <c r="W7" s="164"/>
      <c r="X7" s="164"/>
      <c r="Y7" s="64"/>
      <c r="Z7" s="164"/>
      <c r="AA7" s="164"/>
      <c r="AB7" s="164"/>
      <c r="AC7" s="64"/>
      <c r="AD7" s="164"/>
      <c r="AE7" s="164"/>
      <c r="AF7" s="164"/>
      <c r="AG7" s="64"/>
      <c r="AH7" s="164"/>
      <c r="AI7" s="164"/>
      <c r="AJ7" s="164"/>
      <c r="AK7" s="64"/>
      <c r="AL7" s="164"/>
      <c r="AM7" s="164"/>
      <c r="AN7" s="164"/>
    </row>
    <row r="8" spans="1:40">
      <c r="A8" s="64" t="str">
        <f>name!E3</f>
        <v>All occupations</v>
      </c>
      <c r="B8" s="348">
        <f>SUM(B9:B17)</f>
        <v>29859.680999995206</v>
      </c>
      <c r="C8" s="348">
        <f>SUM(C9:C17)</f>
        <v>30754.748000010724</v>
      </c>
      <c r="D8" s="348">
        <f>SUM(D9:D17)</f>
        <v>32070.091000012537</v>
      </c>
      <c r="E8" s="349"/>
      <c r="F8" s="348">
        <f>SUM(F9:F17)</f>
        <v>522.64446579351454</v>
      </c>
      <c r="G8" s="348">
        <f>SUM(G9:G17)</f>
        <v>669.73604231822344</v>
      </c>
      <c r="H8" s="348">
        <f>SUM(H9:H17)</f>
        <v>934.16527841035543</v>
      </c>
      <c r="I8" s="349"/>
      <c r="J8" s="348">
        <f>SUM(J9:J17)</f>
        <v>3765.2929147959217</v>
      </c>
      <c r="K8" s="348">
        <f>SUM(K9:K17)</f>
        <v>4821.7411523491628</v>
      </c>
      <c r="L8" s="348">
        <f>SUM(L9:L17)</f>
        <v>6789.5072514767407</v>
      </c>
      <c r="M8" s="349"/>
      <c r="N8" s="348">
        <f>SUM(N9:N17)</f>
        <v>6391.785891368233</v>
      </c>
      <c r="O8" s="348">
        <f>SUM(O9:O17)</f>
        <v>6786.7511547139584</v>
      </c>
      <c r="P8" s="348">
        <f>SUM(P9:P17)</f>
        <v>7601.5451445197614</v>
      </c>
      <c r="Q8" s="350"/>
      <c r="R8" s="348">
        <f>SUM(R9:R17)</f>
        <v>1705.9422521063766</v>
      </c>
      <c r="S8" s="348">
        <f>SUM(S9:S17)</f>
        <v>1703.3950738873475</v>
      </c>
      <c r="T8" s="348">
        <f>SUM(T9:T17)</f>
        <v>1868.6764428666622</v>
      </c>
      <c r="U8" s="350"/>
      <c r="V8" s="348">
        <f>SUM(V9:V17)</f>
        <v>1728.4181700933298</v>
      </c>
      <c r="W8" s="348">
        <f>SUM(W9:W17)</f>
        <v>1800.648676473216</v>
      </c>
      <c r="X8" s="348">
        <f>SUM(X9:X17)</f>
        <v>2039.02738078637</v>
      </c>
      <c r="Y8" s="350"/>
      <c r="Z8" s="348">
        <f>SUM(Z9:Z17)</f>
        <v>5842.794909900269</v>
      </c>
      <c r="AA8" s="348">
        <f>SUM(AA9:AA17)</f>
        <v>5811.9310878060223</v>
      </c>
      <c r="AB8" s="348">
        <f>SUM(AB9:AB17)</f>
        <v>5820.8764372967707</v>
      </c>
      <c r="AC8" s="350"/>
      <c r="AD8" s="348">
        <f>SUM(AD9:AD17)</f>
        <v>5330.1618704902939</v>
      </c>
      <c r="AE8" s="348">
        <f>SUM(AE9:AE17)</f>
        <v>5134.4464820149324</v>
      </c>
      <c r="AF8" s="348">
        <f>SUM(AF9:AF17)</f>
        <v>4272.542697353374</v>
      </c>
      <c r="AG8" s="350"/>
      <c r="AH8" s="348">
        <f>SUM(AH9:AH17)</f>
        <v>3433.3407975165956</v>
      </c>
      <c r="AI8" s="348">
        <f>SUM(AI9:AI17)</f>
        <v>3089.2371506087879</v>
      </c>
      <c r="AJ8" s="348">
        <f>SUM(AJ9:AJ17)</f>
        <v>2049.7111319645287</v>
      </c>
      <c r="AK8" s="350"/>
      <c r="AL8" s="348">
        <f>SUM(AL9:AL17)</f>
        <v>1139.2997279306762</v>
      </c>
      <c r="AM8" s="348">
        <f>SUM(AM9:AM17)</f>
        <v>936.86117983907161</v>
      </c>
      <c r="AN8" s="348">
        <f>SUM(AN9:AN17)</f>
        <v>694.03923533797206</v>
      </c>
    </row>
    <row r="9" spans="1:40">
      <c r="A9" s="64" t="str">
        <f>name!E4</f>
        <v>Managers, directors and senior officials</v>
      </c>
      <c r="B9" s="349">
        <f>SUM(B21,B33,B51,B63,B75,B93)</f>
        <v>3307.5137597510779</v>
      </c>
      <c r="C9" s="349">
        <f t="shared" ref="B9:D17" si="0">SUM(C21,C33,C51,C63,C75,C93)</f>
        <v>3147.4469092281015</v>
      </c>
      <c r="D9" s="349">
        <f t="shared" si="0"/>
        <v>3452.373222154039</v>
      </c>
      <c r="E9" s="349"/>
      <c r="F9" s="349">
        <f t="shared" ref="F9:H17" si="1">SUM(F21,F33,F51,F63,F75,F93)</f>
        <v>53.782982651133885</v>
      </c>
      <c r="G9" s="349">
        <f t="shared" si="1"/>
        <v>66.334918418654098</v>
      </c>
      <c r="H9" s="349">
        <f t="shared" si="1"/>
        <v>99.455965255871092</v>
      </c>
      <c r="I9" s="349"/>
      <c r="J9" s="349">
        <f t="shared" ref="J9:L17" si="2">SUM(J21,J33,J51,J63,J75,J93)</f>
        <v>458.04067777728613</v>
      </c>
      <c r="K9" s="349">
        <f t="shared" si="2"/>
        <v>543.65331757712238</v>
      </c>
      <c r="L9" s="349">
        <f t="shared" si="2"/>
        <v>792.09914843616684</v>
      </c>
      <c r="M9" s="349"/>
      <c r="N9" s="349">
        <f t="shared" ref="N9:P17" si="3">SUM(N21,N33,N51,N63,N75,N93)</f>
        <v>915.93044764288129</v>
      </c>
      <c r="O9" s="349">
        <f t="shared" si="3"/>
        <v>883.46196843099017</v>
      </c>
      <c r="P9" s="349">
        <f t="shared" si="3"/>
        <v>995.25675232473509</v>
      </c>
      <c r="Q9" s="350"/>
      <c r="R9" s="349">
        <f t="shared" ref="R9:T9" si="4">SUM(R21,R33,R51,R63,R75,R93)</f>
        <v>193.79386672740759</v>
      </c>
      <c r="S9" s="349">
        <f t="shared" si="4"/>
        <v>179.5423053250064</v>
      </c>
      <c r="T9" s="349">
        <f t="shared" si="4"/>
        <v>201.22403559210881</v>
      </c>
      <c r="U9" s="350"/>
      <c r="V9" s="349">
        <f t="shared" ref="V9:X9" si="5">SUM(V21,V33,V51,V63,V75,V93)</f>
        <v>261.4595595387234</v>
      </c>
      <c r="W9" s="349">
        <f t="shared" si="5"/>
        <v>242.43368615470854</v>
      </c>
      <c r="X9" s="349">
        <f t="shared" si="5"/>
        <v>264.93611574314184</v>
      </c>
      <c r="Y9" s="350"/>
      <c r="Z9" s="349">
        <f t="shared" ref="Z9:AB9" si="6">SUM(Z21,Z33,Z51,Z63,Z75,Z93)</f>
        <v>569.14187011434944</v>
      </c>
      <c r="AA9" s="349">
        <f t="shared" si="6"/>
        <v>491.34820051112291</v>
      </c>
      <c r="AB9" s="349">
        <f t="shared" si="6"/>
        <v>502.31863240412031</v>
      </c>
      <c r="AC9" s="350"/>
      <c r="AD9" s="349">
        <f>SUM(AD21,AD33,AD51,AD63,AD75,AD93)</f>
        <v>460.26210454796387</v>
      </c>
      <c r="AE9" s="349">
        <f t="shared" ref="AE9:AF9" si="7">SUM(AE21,AE33,AE51,AE63,AE75,AE93)</f>
        <v>394.77803663738382</v>
      </c>
      <c r="AF9" s="349">
        <f t="shared" si="7"/>
        <v>324.77781132106406</v>
      </c>
      <c r="AG9" s="350"/>
      <c r="AH9" s="349">
        <f t="shared" ref="AH9:AJ9" si="8">SUM(AH21,AH33,AH51,AH63,AH75,AH93)</f>
        <v>319.87669746601586</v>
      </c>
      <c r="AI9" s="349">
        <f t="shared" si="8"/>
        <v>276.67059539910485</v>
      </c>
      <c r="AJ9" s="349">
        <f t="shared" si="8"/>
        <v>203.93028272781214</v>
      </c>
      <c r="AK9" s="350"/>
      <c r="AL9" s="349">
        <f t="shared" ref="AL9:AN9" si="9">SUM(AL21,AL33,AL51,AL63,AL75,AL93)</f>
        <v>75.225553285316522</v>
      </c>
      <c r="AM9" s="349">
        <f t="shared" si="9"/>
        <v>69.223880774007881</v>
      </c>
      <c r="AN9" s="349">
        <f t="shared" si="9"/>
        <v>68.374478349018659</v>
      </c>
    </row>
    <row r="10" spans="1:40">
      <c r="A10" s="64" t="str">
        <f>name!E5</f>
        <v>Professional occupations</v>
      </c>
      <c r="B10" s="349">
        <f t="shared" si="0"/>
        <v>7052.3788359871078</v>
      </c>
      <c r="C10" s="349">
        <f t="shared" si="0"/>
        <v>7598.10083009751</v>
      </c>
      <c r="D10" s="349">
        <f t="shared" si="0"/>
        <v>8387.1585685800492</v>
      </c>
      <c r="E10" s="349"/>
      <c r="F10" s="349">
        <f t="shared" si="1"/>
        <v>372.52899066440352</v>
      </c>
      <c r="G10" s="349">
        <f t="shared" si="1"/>
        <v>470.81323390479707</v>
      </c>
      <c r="H10" s="349">
        <f t="shared" si="1"/>
        <v>625.99263278749277</v>
      </c>
      <c r="I10" s="349"/>
      <c r="J10" s="349">
        <f t="shared" si="2"/>
        <v>2062.1091495449173</v>
      </c>
      <c r="K10" s="349">
        <f t="shared" si="2"/>
        <v>2568.9417330321135</v>
      </c>
      <c r="L10" s="349">
        <f t="shared" si="2"/>
        <v>3377.7551408853519</v>
      </c>
      <c r="M10" s="349"/>
      <c r="N10" s="349">
        <f t="shared" si="3"/>
        <v>2405.7607067591034</v>
      </c>
      <c r="O10" s="349">
        <f t="shared" si="3"/>
        <v>2423.3656735569425</v>
      </c>
      <c r="P10" s="349">
        <f t="shared" si="3"/>
        <v>2428.925944574165</v>
      </c>
      <c r="Q10" s="350"/>
      <c r="R10" s="349">
        <f t="shared" ref="R10:T10" si="10">SUM(R22,R34,R52,R64,R76,R94)</f>
        <v>339.64519278524904</v>
      </c>
      <c r="S10" s="349">
        <f t="shared" si="10"/>
        <v>256.71622161212451</v>
      </c>
      <c r="T10" s="349">
        <f t="shared" si="10"/>
        <v>215.77461665598247</v>
      </c>
      <c r="U10" s="350"/>
      <c r="V10" s="349">
        <f t="shared" ref="V10:X10" si="11">SUM(V22,V34,V52,V64,V76,V94)</f>
        <v>350.04555206037867</v>
      </c>
      <c r="W10" s="349">
        <f t="shared" si="11"/>
        <v>361.65038792718764</v>
      </c>
      <c r="X10" s="349">
        <f t="shared" si="11"/>
        <v>374.22194994042627</v>
      </c>
      <c r="Y10" s="350"/>
      <c r="Z10" s="349">
        <f t="shared" ref="Z10:AB10" si="12">SUM(Z22,Z34,Z52,Z64,Z76,Z94)</f>
        <v>695.01729467277346</v>
      </c>
      <c r="AA10" s="349">
        <f t="shared" si="12"/>
        <v>702.88467626369993</v>
      </c>
      <c r="AB10" s="349">
        <f t="shared" si="12"/>
        <v>715.92692791350328</v>
      </c>
      <c r="AC10" s="350"/>
      <c r="AD10" s="349">
        <f t="shared" ref="AD10:AF10" si="13">SUM(AD22,AD34,AD52,AD64,AD76,AD94)</f>
        <v>471.27371738961421</v>
      </c>
      <c r="AE10" s="349">
        <f t="shared" si="13"/>
        <v>460.54356792792015</v>
      </c>
      <c r="AF10" s="349">
        <f t="shared" si="13"/>
        <v>386.00945427656217</v>
      </c>
      <c r="AG10" s="350"/>
      <c r="AH10" s="349">
        <f t="shared" ref="AH10:AJ10" si="14">SUM(AH22,AH34,AH52,AH64,AH76,AH94)</f>
        <v>291.40467681470665</v>
      </c>
      <c r="AI10" s="349">
        <f t="shared" si="14"/>
        <v>279.94104275179455</v>
      </c>
      <c r="AJ10" s="349">
        <f t="shared" si="14"/>
        <v>185.94355447746912</v>
      </c>
      <c r="AK10" s="350"/>
      <c r="AL10" s="349">
        <f t="shared" ref="AL10:AN10" si="15">SUM(AL22,AL34,AL52,AL64,AL76,AL94)</f>
        <v>64.593555295963085</v>
      </c>
      <c r="AM10" s="349">
        <f t="shared" si="15"/>
        <v>73.244293120930777</v>
      </c>
      <c r="AN10" s="349">
        <f t="shared" si="15"/>
        <v>76.608347069096922</v>
      </c>
    </row>
    <row r="11" spans="1:40">
      <c r="A11" s="64" t="str">
        <f>name!E6</f>
        <v>Associate professional occupations</v>
      </c>
      <c r="B11" s="349">
        <f>SUM(B23,B35,B53,B65,B77,B95)</f>
        <v>4148.519922135707</v>
      </c>
      <c r="C11" s="349">
        <f t="shared" si="0"/>
        <v>4375.1721076650374</v>
      </c>
      <c r="D11" s="349">
        <f>SUM(D23,D35,D53,D65,D77,D95)</f>
        <v>4773.1361951546678</v>
      </c>
      <c r="E11" s="349"/>
      <c r="F11" s="349">
        <f t="shared" si="1"/>
        <v>56.795024991701986</v>
      </c>
      <c r="G11" s="349">
        <f t="shared" si="1"/>
        <v>75.466588833091464</v>
      </c>
      <c r="H11" s="349">
        <f t="shared" si="1"/>
        <v>116.02256007678221</v>
      </c>
      <c r="I11" s="349"/>
      <c r="J11" s="349">
        <f t="shared" si="2"/>
        <v>642.83571414330652</v>
      </c>
      <c r="K11" s="349">
        <f t="shared" si="2"/>
        <v>844.33418242932316</v>
      </c>
      <c r="L11" s="349">
        <f t="shared" si="2"/>
        <v>1223.911358053628</v>
      </c>
      <c r="M11" s="349"/>
      <c r="N11" s="349">
        <f t="shared" si="3"/>
        <v>1243.2273822905968</v>
      </c>
      <c r="O11" s="349">
        <f t="shared" si="3"/>
        <v>1329.2652038730021</v>
      </c>
      <c r="P11" s="349">
        <f t="shared" si="3"/>
        <v>1466.780044450576</v>
      </c>
      <c r="Q11" s="350"/>
      <c r="R11" s="349">
        <f t="shared" ref="R11:T11" si="16">SUM(R23,R35,R53,R65,R77,R95)</f>
        <v>325.56795476589321</v>
      </c>
      <c r="S11" s="349">
        <f t="shared" si="16"/>
        <v>335.97523650342362</v>
      </c>
      <c r="T11" s="349">
        <f t="shared" si="16"/>
        <v>335.39430742310469</v>
      </c>
      <c r="U11" s="350"/>
      <c r="V11" s="349">
        <f t="shared" ref="V11:X11" si="17">SUM(V23,V35,V53,V65,V77,V95)</f>
        <v>278.16414030513658</v>
      </c>
      <c r="W11" s="349">
        <f t="shared" si="17"/>
        <v>273.71555868137506</v>
      </c>
      <c r="X11" s="349">
        <f t="shared" si="17"/>
        <v>290.50203554281995</v>
      </c>
      <c r="Y11" s="350"/>
      <c r="Z11" s="349">
        <f t="shared" ref="Z11:AB11" si="18">SUM(Z23,Z35,Z53,Z65,Z77,Z95)</f>
        <v>697.06529631686021</v>
      </c>
      <c r="AA11" s="349">
        <f t="shared" si="18"/>
        <v>687.31096127749402</v>
      </c>
      <c r="AB11" s="349">
        <f t="shared" si="18"/>
        <v>685.45673666346192</v>
      </c>
      <c r="AC11" s="350"/>
      <c r="AD11" s="349">
        <f t="shared" ref="AD11:AF11" si="19">SUM(AD23,AD35,AD53,AD65,AD77,AD95)</f>
        <v>517.52416952080182</v>
      </c>
      <c r="AE11" s="349">
        <f t="shared" si="19"/>
        <v>488.0671186775154</v>
      </c>
      <c r="AF11" s="349">
        <f t="shared" si="19"/>
        <v>395.17115570079648</v>
      </c>
      <c r="AG11" s="350"/>
      <c r="AH11" s="349">
        <f t="shared" ref="AH11:AJ11" si="20">SUM(AH23,AH35,AH53,AH65,AH77,AH95)</f>
        <v>317.3936021813488</v>
      </c>
      <c r="AI11" s="349">
        <f t="shared" si="20"/>
        <v>275.55061162975278</v>
      </c>
      <c r="AJ11" s="349">
        <f t="shared" si="20"/>
        <v>189.23387008354598</v>
      </c>
      <c r="AK11" s="350"/>
      <c r="AL11" s="349">
        <f t="shared" ref="AL11:AN11" si="21">SUM(AL23,AL35,AL53,AL65,AL77,AL95)</f>
        <v>69.946637620060272</v>
      </c>
      <c r="AM11" s="349">
        <f t="shared" si="21"/>
        <v>65.486645760060554</v>
      </c>
      <c r="AN11" s="349">
        <f t="shared" si="21"/>
        <v>70.664127159952656</v>
      </c>
    </row>
    <row r="12" spans="1:40">
      <c r="A12" s="64" t="str">
        <f>name!E7</f>
        <v>Administrative and secretarial occupations</v>
      </c>
      <c r="B12" s="349">
        <f t="shared" si="0"/>
        <v>3139.6064886304184</v>
      </c>
      <c r="C12" s="349">
        <f t="shared" si="0"/>
        <v>3183.5304221363162</v>
      </c>
      <c r="D12" s="349">
        <f t="shared" si="0"/>
        <v>3006.3242133196813</v>
      </c>
      <c r="E12" s="349"/>
      <c r="F12" s="349">
        <f t="shared" si="1"/>
        <v>17.933882955831422</v>
      </c>
      <c r="G12" s="349">
        <f t="shared" si="1"/>
        <v>25.773253002163763</v>
      </c>
      <c r="H12" s="349">
        <f t="shared" si="1"/>
        <v>42.085031572528294</v>
      </c>
      <c r="I12" s="349"/>
      <c r="J12" s="349">
        <f t="shared" si="2"/>
        <v>219.13895622279557</v>
      </c>
      <c r="K12" s="349">
        <f t="shared" si="2"/>
        <v>311.19513945791476</v>
      </c>
      <c r="L12" s="349">
        <f t="shared" si="2"/>
        <v>460.13333140155879</v>
      </c>
      <c r="M12" s="349"/>
      <c r="N12" s="349">
        <f t="shared" si="3"/>
        <v>630.10106453514436</v>
      </c>
      <c r="O12" s="349">
        <f t="shared" si="3"/>
        <v>745.86947279332981</v>
      </c>
      <c r="P12" s="349">
        <f t="shared" si="3"/>
        <v>899.19448589236572</v>
      </c>
      <c r="Q12" s="350"/>
      <c r="R12" s="349">
        <f t="shared" ref="R12:T12" si="22">SUM(R24,R36,R54,R66,R78,R96)</f>
        <v>235.03673364743511</v>
      </c>
      <c r="S12" s="349">
        <f t="shared" si="22"/>
        <v>264.29942950248699</v>
      </c>
      <c r="T12" s="349">
        <f t="shared" si="22"/>
        <v>302.50402895707998</v>
      </c>
      <c r="U12" s="350"/>
      <c r="V12" s="349">
        <f t="shared" ref="V12:X12" si="23">SUM(V24,V36,V54,V66,V78,V96)</f>
        <v>216.02251513053571</v>
      </c>
      <c r="W12" s="349">
        <f t="shared" si="23"/>
        <v>232.33139788174014</v>
      </c>
      <c r="X12" s="349">
        <f t="shared" si="23"/>
        <v>259.85811623856927</v>
      </c>
      <c r="Y12" s="350"/>
      <c r="Z12" s="349">
        <f t="shared" ref="Z12:AA12" si="24">SUM(Z24,Z36,Z54,Z66,Z78,Z96)</f>
        <v>649.30658792156862</v>
      </c>
      <c r="AA12" s="349">
        <f t="shared" si="24"/>
        <v>638.33334016426159</v>
      </c>
      <c r="AB12" s="349">
        <f>SUM(AB24,AB36,AB54,AB66,AB78,AB96)</f>
        <v>504.63515630402333</v>
      </c>
      <c r="AC12" s="350"/>
      <c r="AD12" s="349">
        <f t="shared" ref="AD12:AE12" si="25">SUM(AD24,AD36,AD54,AD66,AD78,AD96)</f>
        <v>686.8532551912192</v>
      </c>
      <c r="AE12" s="349">
        <f t="shared" si="25"/>
        <v>618.30271030292465</v>
      </c>
      <c r="AF12" s="349">
        <f>SUM(AF24,AF36,AF54,AF66,AF78,AF96)</f>
        <v>386.91283955799292</v>
      </c>
      <c r="AG12" s="350"/>
      <c r="AH12" s="349">
        <f t="shared" ref="AH12:AI12" si="26">SUM(AH24,AH36,AH54,AH66,AH78,AH96)</f>
        <v>386.2481868911554</v>
      </c>
      <c r="AI12" s="349">
        <f t="shared" si="26"/>
        <v>262.73046945980593</v>
      </c>
      <c r="AJ12" s="349">
        <f>SUM(AJ24,AJ36,AJ54,AJ66,AJ78,AJ96)</f>
        <v>87.015612505757744</v>
      </c>
      <c r="AK12" s="350"/>
      <c r="AL12" s="349">
        <f t="shared" ref="AL12:AM12" si="27">SUM(AL24,AL36,AL54,AL66,AL78,AL96)</f>
        <v>98.965306134732757</v>
      </c>
      <c r="AM12" s="349">
        <f t="shared" si="27"/>
        <v>84.695209571688366</v>
      </c>
      <c r="AN12" s="349">
        <f>SUM(AN24,AN36,AN54,AN66,AN78,AN96)</f>
        <v>63.985610889805287</v>
      </c>
    </row>
    <row r="13" spans="1:40">
      <c r="A13" s="64" t="str">
        <f>name!E8</f>
        <v>Skilled trades occupations</v>
      </c>
      <c r="B13" s="349">
        <f t="shared" si="0"/>
        <v>2507.3322009247017</v>
      </c>
      <c r="C13" s="349">
        <f t="shared" si="0"/>
        <v>2537.8914948122338</v>
      </c>
      <c r="D13" s="349">
        <f t="shared" si="0"/>
        <v>2469.7593394972228</v>
      </c>
      <c r="E13" s="349"/>
      <c r="F13" s="349">
        <f t="shared" si="1"/>
        <v>4.539698919792162</v>
      </c>
      <c r="G13" s="349">
        <f t="shared" si="1"/>
        <v>6.5292923557091207</v>
      </c>
      <c r="H13" s="349">
        <f t="shared" si="1"/>
        <v>10.026746335890538</v>
      </c>
      <c r="I13" s="349"/>
      <c r="J13" s="349">
        <f t="shared" si="2"/>
        <v>57.545593526857949</v>
      </c>
      <c r="K13" s="349">
        <f t="shared" si="2"/>
        <v>85.8298622775838</v>
      </c>
      <c r="L13" s="349">
        <f t="shared" si="2"/>
        <v>145.56615300695822</v>
      </c>
      <c r="M13" s="349"/>
      <c r="N13" s="349">
        <f t="shared" si="3"/>
        <v>174.66501014055291</v>
      </c>
      <c r="O13" s="349">
        <f t="shared" si="3"/>
        <v>209.73362344935029</v>
      </c>
      <c r="P13" s="349">
        <f t="shared" si="3"/>
        <v>270.78806163546841</v>
      </c>
      <c r="Q13" s="350"/>
      <c r="R13" s="349">
        <f t="shared" ref="R13:T13" si="28">SUM(R25,R37,R55,R67,R79,R97)</f>
        <v>77.35597113464037</v>
      </c>
      <c r="S13" s="349">
        <f t="shared" si="28"/>
        <v>88.89660901885982</v>
      </c>
      <c r="T13" s="349">
        <f t="shared" si="28"/>
        <v>113.55321002951985</v>
      </c>
      <c r="U13" s="350"/>
      <c r="V13" s="349">
        <f t="shared" ref="V13:X13" si="29">SUM(V25,V37,V55,V67,V79,V97)</f>
        <v>154.62909982620604</v>
      </c>
      <c r="W13" s="349">
        <f t="shared" si="29"/>
        <v>172.43262302181574</v>
      </c>
      <c r="X13" s="349">
        <f t="shared" si="29"/>
        <v>209.89046435965099</v>
      </c>
      <c r="Y13" s="350"/>
      <c r="Z13" s="349">
        <f t="shared" ref="Z13:AB13" si="30">SUM(Z25,Z37,Z55,Z67,Z79,Z97)</f>
        <v>823.53378436886146</v>
      </c>
      <c r="AA13" s="349">
        <f t="shared" si="30"/>
        <v>813.23952304678789</v>
      </c>
      <c r="AB13" s="349">
        <f t="shared" si="30"/>
        <v>765.61213483933147</v>
      </c>
      <c r="AC13" s="350"/>
      <c r="AD13" s="349">
        <f t="shared" ref="AD13:AF13" si="31">SUM(AD25,AD37,AD55,AD67,AD79,AD97)</f>
        <v>654.74943141652761</v>
      </c>
      <c r="AE13" s="349">
        <f t="shared" si="31"/>
        <v>645.27107759353817</v>
      </c>
      <c r="AF13" s="349">
        <f t="shared" si="31"/>
        <v>581.66916114788671</v>
      </c>
      <c r="AG13" s="350"/>
      <c r="AH13" s="349">
        <f t="shared" ref="AH13:AJ13" si="32">SUM(AH25,AH37,AH55,AH67,AH79,AH97)</f>
        <v>387.09207458036485</v>
      </c>
      <c r="AI13" s="349">
        <f t="shared" si="32"/>
        <v>380.11769482722798</v>
      </c>
      <c r="AJ13" s="349">
        <f t="shared" si="32"/>
        <v>303.75766715881082</v>
      </c>
      <c r="AK13" s="350"/>
      <c r="AL13" s="349">
        <f t="shared" ref="AL13:AN13" si="33">SUM(AL25,AL37,AL55,AL67,AL79,AL97)</f>
        <v>173.22153701089837</v>
      </c>
      <c r="AM13" s="349">
        <f t="shared" si="33"/>
        <v>135.84118922136108</v>
      </c>
      <c r="AN13" s="349">
        <f t="shared" si="33"/>
        <v>68.895740983705736</v>
      </c>
    </row>
    <row r="14" spans="1:40">
      <c r="A14" s="64" t="str">
        <f>name!E9</f>
        <v>Caring, leisure and other service occupations</v>
      </c>
      <c r="B14" s="349">
        <f t="shared" si="0"/>
        <v>2678.5046281380942</v>
      </c>
      <c r="C14" s="349">
        <f t="shared" si="0"/>
        <v>2732.1382307806898</v>
      </c>
      <c r="D14" s="349">
        <f t="shared" si="0"/>
        <v>2919.9573485364594</v>
      </c>
      <c r="E14" s="349"/>
      <c r="F14" s="349">
        <f t="shared" si="1"/>
        <v>2.9941269753406115</v>
      </c>
      <c r="G14" s="349">
        <f t="shared" si="1"/>
        <v>4.3287003886312005</v>
      </c>
      <c r="H14" s="349">
        <f t="shared" si="1"/>
        <v>7.1023048311640693</v>
      </c>
      <c r="I14" s="349"/>
      <c r="J14" s="349">
        <f t="shared" si="2"/>
        <v>113.42784199051921</v>
      </c>
      <c r="K14" s="349">
        <f t="shared" si="2"/>
        <v>161.05523577791422</v>
      </c>
      <c r="L14" s="349">
        <f t="shared" si="2"/>
        <v>258.02670367441141</v>
      </c>
      <c r="M14" s="349"/>
      <c r="N14" s="349">
        <f t="shared" si="3"/>
        <v>339.5566486631318</v>
      </c>
      <c r="O14" s="349">
        <f t="shared" si="3"/>
        <v>392.13728740084008</v>
      </c>
      <c r="P14" s="349">
        <f t="shared" si="3"/>
        <v>489.17527433464278</v>
      </c>
      <c r="Q14" s="350"/>
      <c r="R14" s="349">
        <f>SUM(R26,R38,R56,R68,R80,R98)</f>
        <v>258.46289428729318</v>
      </c>
      <c r="S14" s="349">
        <f t="shared" ref="S14:T14" si="34">SUM(S26,S38,S56,S68,S80,S98)</f>
        <v>258.14342033590145</v>
      </c>
      <c r="T14" s="349">
        <f t="shared" si="34"/>
        <v>283.74574841687109</v>
      </c>
      <c r="U14" s="350"/>
      <c r="V14" s="349">
        <f t="shared" ref="V14:X14" si="35">SUM(V26,V38,V56,V68,V80,V98)</f>
        <v>181.66088536357631</v>
      </c>
      <c r="W14" s="349">
        <f t="shared" si="35"/>
        <v>188.12091572343331</v>
      </c>
      <c r="X14" s="349">
        <f t="shared" si="35"/>
        <v>224.7873358918917</v>
      </c>
      <c r="Y14" s="350"/>
      <c r="Z14" s="349">
        <f t="shared" ref="Z14:AB14" si="36">SUM(Z26,Z38,Z56,Z68,Z80,Z98)</f>
        <v>894.38266027672216</v>
      </c>
      <c r="AA14" s="349">
        <f t="shared" si="36"/>
        <v>928.70028926151963</v>
      </c>
      <c r="AB14" s="349">
        <f t="shared" si="36"/>
        <v>1022.2643986215962</v>
      </c>
      <c r="AC14" s="350"/>
      <c r="AD14" s="349">
        <f t="shared" ref="AD14:AF14" si="37">SUM(AD26,AD38,AD56,AD68,AD80,AD98)</f>
        <v>646.47023593035522</v>
      </c>
      <c r="AE14" s="349">
        <f t="shared" si="37"/>
        <v>600.34109474853699</v>
      </c>
      <c r="AF14" s="349">
        <f t="shared" si="37"/>
        <v>476.77787740078765</v>
      </c>
      <c r="AG14" s="350"/>
      <c r="AH14" s="349">
        <f t="shared" ref="AH14:AJ14" si="38">SUM(AH26,AH38,AH56,AH68,AH80,AH98)</f>
        <v>187.60701589002281</v>
      </c>
      <c r="AI14" s="349">
        <f t="shared" si="38"/>
        <v>155.76662254536788</v>
      </c>
      <c r="AJ14" s="349">
        <f t="shared" si="38"/>
        <v>123.19297463448393</v>
      </c>
      <c r="AK14" s="350"/>
      <c r="AL14" s="349">
        <f t="shared" ref="AL14:AN14" si="39">SUM(AL26,AL38,AL56,AL68,AL80,AL98)</f>
        <v>53.942318761132725</v>
      </c>
      <c r="AM14" s="349">
        <f t="shared" si="39"/>
        <v>43.544664598545062</v>
      </c>
      <c r="AN14" s="349">
        <f t="shared" si="39"/>
        <v>34.884730730610571</v>
      </c>
    </row>
    <row r="15" spans="1:40">
      <c r="A15" s="64" t="str">
        <f>name!E10</f>
        <v>Sales and customer service occupations</v>
      </c>
      <c r="B15" s="349">
        <f t="shared" si="0"/>
        <v>2363.8487883943094</v>
      </c>
      <c r="C15" s="349">
        <f t="shared" si="0"/>
        <v>2395.6943281860044</v>
      </c>
      <c r="D15" s="349">
        <f t="shared" si="0"/>
        <v>2408.2466133814296</v>
      </c>
      <c r="E15" s="349"/>
      <c r="F15" s="349">
        <f t="shared" si="1"/>
        <v>7.1653443875820741</v>
      </c>
      <c r="G15" s="349">
        <f t="shared" si="1"/>
        <v>9.9728320411172451</v>
      </c>
      <c r="H15" s="349">
        <f t="shared" si="1"/>
        <v>15.272602486206864</v>
      </c>
      <c r="I15" s="349"/>
      <c r="J15" s="349">
        <f t="shared" si="2"/>
        <v>99.279354317039406</v>
      </c>
      <c r="K15" s="349">
        <f t="shared" si="2"/>
        <v>140.49590815996254</v>
      </c>
      <c r="L15" s="349">
        <f t="shared" si="2"/>
        <v>235.60934011234778</v>
      </c>
      <c r="M15" s="349"/>
      <c r="N15" s="349">
        <f t="shared" si="3"/>
        <v>349.42144340079403</v>
      </c>
      <c r="O15" s="349">
        <f t="shared" si="3"/>
        <v>399.06978682257699</v>
      </c>
      <c r="P15" s="349">
        <f t="shared" si="3"/>
        <v>511.72225014421315</v>
      </c>
      <c r="Q15" s="350"/>
      <c r="R15" s="349">
        <f t="shared" ref="R15:T15" si="40">SUM(R27,R39,R57,R69,R81,R99)</f>
        <v>112.92367562281574</v>
      </c>
      <c r="S15" s="349">
        <f t="shared" si="40"/>
        <v>123.49420018047833</v>
      </c>
      <c r="T15" s="349">
        <f t="shared" si="40"/>
        <v>155.47819028235691</v>
      </c>
      <c r="U15" s="350"/>
      <c r="V15" s="349">
        <f t="shared" ref="V15:X15" si="41">SUM(V27,V39,V57,V69,V81,V99)</f>
        <v>103.81980419434774</v>
      </c>
      <c r="W15" s="349">
        <f t="shared" si="41"/>
        <v>112.30185362748769</v>
      </c>
      <c r="X15" s="349">
        <f t="shared" si="41"/>
        <v>133.96266798423514</v>
      </c>
      <c r="Y15" s="350"/>
      <c r="Z15" s="349">
        <f t="shared" ref="Z15:AB15" si="42">SUM(Z27,Z39,Z57,Z69,Z81,Z99)</f>
        <v>621.05389327895875</v>
      </c>
      <c r="AA15" s="349">
        <f t="shared" si="42"/>
        <v>632.53741101606226</v>
      </c>
      <c r="AB15" s="349">
        <f t="shared" si="42"/>
        <v>658.99853895158105</v>
      </c>
      <c r="AC15" s="350"/>
      <c r="AD15" s="349">
        <f t="shared" ref="AD15:AF15" si="43">SUM(AD27,AD39,AD57,AD69,AD81,AD99)</f>
        <v>570.64368594194991</v>
      </c>
      <c r="AE15" s="349">
        <f t="shared" si="43"/>
        <v>554.33208964928212</v>
      </c>
      <c r="AF15" s="349">
        <f t="shared" si="43"/>
        <v>464.47129582637734</v>
      </c>
      <c r="AG15" s="350"/>
      <c r="AH15" s="349">
        <f t="shared" ref="AH15:AJ15" si="44">SUM(AH27,AH39,AH57,AH69,AH81,AH99)</f>
        <v>366.32782385303528</v>
      </c>
      <c r="AI15" s="349">
        <f t="shared" si="44"/>
        <v>317.07545682735895</v>
      </c>
      <c r="AJ15" s="349">
        <f t="shared" si="44"/>
        <v>155.11287024119278</v>
      </c>
      <c r="AK15" s="350"/>
      <c r="AL15" s="349">
        <f t="shared" ref="AL15:AN15" si="45">SUM(AL27,AL39,AL57,AL69,AL81,AL99)</f>
        <v>133.21376339778647</v>
      </c>
      <c r="AM15" s="349">
        <f t="shared" si="45"/>
        <v>106.41478986167817</v>
      </c>
      <c r="AN15" s="349">
        <f t="shared" si="45"/>
        <v>77.618857352918241</v>
      </c>
    </row>
    <row r="16" spans="1:40">
      <c r="A16" s="64" t="str">
        <f>name!E11</f>
        <v>Process, plant and machine operatives</v>
      </c>
      <c r="B16" s="349">
        <f t="shared" si="0"/>
        <v>1665.789300578411</v>
      </c>
      <c r="C16" s="349">
        <f t="shared" si="0"/>
        <v>1724.275072027611</v>
      </c>
      <c r="D16" s="349">
        <f t="shared" si="0"/>
        <v>1664.9651104259585</v>
      </c>
      <c r="E16" s="349"/>
      <c r="F16" s="349">
        <f t="shared" si="1"/>
        <v>4.5744441025148017</v>
      </c>
      <c r="G16" s="349">
        <f t="shared" si="1"/>
        <v>7.447048376041054</v>
      </c>
      <c r="H16" s="349">
        <f t="shared" si="1"/>
        <v>13.565538480296668</v>
      </c>
      <c r="I16" s="349"/>
      <c r="J16" s="349">
        <f t="shared" si="2"/>
        <v>31.505868311078373</v>
      </c>
      <c r="K16" s="349">
        <f t="shared" si="2"/>
        <v>48.405031120339373</v>
      </c>
      <c r="L16" s="349">
        <f t="shared" si="2"/>
        <v>84.765585896066824</v>
      </c>
      <c r="M16" s="349"/>
      <c r="N16" s="349">
        <f t="shared" si="3"/>
        <v>83.304387104175191</v>
      </c>
      <c r="O16" s="349">
        <f t="shared" si="3"/>
        <v>108.45913469984103</v>
      </c>
      <c r="P16" s="349">
        <f t="shared" si="3"/>
        <v>157.36938537437109</v>
      </c>
      <c r="Q16" s="350"/>
      <c r="R16" s="349">
        <f t="shared" ref="R16:T16" si="46">SUM(R28,R40,R58,R70,R82,R100)</f>
        <v>39.504080877262325</v>
      </c>
      <c r="S16" s="349">
        <f t="shared" si="46"/>
        <v>49.736089932059251</v>
      </c>
      <c r="T16" s="349">
        <f t="shared" si="46"/>
        <v>66.435367965029684</v>
      </c>
      <c r="U16" s="350"/>
      <c r="V16" s="349">
        <f t="shared" ref="V16:X16" si="47">SUM(V28,V40,V58,V70,V82,V100)</f>
        <v>68.771431031088554</v>
      </c>
      <c r="W16" s="349">
        <f t="shared" si="47"/>
        <v>81.828125028771026</v>
      </c>
      <c r="X16" s="349">
        <f t="shared" si="47"/>
        <v>102.69787216604414</v>
      </c>
      <c r="Y16" s="350"/>
      <c r="Z16" s="349">
        <f t="shared" ref="Z16:AB16" si="48">SUM(Z28,Z40,Z58,Z70,Z82,Z100)</f>
        <v>365.62699456915362</v>
      </c>
      <c r="AA16" s="349">
        <f t="shared" si="48"/>
        <v>401.32861268262428</v>
      </c>
      <c r="AB16" s="349">
        <f t="shared" si="48"/>
        <v>435.41717725010005</v>
      </c>
      <c r="AC16" s="350"/>
      <c r="AD16" s="349">
        <f t="shared" ref="AD16:AF16" si="49">SUM(AD28,AD40,AD58,AD70,AD82,AD100)</f>
        <v>493.93847025199068</v>
      </c>
      <c r="AE16" s="349">
        <f t="shared" si="49"/>
        <v>528.07692469497044</v>
      </c>
      <c r="AF16" s="349">
        <f t="shared" si="49"/>
        <v>498.17267234815142</v>
      </c>
      <c r="AG16" s="350"/>
      <c r="AH16" s="349">
        <f t="shared" ref="AH16:AJ16" si="50">SUM(AH28,AH40,AH58,AH70,AH82,AH100)</f>
        <v>402.76120146557639</v>
      </c>
      <c r="AI16" s="349">
        <f t="shared" si="50"/>
        <v>375.81257787878883</v>
      </c>
      <c r="AJ16" s="349">
        <f t="shared" si="50"/>
        <v>243.0019369694455</v>
      </c>
      <c r="AK16" s="350"/>
      <c r="AL16" s="349">
        <f t="shared" ref="AL16:AN16" si="51">SUM(AL28,AL40,AL58,AL70,AL82,AL100)</f>
        <v>175.80242286557132</v>
      </c>
      <c r="AM16" s="349">
        <f t="shared" si="51"/>
        <v>123.18152761417603</v>
      </c>
      <c r="AN16" s="349">
        <f t="shared" si="51"/>
        <v>63.539573976452843</v>
      </c>
    </row>
    <row r="17" spans="1:40">
      <c r="A17" s="64" t="str">
        <f>name!E12</f>
        <v>Elementary occupations</v>
      </c>
      <c r="B17" s="349">
        <f t="shared" si="0"/>
        <v>2996.1870754553829</v>
      </c>
      <c r="C17" s="349">
        <f t="shared" si="0"/>
        <v>3060.4986050772186</v>
      </c>
      <c r="D17" s="349">
        <f t="shared" si="0"/>
        <v>2988.1703889630262</v>
      </c>
      <c r="E17" s="349"/>
      <c r="F17" s="349">
        <f t="shared" si="1"/>
        <v>2.3299701452141055</v>
      </c>
      <c r="G17" s="349">
        <f t="shared" si="1"/>
        <v>3.0701749980183499</v>
      </c>
      <c r="H17" s="349">
        <f t="shared" si="1"/>
        <v>4.641896584122847</v>
      </c>
      <c r="I17" s="349"/>
      <c r="J17" s="349">
        <f t="shared" si="2"/>
        <v>81.409758962122126</v>
      </c>
      <c r="K17" s="349">
        <f t="shared" si="2"/>
        <v>117.83074251688942</v>
      </c>
      <c r="L17" s="349">
        <f t="shared" si="2"/>
        <v>211.64049001024938</v>
      </c>
      <c r="M17" s="349"/>
      <c r="N17" s="349">
        <f t="shared" si="3"/>
        <v>249.81880083185271</v>
      </c>
      <c r="O17" s="349">
        <f t="shared" si="3"/>
        <v>295.38900368708573</v>
      </c>
      <c r="P17" s="349">
        <f t="shared" si="3"/>
        <v>382.33294578922494</v>
      </c>
      <c r="Q17" s="350"/>
      <c r="R17" s="349">
        <f t="shared" ref="R17:T17" si="52">SUM(R29,R41,R59,R71,R83,R101)</f>
        <v>123.6518822583799</v>
      </c>
      <c r="S17" s="349">
        <f t="shared" si="52"/>
        <v>146.59156147700693</v>
      </c>
      <c r="T17" s="349">
        <f t="shared" si="52"/>
        <v>194.56693754460886</v>
      </c>
      <c r="U17" s="350"/>
      <c r="V17" s="349">
        <f t="shared" ref="V17:X17" si="53">SUM(V29,V41,V59,V71,V83,V101)</f>
        <v>113.84518264333683</v>
      </c>
      <c r="W17" s="349">
        <f t="shared" si="53"/>
        <v>135.83412842669694</v>
      </c>
      <c r="X17" s="349">
        <f t="shared" si="53"/>
        <v>178.1708229195909</v>
      </c>
      <c r="Y17" s="350"/>
      <c r="Z17" s="349">
        <f t="shared" ref="Z17:AB17" si="54">SUM(Z29,Z41,Z59,Z71,Z83,Z101)</f>
        <v>527.66652838102186</v>
      </c>
      <c r="AA17" s="349">
        <f t="shared" si="54"/>
        <v>516.2480735824505</v>
      </c>
      <c r="AB17" s="349">
        <f t="shared" si="54"/>
        <v>530.24673434905276</v>
      </c>
      <c r="AC17" s="350"/>
      <c r="AD17" s="349">
        <f t="shared" ref="AD17:AF17" si="55">SUM(AD29,AD41,AD59,AD71,AD83,AD101)</f>
        <v>828.44680029987126</v>
      </c>
      <c r="AE17" s="349">
        <f t="shared" si="55"/>
        <v>844.73386178286091</v>
      </c>
      <c r="AF17" s="349">
        <f t="shared" si="55"/>
        <v>758.58042977375499</v>
      </c>
      <c r="AG17" s="350"/>
      <c r="AH17" s="349">
        <f t="shared" ref="AH17:AJ17" si="56">SUM(AH29,AH41,AH59,AH71,AH83,AH101)</f>
        <v>774.62951837436947</v>
      </c>
      <c r="AI17" s="349">
        <f t="shared" si="56"/>
        <v>765.57207928958621</v>
      </c>
      <c r="AJ17" s="349">
        <f t="shared" si="56"/>
        <v>558.52236316601079</v>
      </c>
      <c r="AK17" s="350"/>
      <c r="AL17" s="349">
        <f t="shared" ref="AL17:AN17" si="57">SUM(AL29,AL41,AL59,AL71,AL83,AL101)</f>
        <v>294.38863355921472</v>
      </c>
      <c r="AM17" s="349">
        <f t="shared" si="57"/>
        <v>235.22897931662357</v>
      </c>
      <c r="AN17" s="349">
        <f t="shared" si="57"/>
        <v>169.46776882641112</v>
      </c>
    </row>
    <row r="18" spans="1:40">
      <c r="A18" s="64"/>
      <c r="B18" s="349"/>
      <c r="C18" s="349"/>
      <c r="D18" s="349"/>
      <c r="E18" s="349"/>
      <c r="F18" s="349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50"/>
      <c r="R18" s="349"/>
      <c r="S18" s="349"/>
      <c r="T18" s="349"/>
      <c r="U18" s="350"/>
      <c r="V18" s="349"/>
      <c r="W18" s="349"/>
      <c r="X18" s="349"/>
      <c r="Y18" s="350"/>
      <c r="Z18" s="349"/>
      <c r="AA18" s="349"/>
      <c r="AB18" s="349"/>
      <c r="AC18" s="350"/>
      <c r="AD18" s="349"/>
      <c r="AE18" s="349"/>
      <c r="AF18" s="349"/>
      <c r="AG18" s="350"/>
      <c r="AH18" s="349"/>
      <c r="AI18" s="349"/>
      <c r="AJ18" s="349"/>
      <c r="AK18" s="350"/>
      <c r="AL18" s="349"/>
      <c r="AM18" s="349"/>
      <c r="AN18" s="349"/>
    </row>
    <row r="19" spans="1:40" ht="12.95">
      <c r="A19" s="1" t="str">
        <f>name!C4</f>
        <v>Primary sector and utilities</v>
      </c>
      <c r="B19" s="350"/>
      <c r="C19" s="350"/>
      <c r="D19" s="350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50"/>
      <c r="R19" s="349"/>
      <c r="S19" s="349"/>
      <c r="T19" s="349"/>
      <c r="U19" s="350"/>
      <c r="V19" s="349"/>
      <c r="W19" s="349"/>
      <c r="X19" s="349"/>
      <c r="Y19" s="350"/>
      <c r="Z19" s="349"/>
      <c r="AA19" s="349"/>
      <c r="AB19" s="349"/>
      <c r="AC19" s="350"/>
      <c r="AD19" s="349"/>
      <c r="AE19" s="349"/>
      <c r="AF19" s="349"/>
      <c r="AG19" s="350"/>
      <c r="AH19" s="349"/>
      <c r="AI19" s="349"/>
      <c r="AJ19" s="349"/>
      <c r="AK19" s="350"/>
      <c r="AL19" s="349"/>
      <c r="AM19" s="349"/>
      <c r="AN19" s="349"/>
    </row>
    <row r="20" spans="1:40">
      <c r="A20" s="64" t="str">
        <f t="shared" ref="A20:A29" si="58">A8</f>
        <v>All occupations</v>
      </c>
      <c r="B20" s="348">
        <f>SUM(B21:B29)</f>
        <v>554.54399999796192</v>
      </c>
      <c r="C20" s="348">
        <f>SUM(C21:C29)</f>
        <v>561.28600000016536</v>
      </c>
      <c r="D20" s="348">
        <f>SUM(D21:D29)</f>
        <v>571.78500000015674</v>
      </c>
      <c r="E20" s="349"/>
      <c r="F20" s="348">
        <f>SUM(F21:F29)</f>
        <v>7.0433788555633843</v>
      </c>
      <c r="G20" s="348">
        <f>SUM(G21:G29)</f>
        <v>9.031659839468654</v>
      </c>
      <c r="H20" s="348">
        <f>SUM(H21:H29)</f>
        <v>12.949060203075202</v>
      </c>
      <c r="I20" s="349"/>
      <c r="J20" s="348">
        <f>SUM(J21:J29)</f>
        <v>39.654315602949836</v>
      </c>
      <c r="K20" s="348">
        <f>SUM(K21:K29)</f>
        <v>48.855445379223397</v>
      </c>
      <c r="L20" s="348">
        <f>SUM(L21:L29)</f>
        <v>67.000496725400296</v>
      </c>
      <c r="M20" s="349"/>
      <c r="N20" s="348">
        <f>SUM(N21:N29)</f>
        <v>97.058889818328197</v>
      </c>
      <c r="O20" s="348">
        <f>SUM(O21:O29)</f>
        <v>103.45962101304467</v>
      </c>
      <c r="P20" s="348">
        <f>SUM(P21:P29)</f>
        <v>120.08320739789875</v>
      </c>
      <c r="Q20" s="350"/>
      <c r="R20" s="348">
        <f>SUM(R21:R29)</f>
        <v>20.690830355412075</v>
      </c>
      <c r="S20" s="348">
        <f>SUM(S21:S29)</f>
        <v>22.281444347615832</v>
      </c>
      <c r="T20" s="348">
        <f>SUM(T21:T29)</f>
        <v>26.341942233864682</v>
      </c>
      <c r="U20" s="350"/>
      <c r="V20" s="348">
        <f>SUM(V21:V29)</f>
        <v>49.395320807102998</v>
      </c>
      <c r="W20" s="348">
        <f>SUM(W21:W29)</f>
        <v>52.351540788428629</v>
      </c>
      <c r="X20" s="348">
        <f>SUM(X21:X29)</f>
        <v>60.597671082905244</v>
      </c>
      <c r="Y20" s="350"/>
      <c r="Z20" s="348">
        <f>SUM(Z21:Z29)</f>
        <v>111.56323198593356</v>
      </c>
      <c r="AA20" s="348">
        <f>SUM(AA21:AA29)</f>
        <v>109.39039243465925</v>
      </c>
      <c r="AB20" s="348">
        <f>SUM(AB21:AB29)</f>
        <v>109.74346077348352</v>
      </c>
      <c r="AC20" s="350"/>
      <c r="AD20" s="348">
        <f>SUM(AD21:AD29)</f>
        <v>108.56518123606679</v>
      </c>
      <c r="AE20" s="348">
        <f>SUM(AE21:AE29)</f>
        <v>104.16913083046987</v>
      </c>
      <c r="AF20" s="348">
        <f>SUM(AF21:AF29)</f>
        <v>92.108174332628352</v>
      </c>
      <c r="AG20" s="350"/>
      <c r="AH20" s="348">
        <f>SUM(AH21:AH29)</f>
        <v>73.843232777129202</v>
      </c>
      <c r="AI20" s="348">
        <f>SUM(AI21:AI29)</f>
        <v>64.943003252412012</v>
      </c>
      <c r="AJ20" s="348">
        <f>SUM(AJ21:AJ29)</f>
        <v>47.494592684366154</v>
      </c>
      <c r="AK20" s="350"/>
      <c r="AL20" s="348">
        <f>SUM(AL21:AL29)</f>
        <v>46.729618559475924</v>
      </c>
      <c r="AM20" s="348">
        <f>SUM(AM21:AM29)</f>
        <v>46.803762114842932</v>
      </c>
      <c r="AN20" s="348">
        <f>SUM(AN21:AN29)</f>
        <v>35.466394566534476</v>
      </c>
    </row>
    <row r="21" spans="1:40">
      <c r="A21" s="64" t="str">
        <f t="shared" si="58"/>
        <v>Managers, directors and senior officials</v>
      </c>
      <c r="B21" s="349">
        <f>SUM(F21,J21,N21,R21,V21,Z21,AD21,AH21,AL21)</f>
        <v>58.160979236902818</v>
      </c>
      <c r="C21" s="349">
        <f t="shared" ref="C21:D21" si="59">SUM(G21,K21,O21,S21,W21,AA21,AE21,AI21,AM21)</f>
        <v>56.615030739781105</v>
      </c>
      <c r="D21" s="349">
        <f t="shared" si="59"/>
        <v>60.476918703255748</v>
      </c>
      <c r="E21" s="349"/>
      <c r="F21" s="349">
        <v>1.6200785950300998</v>
      </c>
      <c r="G21" s="349">
        <v>1.9540645965245749</v>
      </c>
      <c r="H21" s="349">
        <v>2.6146037593030149</v>
      </c>
      <c r="I21" s="349"/>
      <c r="J21" s="349">
        <v>9.6141778704508702</v>
      </c>
      <c r="K21" s="349">
        <v>10.364665130214648</v>
      </c>
      <c r="L21" s="349">
        <v>13.063651391084855</v>
      </c>
      <c r="M21" s="349"/>
      <c r="N21" s="349">
        <v>13.781630497118496</v>
      </c>
      <c r="O21" s="349">
        <v>12.86466327084168</v>
      </c>
      <c r="P21" s="349">
        <v>14.172174186388856</v>
      </c>
      <c r="Q21" s="350"/>
      <c r="R21" s="349">
        <v>2.5445169096490625</v>
      </c>
      <c r="S21" s="349">
        <v>2.4610505637001157</v>
      </c>
      <c r="T21" s="349">
        <v>2.651964898348552</v>
      </c>
      <c r="U21" s="350"/>
      <c r="V21" s="349">
        <v>4.0351778974075092</v>
      </c>
      <c r="W21" s="349">
        <v>3.3300817571726946</v>
      </c>
      <c r="X21" s="349">
        <v>3.2188794514676009</v>
      </c>
      <c r="Y21" s="350"/>
      <c r="Z21" s="349">
        <v>9.2947111353855885</v>
      </c>
      <c r="AA21" s="349">
        <v>9.7874042560026169</v>
      </c>
      <c r="AB21" s="349">
        <v>11.723662769080972</v>
      </c>
      <c r="AC21" s="350"/>
      <c r="AD21" s="349">
        <v>8.0906979941447048</v>
      </c>
      <c r="AE21" s="349">
        <v>7.3574238598262367</v>
      </c>
      <c r="AF21" s="349">
        <v>5.8794655181255902</v>
      </c>
      <c r="AG21" s="350"/>
      <c r="AH21" s="349">
        <v>5.4725992349485075</v>
      </c>
      <c r="AI21" s="349">
        <v>4.6719188075515561</v>
      </c>
      <c r="AJ21" s="349">
        <v>3.1501750179165349</v>
      </c>
      <c r="AK21" s="350"/>
      <c r="AL21" s="349">
        <v>3.7073891027679737</v>
      </c>
      <c r="AM21" s="349">
        <v>3.8237584979469812</v>
      </c>
      <c r="AN21" s="349">
        <v>4.0023417115397733</v>
      </c>
    </row>
    <row r="22" spans="1:40">
      <c r="A22" s="64" t="str">
        <f t="shared" si="58"/>
        <v>Professional occupations</v>
      </c>
      <c r="B22" s="349">
        <f t="shared" ref="B22:B29" si="60">SUM(F22,J22,N22,R22,V22,Z22,AD22,AH22,AL22)</f>
        <v>77.940098119840542</v>
      </c>
      <c r="C22" s="349">
        <f t="shared" ref="C22:C29" si="61">SUM(G22,K22,O22,S22,W22,AA22,AE22,AI22,AM22)</f>
        <v>86.575373341274528</v>
      </c>
      <c r="D22" s="349">
        <f t="shared" ref="D22:D29" si="62">SUM(H22,L22,P22,T22,X22,AB22,AF22,AJ22,AN22)</f>
        <v>97.385873438292705</v>
      </c>
      <c r="E22" s="349"/>
      <c r="F22" s="349">
        <v>3.1459057214281438</v>
      </c>
      <c r="G22" s="349">
        <v>4.2918063868490455</v>
      </c>
      <c r="H22" s="349">
        <v>6.2288558286695039</v>
      </c>
      <c r="I22" s="349"/>
      <c r="J22" s="349">
        <v>14.964857341127143</v>
      </c>
      <c r="K22" s="349">
        <v>19.669208395707997</v>
      </c>
      <c r="L22" s="349">
        <v>27.186371588900425</v>
      </c>
      <c r="M22" s="349"/>
      <c r="N22" s="349">
        <v>24.547020972679785</v>
      </c>
      <c r="O22" s="349">
        <v>25.914180813766876</v>
      </c>
      <c r="P22" s="349">
        <v>27.093018217274466</v>
      </c>
      <c r="Q22" s="350"/>
      <c r="R22" s="349">
        <v>2.6460036698845832</v>
      </c>
      <c r="S22" s="349">
        <v>2.8837773507989359</v>
      </c>
      <c r="T22" s="349">
        <v>3.1528428432914448</v>
      </c>
      <c r="U22" s="350"/>
      <c r="V22" s="349">
        <v>10.177040669222009</v>
      </c>
      <c r="W22" s="349">
        <v>10.888959210059051</v>
      </c>
      <c r="X22" s="349">
        <v>11.844789920693705</v>
      </c>
      <c r="Y22" s="350"/>
      <c r="Z22" s="349">
        <v>8.8057915843064709</v>
      </c>
      <c r="AA22" s="349">
        <v>8.5932347101780255</v>
      </c>
      <c r="AB22" s="349">
        <v>7.7964871354802288</v>
      </c>
      <c r="AC22" s="350"/>
      <c r="AD22" s="349">
        <v>6.6387194660343614</v>
      </c>
      <c r="AE22" s="349">
        <v>6.5139114143689918</v>
      </c>
      <c r="AF22" s="349">
        <v>6.8010747445309994</v>
      </c>
      <c r="AG22" s="350"/>
      <c r="AH22" s="349">
        <v>4.6351240750209577</v>
      </c>
      <c r="AI22" s="349">
        <v>4.7691030713403295</v>
      </c>
      <c r="AJ22" s="349">
        <v>3.9504365472432315</v>
      </c>
      <c r="AK22" s="350"/>
      <c r="AL22" s="349">
        <v>2.3796346201370899</v>
      </c>
      <c r="AM22" s="349">
        <v>3.0511919882052778</v>
      </c>
      <c r="AN22" s="349">
        <v>3.3319966122086977</v>
      </c>
    </row>
    <row r="23" spans="1:40">
      <c r="A23" s="64" t="str">
        <f t="shared" si="58"/>
        <v>Associate professional occupations</v>
      </c>
      <c r="B23" s="349">
        <f t="shared" si="60"/>
        <v>57.416299060521375</v>
      </c>
      <c r="C23" s="349">
        <f t="shared" si="61"/>
        <v>55.025265401059961</v>
      </c>
      <c r="D23" s="349">
        <f t="shared" si="62"/>
        <v>59.496464171519193</v>
      </c>
      <c r="E23" s="349"/>
      <c r="F23" s="349">
        <v>1.1615473793916116</v>
      </c>
      <c r="G23" s="349">
        <v>1.3591846722158709</v>
      </c>
      <c r="H23" s="349">
        <v>2.0508027869216554</v>
      </c>
      <c r="I23" s="349"/>
      <c r="J23" s="349">
        <v>5.6708084906740064</v>
      </c>
      <c r="K23" s="349">
        <v>6.5405806825217017</v>
      </c>
      <c r="L23" s="349">
        <v>8.7603701673577419</v>
      </c>
      <c r="M23" s="349"/>
      <c r="N23" s="349">
        <v>14.654690899086408</v>
      </c>
      <c r="O23" s="349">
        <v>14.181724401138426</v>
      </c>
      <c r="P23" s="349">
        <v>15.315194571883461</v>
      </c>
      <c r="Q23" s="350"/>
      <c r="R23" s="349">
        <v>1.6803779605023845</v>
      </c>
      <c r="S23" s="349">
        <v>1.661331025791277</v>
      </c>
      <c r="T23" s="349">
        <v>1.9767492058746989</v>
      </c>
      <c r="U23" s="350"/>
      <c r="V23" s="349">
        <v>8.0893261409859623</v>
      </c>
      <c r="W23" s="349">
        <v>8.1291252904557894</v>
      </c>
      <c r="X23" s="349">
        <v>9.7246090047490785</v>
      </c>
      <c r="Y23" s="350"/>
      <c r="Z23" s="349">
        <v>12.849303615177858</v>
      </c>
      <c r="AA23" s="349">
        <v>11.139715412673951</v>
      </c>
      <c r="AB23" s="349">
        <v>10.807026083445507</v>
      </c>
      <c r="AC23" s="350"/>
      <c r="AD23" s="349">
        <v>5.8591962391188508</v>
      </c>
      <c r="AE23" s="349">
        <v>4.5045427479114677</v>
      </c>
      <c r="AF23" s="349">
        <v>3.4135138918090266</v>
      </c>
      <c r="AG23" s="350"/>
      <c r="AH23" s="349">
        <v>5.2067025522378572</v>
      </c>
      <c r="AI23" s="349">
        <v>4.9628265724859038</v>
      </c>
      <c r="AJ23" s="349">
        <v>4.1059747930667818</v>
      </c>
      <c r="AK23" s="350"/>
      <c r="AL23" s="349">
        <v>2.2443457833464411</v>
      </c>
      <c r="AM23" s="349">
        <v>2.5462345958655752</v>
      </c>
      <c r="AN23" s="349">
        <v>3.342223666411245</v>
      </c>
    </row>
    <row r="24" spans="1:40">
      <c r="A24" s="64" t="str">
        <f t="shared" si="58"/>
        <v>Administrative and secretarial occupations</v>
      </c>
      <c r="B24" s="349">
        <f t="shared" si="60"/>
        <v>43.303460503710056</v>
      </c>
      <c r="C24" s="349">
        <f t="shared" si="61"/>
        <v>41.582215859985141</v>
      </c>
      <c r="D24" s="349">
        <f t="shared" si="62"/>
        <v>37.696859112299144</v>
      </c>
      <c r="E24" s="349"/>
      <c r="F24" s="349">
        <v>0.14006159216300748</v>
      </c>
      <c r="G24" s="349">
        <v>0.17231668168537009</v>
      </c>
      <c r="H24" s="349">
        <v>0.28838802068369468</v>
      </c>
      <c r="I24" s="349"/>
      <c r="J24" s="349">
        <v>2.6219588952909265</v>
      </c>
      <c r="K24" s="349">
        <v>3.4930999672512928</v>
      </c>
      <c r="L24" s="349">
        <v>5.4069468366224838</v>
      </c>
      <c r="M24" s="349"/>
      <c r="N24" s="349">
        <v>7.7742785775048961</v>
      </c>
      <c r="O24" s="349">
        <v>8.3979745020925343</v>
      </c>
      <c r="P24" s="349">
        <v>9.0957926823287458</v>
      </c>
      <c r="Q24" s="350"/>
      <c r="R24" s="349">
        <v>1.3037769616683677</v>
      </c>
      <c r="S24" s="349">
        <v>1.1485261183131812</v>
      </c>
      <c r="T24" s="349">
        <v>1.1197369775608748</v>
      </c>
      <c r="U24" s="350"/>
      <c r="V24" s="349">
        <v>3.9447613238251265</v>
      </c>
      <c r="W24" s="349">
        <v>3.9327792524793215</v>
      </c>
      <c r="X24" s="349">
        <v>3.9793408482904993</v>
      </c>
      <c r="Y24" s="350"/>
      <c r="Z24" s="349">
        <v>9.5601744581226402</v>
      </c>
      <c r="AA24" s="349">
        <v>8.4818764546958771</v>
      </c>
      <c r="AB24" s="349">
        <v>6.5093018065928518</v>
      </c>
      <c r="AC24" s="350"/>
      <c r="AD24" s="349">
        <v>8.5669843748681913</v>
      </c>
      <c r="AE24" s="349">
        <v>6.9385441899344977</v>
      </c>
      <c r="AF24" s="349">
        <v>4.813309815163433</v>
      </c>
      <c r="AG24" s="350"/>
      <c r="AH24" s="349">
        <v>5.8757800617896585</v>
      </c>
      <c r="AI24" s="349">
        <v>5.0966088123642983</v>
      </c>
      <c r="AJ24" s="349">
        <v>2.9017821426956383</v>
      </c>
      <c r="AK24" s="350"/>
      <c r="AL24" s="349">
        <v>3.5156842584772536</v>
      </c>
      <c r="AM24" s="349">
        <v>3.920489881168761</v>
      </c>
      <c r="AN24" s="349">
        <v>3.582259982360922</v>
      </c>
    </row>
    <row r="25" spans="1:40">
      <c r="A25" s="64" t="str">
        <f t="shared" si="58"/>
        <v>Skilled trades occupations</v>
      </c>
      <c r="B25" s="349">
        <f t="shared" si="60"/>
        <v>156.33400286694305</v>
      </c>
      <c r="C25" s="349">
        <f t="shared" si="61"/>
        <v>149.30473263422715</v>
      </c>
      <c r="D25" s="349">
        <f t="shared" si="62"/>
        <v>143.48941873231109</v>
      </c>
      <c r="E25" s="349"/>
      <c r="F25" s="349">
        <v>0.66972714809950529</v>
      </c>
      <c r="G25" s="349">
        <v>0.8488536525809417</v>
      </c>
      <c r="H25" s="349">
        <v>1.2078023173879779</v>
      </c>
      <c r="I25" s="349"/>
      <c r="J25" s="349">
        <v>2.896529750571609</v>
      </c>
      <c r="K25" s="349">
        <v>3.5083877783529442</v>
      </c>
      <c r="L25" s="349">
        <v>5.138376758551594</v>
      </c>
      <c r="M25" s="349"/>
      <c r="N25" s="349">
        <v>22.960304171425118</v>
      </c>
      <c r="O25" s="349">
        <v>26.406328881245351</v>
      </c>
      <c r="P25" s="349">
        <v>35.95346641135432</v>
      </c>
      <c r="Q25" s="350"/>
      <c r="R25" s="349">
        <v>6.605973400710897</v>
      </c>
      <c r="S25" s="349">
        <v>6.9789202415905072</v>
      </c>
      <c r="T25" s="349">
        <v>8.7285233467709258</v>
      </c>
      <c r="U25" s="350"/>
      <c r="V25" s="349">
        <v>14.930110935568152</v>
      </c>
      <c r="W25" s="349">
        <v>15.930086200226798</v>
      </c>
      <c r="X25" s="349">
        <v>19.974481928283087</v>
      </c>
      <c r="Y25" s="350"/>
      <c r="Z25" s="349">
        <v>33.171496670542894</v>
      </c>
      <c r="AA25" s="349">
        <v>28.476998259665624</v>
      </c>
      <c r="AB25" s="349">
        <v>23.995137452845725</v>
      </c>
      <c r="AC25" s="350"/>
      <c r="AD25" s="349">
        <v>35.527747293577505</v>
      </c>
      <c r="AE25" s="349">
        <v>33.472487662425799</v>
      </c>
      <c r="AF25" s="349">
        <v>30.632747409005596</v>
      </c>
      <c r="AG25" s="350"/>
      <c r="AH25" s="349">
        <v>22.490690040534481</v>
      </c>
      <c r="AI25" s="349">
        <v>18.946880509348663</v>
      </c>
      <c r="AJ25" s="349">
        <v>12.810800073088826</v>
      </c>
      <c r="AK25" s="350"/>
      <c r="AL25" s="349">
        <v>17.081423455912894</v>
      </c>
      <c r="AM25" s="349">
        <v>14.735789448790547</v>
      </c>
      <c r="AN25" s="349">
        <v>5.0480830350230477</v>
      </c>
    </row>
    <row r="26" spans="1:40">
      <c r="A26" s="64" t="str">
        <f t="shared" si="58"/>
        <v>Caring, leisure and other service occupations</v>
      </c>
      <c r="B26" s="349">
        <f t="shared" si="60"/>
        <v>18.267318256994002</v>
      </c>
      <c r="C26" s="349">
        <f t="shared" si="61"/>
        <v>17.281970305843625</v>
      </c>
      <c r="D26" s="349">
        <f t="shared" si="62"/>
        <v>18.001664015744129</v>
      </c>
      <c r="E26" s="349"/>
      <c r="F26" s="349">
        <v>9.5670447798511152E-2</v>
      </c>
      <c r="G26" s="349">
        <v>0.12784358630314951</v>
      </c>
      <c r="H26" s="349">
        <v>0.15290556533179966</v>
      </c>
      <c r="I26" s="349"/>
      <c r="J26" s="349">
        <v>0.81952355905159047</v>
      </c>
      <c r="K26" s="349">
        <v>0.98637589292856342</v>
      </c>
      <c r="L26" s="349">
        <v>1.2840447645314581</v>
      </c>
      <c r="M26" s="349"/>
      <c r="N26" s="349">
        <v>4.1242139584549706</v>
      </c>
      <c r="O26" s="349">
        <v>4.2695342843816109</v>
      </c>
      <c r="P26" s="349">
        <v>4.2864676250239588</v>
      </c>
      <c r="Q26" s="350"/>
      <c r="R26" s="349">
        <v>1.0717278713765566</v>
      </c>
      <c r="S26" s="349">
        <v>1.2068539856817038</v>
      </c>
      <c r="T26" s="349">
        <v>1.4736529474287088</v>
      </c>
      <c r="U26" s="350"/>
      <c r="V26" s="349">
        <v>1.590065317942849</v>
      </c>
      <c r="W26" s="349">
        <v>1.4460354747382929</v>
      </c>
      <c r="X26" s="349">
        <v>1.4956279201812357</v>
      </c>
      <c r="Y26" s="350"/>
      <c r="Z26" s="349">
        <v>2.8325359645328616</v>
      </c>
      <c r="AA26" s="349">
        <v>2.2426744044712041</v>
      </c>
      <c r="AB26" s="349">
        <v>2.3518112308362924</v>
      </c>
      <c r="AC26" s="350"/>
      <c r="AD26" s="349">
        <v>2.7614421415217487</v>
      </c>
      <c r="AE26" s="349">
        <v>1.7948616133611672</v>
      </c>
      <c r="AF26" s="349">
        <v>1.392723856795167</v>
      </c>
      <c r="AG26" s="350"/>
      <c r="AH26" s="349">
        <v>3.143359523231664</v>
      </c>
      <c r="AI26" s="349">
        <v>3.1172318430462229</v>
      </c>
      <c r="AJ26" s="349">
        <v>3.1222977732751285</v>
      </c>
      <c r="AK26" s="350"/>
      <c r="AL26" s="349">
        <v>1.828779473083251</v>
      </c>
      <c r="AM26" s="349">
        <v>2.0905592209317092</v>
      </c>
      <c r="AN26" s="349">
        <v>2.4421323323403823</v>
      </c>
    </row>
    <row r="27" spans="1:40">
      <c r="A27" s="64" t="str">
        <f t="shared" si="58"/>
        <v>Sales and customer service occupations</v>
      </c>
      <c r="B27" s="349">
        <f t="shared" si="60"/>
        <v>26.005920557680376</v>
      </c>
      <c r="C27" s="349">
        <f t="shared" si="61"/>
        <v>25.812461087216178</v>
      </c>
      <c r="D27" s="349">
        <f t="shared" si="62"/>
        <v>27.094256084168588</v>
      </c>
      <c r="E27" s="349"/>
      <c r="F27" s="349">
        <v>0.20084994647771956</v>
      </c>
      <c r="G27" s="349">
        <v>0.26359537475566491</v>
      </c>
      <c r="H27" s="349">
        <v>0.38241486917768153</v>
      </c>
      <c r="I27" s="349"/>
      <c r="J27" s="349">
        <v>1.0497809817493133</v>
      </c>
      <c r="K27" s="349">
        <v>1.2877142496801499</v>
      </c>
      <c r="L27" s="349">
        <v>1.6880690764753994</v>
      </c>
      <c r="M27" s="349"/>
      <c r="N27" s="349">
        <v>3.7759862418578787</v>
      </c>
      <c r="O27" s="349">
        <v>4.0471251874775165</v>
      </c>
      <c r="P27" s="349">
        <v>5.0922552983079417</v>
      </c>
      <c r="Q27" s="350"/>
      <c r="R27" s="349">
        <v>2.2092212794362927</v>
      </c>
      <c r="S27" s="349">
        <v>2.2292858564017677</v>
      </c>
      <c r="T27" s="349">
        <v>2.8942268232690442</v>
      </c>
      <c r="U27" s="350"/>
      <c r="V27" s="349">
        <v>1.5023472199163479</v>
      </c>
      <c r="W27" s="349">
        <v>1.4519318640199745</v>
      </c>
      <c r="X27" s="349">
        <v>1.5484501646226791</v>
      </c>
      <c r="Y27" s="350"/>
      <c r="Z27" s="349">
        <v>6.2603233012857604</v>
      </c>
      <c r="AA27" s="349">
        <v>6.4327892785463252</v>
      </c>
      <c r="AB27" s="349">
        <v>7.3518185643189327</v>
      </c>
      <c r="AC27" s="350"/>
      <c r="AD27" s="349">
        <v>4.3976734174994778</v>
      </c>
      <c r="AE27" s="349">
        <v>4.1388619652615004</v>
      </c>
      <c r="AF27" s="349">
        <v>3.8119296483318159</v>
      </c>
      <c r="AG27" s="350"/>
      <c r="AH27" s="349">
        <v>5.0232422547889977</v>
      </c>
      <c r="AI27" s="349">
        <v>4.4082018734671697</v>
      </c>
      <c r="AJ27" s="349">
        <v>3.0339385583180665</v>
      </c>
      <c r="AK27" s="350"/>
      <c r="AL27" s="349">
        <v>1.5864959146685909</v>
      </c>
      <c r="AM27" s="349">
        <v>1.5529554376061074</v>
      </c>
      <c r="AN27" s="349">
        <v>1.2911530813470298</v>
      </c>
    </row>
    <row r="28" spans="1:40">
      <c r="A28" s="64" t="str">
        <f t="shared" si="58"/>
        <v>Process, plant and machine operatives</v>
      </c>
      <c r="B28" s="349">
        <f t="shared" si="60"/>
        <v>54.397323800355252</v>
      </c>
      <c r="C28" s="349">
        <f t="shared" si="61"/>
        <v>54.877930254739724</v>
      </c>
      <c r="D28" s="349">
        <f t="shared" si="62"/>
        <v>55.594904856069917</v>
      </c>
      <c r="E28" s="349"/>
      <c r="F28" s="349">
        <v>7.7553941640171702E-3</v>
      </c>
      <c r="G28" s="349">
        <v>1.1908325209731533E-2</v>
      </c>
      <c r="H28" s="349">
        <v>2.0332889915746211E-2</v>
      </c>
      <c r="I28" s="349"/>
      <c r="J28" s="349">
        <v>0.79930702694231737</v>
      </c>
      <c r="K28" s="349">
        <v>1.1051952459434784</v>
      </c>
      <c r="L28" s="349">
        <v>1.6495725699037516</v>
      </c>
      <c r="M28" s="349"/>
      <c r="N28" s="349">
        <v>2.1777721864026405</v>
      </c>
      <c r="O28" s="349">
        <v>2.6321718538617493</v>
      </c>
      <c r="P28" s="349">
        <v>3.4315791203289945</v>
      </c>
      <c r="Q28" s="350"/>
      <c r="R28" s="349">
        <v>0.86636811835117711</v>
      </c>
      <c r="S28" s="349">
        <v>0.97951504829910141</v>
      </c>
      <c r="T28" s="349">
        <v>1.260768967839655</v>
      </c>
      <c r="U28" s="350"/>
      <c r="V28" s="349">
        <v>1.693477828361021</v>
      </c>
      <c r="W28" s="349">
        <v>1.89668508859111</v>
      </c>
      <c r="X28" s="349">
        <v>2.3461774518320406</v>
      </c>
      <c r="Y28" s="350"/>
      <c r="Z28" s="349">
        <v>15.808254561201586</v>
      </c>
      <c r="AA28" s="349">
        <v>17.51449628677441</v>
      </c>
      <c r="AB28" s="349">
        <v>22.016151906467837</v>
      </c>
      <c r="AC28" s="350"/>
      <c r="AD28" s="349">
        <v>17.819972806540186</v>
      </c>
      <c r="AE28" s="349">
        <v>17.735335483582233</v>
      </c>
      <c r="AF28" s="349">
        <v>16.83625753684602</v>
      </c>
      <c r="AG28" s="350"/>
      <c r="AH28" s="349">
        <v>7.3154067938787897</v>
      </c>
      <c r="AI28" s="349">
        <v>5.4367909149132885</v>
      </c>
      <c r="AJ28" s="349">
        <v>3.1458114683570084</v>
      </c>
      <c r="AK28" s="350"/>
      <c r="AL28" s="349">
        <v>7.9090090845135164</v>
      </c>
      <c r="AM28" s="349">
        <v>7.5658320075646257</v>
      </c>
      <c r="AN28" s="349">
        <v>4.8882529445788636</v>
      </c>
    </row>
    <row r="29" spans="1:40">
      <c r="A29" s="64" t="str">
        <f t="shared" si="58"/>
        <v>Elementary occupations</v>
      </c>
      <c r="B29" s="349">
        <f t="shared" si="60"/>
        <v>62.718597595014451</v>
      </c>
      <c r="C29" s="349">
        <f t="shared" si="61"/>
        <v>74.211020376037837</v>
      </c>
      <c r="D29" s="349">
        <f t="shared" si="62"/>
        <v>72.548640886496159</v>
      </c>
      <c r="E29" s="349"/>
      <c r="F29" s="349">
        <v>1.7826310107676951E-3</v>
      </c>
      <c r="G29" s="349">
        <v>2.0865633443035033E-3</v>
      </c>
      <c r="H29" s="349">
        <v>2.9541656841281165E-3</v>
      </c>
      <c r="I29" s="349"/>
      <c r="J29" s="349">
        <v>1.2173716870920619</v>
      </c>
      <c r="K29" s="349">
        <v>1.9002180366226245</v>
      </c>
      <c r="L29" s="349">
        <v>2.8230935719725903</v>
      </c>
      <c r="M29" s="349"/>
      <c r="N29" s="349">
        <v>3.2629923137980041</v>
      </c>
      <c r="O29" s="349">
        <v>4.7459178182389392</v>
      </c>
      <c r="P29" s="349">
        <v>5.6432592850080106</v>
      </c>
      <c r="Q29" s="350"/>
      <c r="R29" s="349">
        <v>1.7628641838327557</v>
      </c>
      <c r="S29" s="349">
        <v>2.7321841570392422</v>
      </c>
      <c r="T29" s="349">
        <v>3.0834762234807762</v>
      </c>
      <c r="U29" s="350"/>
      <c r="V29" s="349">
        <v>3.4330134738740172</v>
      </c>
      <c r="W29" s="349">
        <v>5.3458566506855894</v>
      </c>
      <c r="X29" s="349">
        <v>6.4653143927853165</v>
      </c>
      <c r="Y29" s="350"/>
      <c r="Z29" s="349">
        <v>12.980640695377872</v>
      </c>
      <c r="AA29" s="349">
        <v>16.721203371651225</v>
      </c>
      <c r="AB29" s="349">
        <v>17.192063824415172</v>
      </c>
      <c r="AC29" s="350"/>
      <c r="AD29" s="349">
        <v>18.90274750276177</v>
      </c>
      <c r="AE29" s="349">
        <v>21.713161893797967</v>
      </c>
      <c r="AF29" s="349">
        <v>18.527151912020702</v>
      </c>
      <c r="AG29" s="350"/>
      <c r="AH29" s="349">
        <v>14.680328240698289</v>
      </c>
      <c r="AI29" s="349">
        <v>13.533440847894584</v>
      </c>
      <c r="AJ29" s="349">
        <v>11.273376310404943</v>
      </c>
      <c r="AK29" s="350"/>
      <c r="AL29" s="349">
        <v>6.4768568665689177</v>
      </c>
      <c r="AM29" s="349">
        <v>7.5169510367633539</v>
      </c>
      <c r="AN29" s="349">
        <v>7.5379512007245211</v>
      </c>
    </row>
    <row r="30" spans="1:40">
      <c r="A30" s="64"/>
      <c r="B30" s="348"/>
      <c r="C30" s="348"/>
      <c r="D30" s="348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50"/>
      <c r="R30" s="349"/>
      <c r="S30" s="349"/>
      <c r="T30" s="349"/>
      <c r="U30" s="350"/>
      <c r="V30" s="349"/>
      <c r="W30" s="349"/>
      <c r="X30" s="349"/>
      <c r="Y30" s="350"/>
      <c r="Z30" s="349"/>
      <c r="AA30" s="349"/>
      <c r="AB30" s="349"/>
      <c r="AC30" s="350"/>
      <c r="AD30" s="349"/>
      <c r="AE30" s="349"/>
      <c r="AF30" s="349"/>
      <c r="AG30" s="350"/>
      <c r="AH30" s="349"/>
      <c r="AI30" s="349"/>
      <c r="AJ30" s="349"/>
      <c r="AK30" s="350"/>
      <c r="AL30" s="349"/>
      <c r="AM30" s="349"/>
      <c r="AN30" s="349"/>
    </row>
    <row r="31" spans="1:40" ht="12.95">
      <c r="A31" s="1" t="str">
        <f>name!C5</f>
        <v>Manufacturing</v>
      </c>
      <c r="B31" s="350"/>
      <c r="C31" s="350"/>
      <c r="D31" s="350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50"/>
      <c r="R31" s="349"/>
      <c r="S31" s="349"/>
      <c r="T31" s="349"/>
      <c r="U31" s="350"/>
      <c r="V31" s="349"/>
      <c r="W31" s="349"/>
      <c r="X31" s="349"/>
      <c r="Y31" s="350"/>
      <c r="Z31" s="349"/>
      <c r="AA31" s="349"/>
      <c r="AB31" s="349"/>
      <c r="AC31" s="350"/>
      <c r="AD31" s="349"/>
      <c r="AE31" s="349"/>
      <c r="AF31" s="349"/>
      <c r="AG31" s="350"/>
      <c r="AH31" s="349"/>
      <c r="AI31" s="349"/>
      <c r="AJ31" s="349"/>
      <c r="AK31" s="350"/>
      <c r="AL31" s="349"/>
      <c r="AM31" s="349"/>
      <c r="AN31" s="349"/>
    </row>
    <row r="32" spans="1:40">
      <c r="A32" s="64" t="str">
        <f t="shared" ref="A32:A41" si="63">A8</f>
        <v>All occupations</v>
      </c>
      <c r="B32" s="348">
        <f>SUM(B33:B41)</f>
        <v>2208.4099999961982</v>
      </c>
      <c r="C32" s="348">
        <f>SUM(C33:C41)</f>
        <v>2130.7230000112399</v>
      </c>
      <c r="D32" s="348">
        <f>SUM(D33:D41)</f>
        <v>1959.1610000136027</v>
      </c>
      <c r="E32" s="349"/>
      <c r="F32" s="348">
        <f>SUM(F33:F41)</f>
        <v>26.182984605832019</v>
      </c>
      <c r="G32" s="348">
        <f>SUM(G33:G41)</f>
        <v>31.272415801828043</v>
      </c>
      <c r="H32" s="348">
        <f>SUM(H33:H41)</f>
        <v>38.671147025080536</v>
      </c>
      <c r="I32" s="349"/>
      <c r="J32" s="348">
        <f>SUM(J33:J41)</f>
        <v>148.09239597085022</v>
      </c>
      <c r="K32" s="348">
        <f>SUM(K33:K41)</f>
        <v>182.32386030199598</v>
      </c>
      <c r="L32" s="348">
        <f>SUM(L33:L41)</f>
        <v>236.31217255928794</v>
      </c>
      <c r="M32" s="349"/>
      <c r="N32" s="348">
        <f>SUM(N33:N41)</f>
        <v>345.95859328243296</v>
      </c>
      <c r="O32" s="348">
        <f>SUM(O33:O41)</f>
        <v>356.20571949644614</v>
      </c>
      <c r="P32" s="348">
        <f>SUM(P33:P41)</f>
        <v>371.74490225785843</v>
      </c>
      <c r="Q32" s="350"/>
      <c r="R32" s="348">
        <f>SUM(R33:R41)</f>
        <v>87.041536019912911</v>
      </c>
      <c r="S32" s="348">
        <f>SUM(S33:S41)</f>
        <v>91.298950129103019</v>
      </c>
      <c r="T32" s="348">
        <f>SUM(T33:T41)</f>
        <v>99.179364435955478</v>
      </c>
      <c r="U32" s="350"/>
      <c r="V32" s="348">
        <f>SUM(V33:V41)</f>
        <v>184.58619659935837</v>
      </c>
      <c r="W32" s="348">
        <f>SUM(W33:W41)</f>
        <v>186.18790517652684</v>
      </c>
      <c r="X32" s="348">
        <f>SUM(X33:X41)</f>
        <v>189.25313046862192</v>
      </c>
      <c r="Y32" s="350"/>
      <c r="Z32" s="348">
        <f>SUM(Z33:Z41)</f>
        <v>534.19652548311137</v>
      </c>
      <c r="AA32" s="348">
        <f>SUM(AA33:AA41)</f>
        <v>517.64890085430579</v>
      </c>
      <c r="AB32" s="348">
        <f>SUM(AB33:AB41)</f>
        <v>479.0752152697363</v>
      </c>
      <c r="AC32" s="350"/>
      <c r="AD32" s="348">
        <f>SUM(AD33:AD41)</f>
        <v>452.55805445362887</v>
      </c>
      <c r="AE32" s="348">
        <f>SUM(AE33:AE41)</f>
        <v>419.56209705537287</v>
      </c>
      <c r="AF32" s="348">
        <f>SUM(AF33:AF41)</f>
        <v>326.25539690740231</v>
      </c>
      <c r="AG32" s="350"/>
      <c r="AH32" s="348">
        <f>SUM(AH33:AH41)</f>
        <v>318.04630283367578</v>
      </c>
      <c r="AI32" s="348">
        <f>SUM(AI33:AI41)</f>
        <v>271.96178688739747</v>
      </c>
      <c r="AJ32" s="348">
        <f>SUM(AJ33:AJ41)</f>
        <v>165.53255316882826</v>
      </c>
      <c r="AK32" s="350"/>
      <c r="AL32" s="348">
        <f>SUM(AL33:AL41)</f>
        <v>111.74741074739595</v>
      </c>
      <c r="AM32" s="348">
        <f>SUM(AM33:AM41)</f>
        <v>74.261364308264035</v>
      </c>
      <c r="AN32" s="348">
        <f>SUM(AN33:AN41)</f>
        <v>53.137117920831692</v>
      </c>
    </row>
    <row r="33" spans="1:40">
      <c r="A33" s="64" t="str">
        <f t="shared" si="63"/>
        <v>Managers, directors and senior officials</v>
      </c>
      <c r="B33" s="349">
        <f>SUM(F33,J33,N33,R33,V33,Z33,AD33,AH33,AL33)</f>
        <v>288.735351854817</v>
      </c>
      <c r="C33" s="349">
        <f t="shared" ref="C33:C41" si="64">SUM(G33,K33,O33,S33,W33,AA33,AE33,AI33,AM33)</f>
        <v>250.38796160629468</v>
      </c>
      <c r="D33" s="349">
        <f t="shared" ref="D33:D40" si="65">SUM(H33,L33,P33,T33,X33,AB33,AF33,AJ33,AN33)</f>
        <v>239.64461413502613</v>
      </c>
      <c r="E33" s="349"/>
      <c r="F33" s="349">
        <v>3.9846273971849739</v>
      </c>
      <c r="G33" s="349">
        <v>3.7837888874818923</v>
      </c>
      <c r="H33" s="349">
        <v>4.2694940397128027</v>
      </c>
      <c r="I33" s="349"/>
      <c r="J33" s="349">
        <v>30.241709577398272</v>
      </c>
      <c r="K33" s="349">
        <v>32.156438294317098</v>
      </c>
      <c r="L33" s="349">
        <v>39.133934431299181</v>
      </c>
      <c r="M33" s="349"/>
      <c r="N33" s="349">
        <v>78.608001329098812</v>
      </c>
      <c r="O33" s="349">
        <v>71.46147872416897</v>
      </c>
      <c r="P33" s="349">
        <v>72.413705383654928</v>
      </c>
      <c r="Q33" s="350"/>
      <c r="R33" s="349">
        <v>17.292638646555556</v>
      </c>
      <c r="S33" s="349">
        <v>15.734280491153331</v>
      </c>
      <c r="T33" s="349">
        <v>16.197619067011605</v>
      </c>
      <c r="U33" s="350"/>
      <c r="V33" s="349">
        <v>37.109177831768299</v>
      </c>
      <c r="W33" s="349">
        <v>32.456152337570927</v>
      </c>
      <c r="X33" s="349">
        <v>32.273745557631464</v>
      </c>
      <c r="Y33" s="350"/>
      <c r="Z33" s="349">
        <v>52.012350644416927</v>
      </c>
      <c r="AA33" s="349">
        <v>41.539710536570766</v>
      </c>
      <c r="AB33" s="349">
        <v>35.81305216776942</v>
      </c>
      <c r="AC33" s="350"/>
      <c r="AD33" s="349">
        <v>40.52370293623791</v>
      </c>
      <c r="AE33" s="349">
        <v>31.100104180004696</v>
      </c>
      <c r="AF33" s="349">
        <v>23.501624637996926</v>
      </c>
      <c r="AG33" s="350"/>
      <c r="AH33" s="349">
        <v>22.697874577878441</v>
      </c>
      <c r="AI33" s="349">
        <v>16.245681983293771</v>
      </c>
      <c r="AJ33" s="349">
        <v>9.9171810561654112</v>
      </c>
      <c r="AK33" s="350"/>
      <c r="AL33" s="349">
        <v>6.2652689142777955</v>
      </c>
      <c r="AM33" s="349">
        <v>5.9103261717332316</v>
      </c>
      <c r="AN33" s="349">
        <v>6.1242577937844072</v>
      </c>
    </row>
    <row r="34" spans="1:40">
      <c r="A34" s="64" t="str">
        <f t="shared" si="63"/>
        <v>Professional occupations</v>
      </c>
      <c r="B34" s="349">
        <f t="shared" ref="B34:B41" si="66">SUM(F34,J34,N34,R34,V34,Z34,AD34,AH34,AL34)</f>
        <v>401.41518783995235</v>
      </c>
      <c r="C34" s="349">
        <f t="shared" si="64"/>
        <v>438.02197374265461</v>
      </c>
      <c r="D34" s="349">
        <f t="shared" si="65"/>
        <v>443.6581785025889</v>
      </c>
      <c r="E34" s="349"/>
      <c r="F34" s="349">
        <v>16.199648291030744</v>
      </c>
      <c r="G34" s="349">
        <v>20.448637320154017</v>
      </c>
      <c r="H34" s="349">
        <v>25.442969741734224</v>
      </c>
      <c r="I34" s="349"/>
      <c r="J34" s="349">
        <v>60.873828464276684</v>
      </c>
      <c r="K34" s="349">
        <v>78.892010534531622</v>
      </c>
      <c r="L34" s="349">
        <v>100.54614590519469</v>
      </c>
      <c r="M34" s="349"/>
      <c r="N34" s="349">
        <v>111.93407478863391</v>
      </c>
      <c r="O34" s="349">
        <v>118.27257098875232</v>
      </c>
      <c r="P34" s="349">
        <v>117.60067874034205</v>
      </c>
      <c r="Q34" s="350"/>
      <c r="R34" s="349">
        <v>13.429910785756194</v>
      </c>
      <c r="S34" s="349">
        <v>14.718255397293413</v>
      </c>
      <c r="T34" s="349">
        <v>15.628429887050089</v>
      </c>
      <c r="U34" s="350"/>
      <c r="V34" s="349">
        <v>50.648016020048203</v>
      </c>
      <c r="W34" s="349">
        <v>55.386254727213988</v>
      </c>
      <c r="X34" s="349">
        <v>56.386462425450205</v>
      </c>
      <c r="Y34" s="350"/>
      <c r="Z34" s="349">
        <v>76.871635741163047</v>
      </c>
      <c r="AA34" s="349">
        <v>79.858259886577358</v>
      </c>
      <c r="AB34" s="349">
        <v>72.56780810641034</v>
      </c>
      <c r="AC34" s="350"/>
      <c r="AD34" s="349">
        <v>39.902086430705701</v>
      </c>
      <c r="AE34" s="349">
        <v>38.476178714759214</v>
      </c>
      <c r="AF34" s="349">
        <v>28.658723226017042</v>
      </c>
      <c r="AG34" s="350"/>
      <c r="AH34" s="349">
        <v>25.870464030120193</v>
      </c>
      <c r="AI34" s="349">
        <v>25.497898365485128</v>
      </c>
      <c r="AJ34" s="349">
        <v>20.371900549099113</v>
      </c>
      <c r="AK34" s="350"/>
      <c r="AL34" s="349">
        <v>5.685523288217647</v>
      </c>
      <c r="AM34" s="349">
        <v>6.4719078078875913</v>
      </c>
      <c r="AN34" s="349">
        <v>6.4550599212911637</v>
      </c>
    </row>
    <row r="35" spans="1:40">
      <c r="A35" s="64" t="str">
        <f t="shared" si="63"/>
        <v>Associate professional occupations</v>
      </c>
      <c r="B35" s="349">
        <f t="shared" si="66"/>
        <v>285.73457708411212</v>
      </c>
      <c r="C35" s="349">
        <f t="shared" si="64"/>
        <v>263.62240954283754</v>
      </c>
      <c r="D35" s="349">
        <f t="shared" si="65"/>
        <v>252.77354292439605</v>
      </c>
      <c r="E35" s="349"/>
      <c r="F35" s="349">
        <v>3.5485947673628959</v>
      </c>
      <c r="G35" s="349">
        <v>3.9837425205144408</v>
      </c>
      <c r="H35" s="349">
        <v>4.973731644395003</v>
      </c>
      <c r="I35" s="349"/>
      <c r="J35" s="349">
        <v>27.660385303746981</v>
      </c>
      <c r="K35" s="349">
        <v>30.860351534176608</v>
      </c>
      <c r="L35" s="349">
        <v>38.088836084338901</v>
      </c>
      <c r="M35" s="349"/>
      <c r="N35" s="349">
        <v>69.393592055105188</v>
      </c>
      <c r="O35" s="349">
        <v>67.450920238514115</v>
      </c>
      <c r="P35" s="349">
        <v>67.206156131981814</v>
      </c>
      <c r="Q35" s="350"/>
      <c r="R35" s="349">
        <v>19.782309059198141</v>
      </c>
      <c r="S35" s="349">
        <v>20.018079609576983</v>
      </c>
      <c r="T35" s="349">
        <v>21.531038095112724</v>
      </c>
      <c r="U35" s="350"/>
      <c r="V35" s="349">
        <v>27.651199878228148</v>
      </c>
      <c r="W35" s="349">
        <v>24.594149185669043</v>
      </c>
      <c r="X35" s="349">
        <v>23.740280847936173</v>
      </c>
      <c r="Y35" s="350"/>
      <c r="Z35" s="349">
        <v>67.082906697623997</v>
      </c>
      <c r="AA35" s="349">
        <v>60.052427538644409</v>
      </c>
      <c r="AB35" s="349">
        <v>54.538300339553665</v>
      </c>
      <c r="AC35" s="350"/>
      <c r="AD35" s="349">
        <v>43.760372016282822</v>
      </c>
      <c r="AE35" s="349">
        <v>36.409601274033292</v>
      </c>
      <c r="AF35" s="349">
        <v>28.094169005242875</v>
      </c>
      <c r="AG35" s="350"/>
      <c r="AH35" s="349">
        <v>22.984628793188968</v>
      </c>
      <c r="AI35" s="349">
        <v>16.127039802964763</v>
      </c>
      <c r="AJ35" s="349">
        <v>10.669195919942768</v>
      </c>
      <c r="AK35" s="350"/>
      <c r="AL35" s="349">
        <v>3.8705885133749942</v>
      </c>
      <c r="AM35" s="349">
        <v>4.1260978387438794</v>
      </c>
      <c r="AN35" s="349">
        <v>3.9318348558921183</v>
      </c>
    </row>
    <row r="36" spans="1:40">
      <c r="A36" s="64" t="str">
        <f t="shared" si="63"/>
        <v>Administrative and secretarial occupations</v>
      </c>
      <c r="B36" s="349">
        <f t="shared" si="66"/>
        <v>181.56746783088968</v>
      </c>
      <c r="C36" s="349">
        <f t="shared" si="64"/>
        <v>170.93653213586759</v>
      </c>
      <c r="D36" s="349">
        <f t="shared" si="65"/>
        <v>153.19010939262481</v>
      </c>
      <c r="E36" s="349"/>
      <c r="F36" s="349">
        <v>0.62293974520267337</v>
      </c>
      <c r="G36" s="349">
        <v>0.79512983350921373</v>
      </c>
      <c r="H36" s="349">
        <v>1.0635449787025293</v>
      </c>
      <c r="I36" s="349"/>
      <c r="J36" s="349">
        <v>8.5103668363447689</v>
      </c>
      <c r="K36" s="349">
        <v>11.34106617790723</v>
      </c>
      <c r="L36" s="349">
        <v>15.521107686416899</v>
      </c>
      <c r="M36" s="349"/>
      <c r="N36" s="349">
        <v>28.995604115606881</v>
      </c>
      <c r="O36" s="349">
        <v>31.948734273053986</v>
      </c>
      <c r="P36" s="349">
        <v>34.507539149950766</v>
      </c>
      <c r="Q36" s="350"/>
      <c r="R36" s="349">
        <v>10.875654942298453</v>
      </c>
      <c r="S36" s="349">
        <v>11.982049424920415</v>
      </c>
      <c r="T36" s="349">
        <v>13.305760581781657</v>
      </c>
      <c r="U36" s="350"/>
      <c r="V36" s="349">
        <v>13.768277115971408</v>
      </c>
      <c r="W36" s="349">
        <v>14.802320633844035</v>
      </c>
      <c r="X36" s="349">
        <v>15.895716337406261</v>
      </c>
      <c r="Y36" s="350"/>
      <c r="Z36" s="349">
        <v>42.285241369954207</v>
      </c>
      <c r="AA36" s="349">
        <v>42.032992584019155</v>
      </c>
      <c r="AB36" s="349">
        <v>39.337807023741746</v>
      </c>
      <c r="AC36" s="350"/>
      <c r="AD36" s="349">
        <v>51.603946770041972</v>
      </c>
      <c r="AE36" s="349">
        <v>42.190438052920896</v>
      </c>
      <c r="AF36" s="349">
        <v>27.535462310793481</v>
      </c>
      <c r="AG36" s="350"/>
      <c r="AH36" s="349">
        <v>21.085309742769713</v>
      </c>
      <c r="AI36" s="349">
        <v>12.412042063502557</v>
      </c>
      <c r="AJ36" s="349">
        <v>3.3730063956942984</v>
      </c>
      <c r="AK36" s="350"/>
      <c r="AL36" s="349">
        <v>3.820127192699605</v>
      </c>
      <c r="AM36" s="349">
        <v>3.431759092190096</v>
      </c>
      <c r="AN36" s="349">
        <v>2.650164928137166</v>
      </c>
    </row>
    <row r="37" spans="1:40">
      <c r="A37" s="64" t="str">
        <f t="shared" si="63"/>
        <v>Skilled trades occupations</v>
      </c>
      <c r="B37" s="349">
        <f t="shared" si="66"/>
        <v>437.69556547553657</v>
      </c>
      <c r="C37" s="349">
        <f t="shared" si="64"/>
        <v>400.23183514255027</v>
      </c>
      <c r="D37" s="349">
        <f t="shared" si="65"/>
        <v>333.01509578734522</v>
      </c>
      <c r="E37" s="349"/>
      <c r="F37" s="349">
        <v>0.589501588360823</v>
      </c>
      <c r="G37" s="349">
        <v>0.82439941244917525</v>
      </c>
      <c r="H37" s="349">
        <v>1.1077726052738934</v>
      </c>
      <c r="I37" s="349"/>
      <c r="J37" s="349">
        <v>9.3750124329074609</v>
      </c>
      <c r="K37" s="349">
        <v>12.773464670881852</v>
      </c>
      <c r="L37" s="349">
        <v>18.302342398394597</v>
      </c>
      <c r="M37" s="349"/>
      <c r="N37" s="349">
        <v>22.143833201041453</v>
      </c>
      <c r="O37" s="349">
        <v>24.197759455128228</v>
      </c>
      <c r="P37" s="349">
        <v>26.966141564379914</v>
      </c>
      <c r="Q37" s="350"/>
      <c r="R37" s="349">
        <v>9.6193289732387637</v>
      </c>
      <c r="S37" s="349">
        <v>10.272890757700294</v>
      </c>
      <c r="T37" s="349">
        <v>10.914802672982784</v>
      </c>
      <c r="U37" s="350"/>
      <c r="V37" s="349">
        <v>31.717041536961286</v>
      </c>
      <c r="W37" s="349">
        <v>31.414144259082228</v>
      </c>
      <c r="X37" s="349">
        <v>30.876093465370552</v>
      </c>
      <c r="Y37" s="350"/>
      <c r="Z37" s="349">
        <v>165.92027469128305</v>
      </c>
      <c r="AA37" s="349">
        <v>156.60446325570115</v>
      </c>
      <c r="AB37" s="349">
        <v>139.49659170111934</v>
      </c>
      <c r="AC37" s="350"/>
      <c r="AD37" s="349">
        <v>105.26739001307928</v>
      </c>
      <c r="AE37" s="349">
        <v>92.696925807738708</v>
      </c>
      <c r="AF37" s="349">
        <v>63.4402353811087</v>
      </c>
      <c r="AG37" s="350"/>
      <c r="AH37" s="349">
        <v>67.787813752721149</v>
      </c>
      <c r="AI37" s="349">
        <v>56.534592387452619</v>
      </c>
      <c r="AJ37" s="349">
        <v>33.428653814623893</v>
      </c>
      <c r="AK37" s="350"/>
      <c r="AL37" s="349">
        <v>25.275369285943285</v>
      </c>
      <c r="AM37" s="349">
        <v>14.913195136416014</v>
      </c>
      <c r="AN37" s="349">
        <v>8.4824621840915491</v>
      </c>
    </row>
    <row r="38" spans="1:40">
      <c r="A38" s="64" t="str">
        <f t="shared" si="63"/>
        <v>Caring, leisure and other service occupations</v>
      </c>
      <c r="B38" s="349">
        <f t="shared" si="66"/>
        <v>29.482909606440671</v>
      </c>
      <c r="C38" s="349">
        <f t="shared" si="64"/>
        <v>27.816002952833241</v>
      </c>
      <c r="D38" s="349">
        <f t="shared" si="65"/>
        <v>26.373544421667557</v>
      </c>
      <c r="E38" s="349"/>
      <c r="F38" s="349">
        <v>0.48115045965962733</v>
      </c>
      <c r="G38" s="349">
        <v>0.57946879773642501</v>
      </c>
      <c r="H38" s="349">
        <v>0.76004143524092205</v>
      </c>
      <c r="I38" s="349"/>
      <c r="J38" s="349">
        <v>0.46648492415954879</v>
      </c>
      <c r="K38" s="349">
        <v>0.5245760321627656</v>
      </c>
      <c r="L38" s="349">
        <v>0.59954451571831235</v>
      </c>
      <c r="M38" s="349"/>
      <c r="N38" s="349">
        <v>3.4766555239837267</v>
      </c>
      <c r="O38" s="349">
        <v>3.3452510429976106</v>
      </c>
      <c r="P38" s="349">
        <v>3.1996420582618743</v>
      </c>
      <c r="Q38" s="350"/>
      <c r="R38" s="349">
        <v>0.90813718154304457</v>
      </c>
      <c r="S38" s="349">
        <v>0.78274309401494868</v>
      </c>
      <c r="T38" s="349">
        <v>0.72765150850248361</v>
      </c>
      <c r="U38" s="350"/>
      <c r="V38" s="349">
        <v>2.5681389867621784</v>
      </c>
      <c r="W38" s="349">
        <v>2.3218419486843205</v>
      </c>
      <c r="X38" s="349">
        <v>2.2490373330631619</v>
      </c>
      <c r="Y38" s="350"/>
      <c r="Z38" s="349">
        <v>4.5029661582096452</v>
      </c>
      <c r="AA38" s="349">
        <v>3.6352429227344825</v>
      </c>
      <c r="AB38" s="349">
        <v>3.1150115155164189</v>
      </c>
      <c r="AC38" s="350"/>
      <c r="AD38" s="349">
        <v>5.5156161846748395</v>
      </c>
      <c r="AE38" s="349">
        <v>4.6591175163575071</v>
      </c>
      <c r="AF38" s="349">
        <v>3.5688875497321688</v>
      </c>
      <c r="AG38" s="350"/>
      <c r="AH38" s="349">
        <v>9.2960278039679913</v>
      </c>
      <c r="AI38" s="349">
        <v>9.2634836205917086</v>
      </c>
      <c r="AJ38" s="349">
        <v>8.9878199316766381</v>
      </c>
      <c r="AK38" s="350"/>
      <c r="AL38" s="349">
        <v>2.2677323834800682</v>
      </c>
      <c r="AM38" s="349">
        <v>2.7042779775534709</v>
      </c>
      <c r="AN38" s="349">
        <v>3.1659085739555759</v>
      </c>
    </row>
    <row r="39" spans="1:40">
      <c r="A39" s="64" t="str">
        <f t="shared" si="63"/>
        <v>Sales and customer service occupations</v>
      </c>
      <c r="B39" s="349">
        <f t="shared" si="66"/>
        <v>72.141154099750437</v>
      </c>
      <c r="C39" s="349">
        <f t="shared" si="64"/>
        <v>69.270165667639645</v>
      </c>
      <c r="D39" s="349">
        <f t="shared" si="65"/>
        <v>66.207455020848798</v>
      </c>
      <c r="E39" s="349"/>
      <c r="F39" s="349">
        <v>0.41981118601165412</v>
      </c>
      <c r="G39" s="349">
        <v>0.47481372252301363</v>
      </c>
      <c r="H39" s="349">
        <v>0.54282173903558328</v>
      </c>
      <c r="I39" s="349"/>
      <c r="J39" s="349">
        <v>4.5233615963301075</v>
      </c>
      <c r="K39" s="349">
        <v>5.6878341249668285</v>
      </c>
      <c r="L39" s="349">
        <v>7.0892382712009763</v>
      </c>
      <c r="M39" s="349"/>
      <c r="N39" s="349">
        <v>13.707309189913421</v>
      </c>
      <c r="O39" s="349">
        <v>14.579505583296584</v>
      </c>
      <c r="P39" s="349">
        <v>15.86027817463159</v>
      </c>
      <c r="Q39" s="350"/>
      <c r="R39" s="349">
        <v>4.3285557243351684</v>
      </c>
      <c r="S39" s="349">
        <v>4.6629949873988252</v>
      </c>
      <c r="T39" s="349">
        <v>5.115183782524519</v>
      </c>
      <c r="U39" s="350"/>
      <c r="V39" s="349">
        <v>4.7508515761099099</v>
      </c>
      <c r="W39" s="349">
        <v>4.9542123247093199</v>
      </c>
      <c r="X39" s="349">
        <v>5.2204664019927387</v>
      </c>
      <c r="Y39" s="350"/>
      <c r="Z39" s="349">
        <v>16.821772317824063</v>
      </c>
      <c r="AA39" s="349">
        <v>14.714402685103753</v>
      </c>
      <c r="AB39" s="349">
        <v>12.65525578387267</v>
      </c>
      <c r="AC39" s="350"/>
      <c r="AD39" s="349">
        <v>14.493997169615762</v>
      </c>
      <c r="AE39" s="349">
        <v>13.845437884315775</v>
      </c>
      <c r="AF39" s="349">
        <v>12.829542362264291</v>
      </c>
      <c r="AG39" s="350"/>
      <c r="AH39" s="349">
        <v>8.1156915083121053</v>
      </c>
      <c r="AI39" s="349">
        <v>5.6745217970622868</v>
      </c>
      <c r="AJ39" s="349">
        <v>2.3950432574656189</v>
      </c>
      <c r="AK39" s="350"/>
      <c r="AL39" s="349">
        <v>4.9798038312982538</v>
      </c>
      <c r="AM39" s="349">
        <v>4.6764425582632683</v>
      </c>
      <c r="AN39" s="349">
        <v>4.4996252478608092</v>
      </c>
    </row>
    <row r="40" spans="1:40">
      <c r="A40" s="64" t="str">
        <f t="shared" si="63"/>
        <v>Process, plant and machine operatives</v>
      </c>
      <c r="B40" s="349">
        <f t="shared" si="66"/>
        <v>362.27438684002738</v>
      </c>
      <c r="C40" s="349">
        <f t="shared" si="64"/>
        <v>341.60159093808562</v>
      </c>
      <c r="D40" s="349">
        <f t="shared" si="65"/>
        <v>290.38350200905626</v>
      </c>
      <c r="E40" s="349"/>
      <c r="F40" s="349">
        <v>9.0355127980783226E-2</v>
      </c>
      <c r="G40" s="349">
        <v>0.11289760071887975</v>
      </c>
      <c r="H40" s="349">
        <v>0.154391853770422</v>
      </c>
      <c r="I40" s="349"/>
      <c r="J40" s="349">
        <v>4.9681590241041427</v>
      </c>
      <c r="K40" s="349">
        <v>8.0443378425069554</v>
      </c>
      <c r="L40" s="349">
        <v>14.165483972540502</v>
      </c>
      <c r="M40" s="349"/>
      <c r="N40" s="349">
        <v>10.778257043724459</v>
      </c>
      <c r="O40" s="349">
        <v>13.822280886952496</v>
      </c>
      <c r="P40" s="349">
        <v>19.207187929320327</v>
      </c>
      <c r="Q40" s="350"/>
      <c r="R40" s="348">
        <v>6.2589444428157526</v>
      </c>
      <c r="S40" s="348">
        <v>6.9334190523633454</v>
      </c>
      <c r="T40" s="348">
        <v>7.5909276064305224</v>
      </c>
      <c r="U40" s="350"/>
      <c r="V40" s="348">
        <v>12.765756896203905</v>
      </c>
      <c r="W40" s="348">
        <v>14.91200344458758</v>
      </c>
      <c r="X40" s="348">
        <v>15.954260491261554</v>
      </c>
      <c r="Y40" s="350"/>
      <c r="Z40" s="348">
        <v>88.475292348263551</v>
      </c>
      <c r="AA40" s="348">
        <v>94.905922232062579</v>
      </c>
      <c r="AB40" s="348">
        <v>95.844968115353538</v>
      </c>
      <c r="AC40" s="350"/>
      <c r="AD40" s="348">
        <v>113.26683881605153</v>
      </c>
      <c r="AE40" s="348">
        <v>114.3957497007178</v>
      </c>
      <c r="AF40" s="348">
        <v>98.518355993186432</v>
      </c>
      <c r="AG40" s="350"/>
      <c r="AH40" s="348">
        <v>86.649590242069223</v>
      </c>
      <c r="AI40" s="348">
        <v>71.529153652908789</v>
      </c>
      <c r="AJ40" s="348">
        <v>29.976449905189483</v>
      </c>
      <c r="AK40" s="350"/>
      <c r="AL40" s="348">
        <v>39.021192898814014</v>
      </c>
      <c r="AM40" s="348">
        <v>16.945826525267172</v>
      </c>
      <c r="AN40" s="348">
        <v>8.9714761420034215</v>
      </c>
    </row>
    <row r="41" spans="1:40">
      <c r="A41" s="339" t="str">
        <f t="shared" si="63"/>
        <v>Elementary occupations</v>
      </c>
      <c r="B41" s="351">
        <f t="shared" si="66"/>
        <v>149.36339936467238</v>
      </c>
      <c r="C41" s="351">
        <f t="shared" si="64"/>
        <v>168.83452828247692</v>
      </c>
      <c r="D41" s="351">
        <f>SUM(H41,L41,P41,T41,X41,AB41,AF41,AJ41,AN41)</f>
        <v>153.91495782004895</v>
      </c>
      <c r="E41" s="351"/>
      <c r="F41" s="351">
        <v>0.24635604303784842</v>
      </c>
      <c r="G41" s="351">
        <v>0.26953770674098215</v>
      </c>
      <c r="H41" s="351">
        <v>0.35637898721515554</v>
      </c>
      <c r="I41" s="351"/>
      <c r="J41" s="351">
        <v>1.4730878115822366</v>
      </c>
      <c r="K41" s="351">
        <v>2.043781090545</v>
      </c>
      <c r="L41" s="351">
        <v>2.8655392941838933</v>
      </c>
      <c r="M41" s="351"/>
      <c r="N41" s="351">
        <v>6.9212660353251119</v>
      </c>
      <c r="O41" s="351">
        <v>11.127218303581802</v>
      </c>
      <c r="P41" s="351">
        <v>14.783573125335055</v>
      </c>
      <c r="Q41" s="352"/>
      <c r="R41" s="351">
        <v>4.5460562641718392</v>
      </c>
      <c r="S41" s="351">
        <v>6.1942373146814536</v>
      </c>
      <c r="T41" s="351">
        <v>8.1679512345590641</v>
      </c>
      <c r="U41" s="352"/>
      <c r="V41" s="351">
        <v>3.6077367573050361</v>
      </c>
      <c r="W41" s="351">
        <v>5.3468263151654103</v>
      </c>
      <c r="X41" s="351">
        <v>6.6570676085097658</v>
      </c>
      <c r="Y41" s="352"/>
      <c r="Z41" s="351">
        <v>20.224085514372895</v>
      </c>
      <c r="AA41" s="351">
        <v>24.305479212892074</v>
      </c>
      <c r="AB41" s="351">
        <v>25.706420516399138</v>
      </c>
      <c r="AC41" s="352"/>
      <c r="AD41" s="351">
        <v>38.224104116939102</v>
      </c>
      <c r="AE41" s="351">
        <v>45.788543924525037</v>
      </c>
      <c r="AF41" s="351">
        <v>40.108396441060364</v>
      </c>
      <c r="AG41" s="352"/>
      <c r="AH41" s="351">
        <v>53.558902382648029</v>
      </c>
      <c r="AI41" s="351">
        <v>58.677373214135834</v>
      </c>
      <c r="AJ41" s="351">
        <v>46.41330233897105</v>
      </c>
      <c r="AK41" s="352"/>
      <c r="AL41" s="351">
        <v>20.561804439290292</v>
      </c>
      <c r="AM41" s="351">
        <v>15.081531200209319</v>
      </c>
      <c r="AN41" s="351">
        <v>8.8563282738154854</v>
      </c>
    </row>
    <row r="42" spans="1:40">
      <c r="A42" s="64"/>
      <c r="B42" s="338"/>
      <c r="C42" s="338"/>
      <c r="D42" s="338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</row>
    <row r="43" spans="1:40" ht="15.6">
      <c r="A43" s="17" t="str">
        <f>CONCATENATE(A1," (Continued)")</f>
        <v>Basic Table 1  Employment by Industry Sector, Occupation Group and Qualification, 2020-2035, England (Continued)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</row>
    <row r="44" spans="1:40" ht="12.75" customHeight="1">
      <c r="A44" s="17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</row>
    <row r="45" spans="1:40" ht="12.75" customHeight="1">
      <c r="A45" s="17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</row>
    <row r="46" spans="1:40" ht="26.25" customHeight="1">
      <c r="A46" s="347"/>
      <c r="B46" s="347"/>
      <c r="C46" s="353" t="str">
        <f>B4</f>
        <v>All qualifications</v>
      </c>
      <c r="D46" s="347"/>
      <c r="E46" s="347"/>
      <c r="F46" s="347"/>
      <c r="G46" s="353" t="str">
        <f>F4</f>
        <v>RQF8 Doctorate</v>
      </c>
      <c r="H46" s="347"/>
      <c r="I46" s="347"/>
      <c r="J46" s="347"/>
      <c r="K46" s="353" t="str">
        <f>J4</f>
        <v>RQF7 Other higher degree</v>
      </c>
      <c r="L46" s="347"/>
      <c r="M46" s="347"/>
      <c r="N46" s="374" t="str">
        <f>N4</f>
        <v>RQF6 First degree</v>
      </c>
      <c r="O46" s="374"/>
      <c r="P46" s="374"/>
      <c r="Q46" s="347"/>
      <c r="R46" s="374" t="str">
        <f>R4</f>
        <v>RQF5 Foundation degree;Nursing;Teaching</v>
      </c>
      <c r="S46" s="374"/>
      <c r="T46" s="374"/>
      <c r="U46" s="347"/>
      <c r="V46" s="374" t="str">
        <f>V4</f>
        <v>RQF4 HE below degree level</v>
      </c>
      <c r="W46" s="374"/>
      <c r="X46" s="374"/>
      <c r="Y46" s="347"/>
      <c r="Z46" s="374" t="str">
        <f>Z4</f>
        <v>RQF3 A level &amp; equivalent</v>
      </c>
      <c r="AA46" s="374"/>
      <c r="AB46" s="374"/>
      <c r="AC46" s="347"/>
      <c r="AD46" s="374" t="str">
        <f>AD4</f>
        <v>RQF2 GCSE(A-C) &amp; equivalent</v>
      </c>
      <c r="AE46" s="374"/>
      <c r="AF46" s="374"/>
      <c r="AG46" s="347"/>
      <c r="AH46" s="374" t="str">
        <f>AH4</f>
        <v>RQF1 GCSE(below grade C) &amp; equivalent</v>
      </c>
      <c r="AI46" s="374"/>
      <c r="AJ46" s="374"/>
      <c r="AK46" s="347"/>
      <c r="AL46" s="374" t="str">
        <f>AL4</f>
        <v>No Qualification</v>
      </c>
      <c r="AM46" s="374"/>
      <c r="AN46" s="374"/>
    </row>
    <row r="47" spans="1:40" ht="12.95">
      <c r="A47" s="339"/>
      <c r="B47" s="32">
        <f>B5</f>
        <v>2020</v>
      </c>
      <c r="C47" s="32">
        <f>C5</f>
        <v>2025</v>
      </c>
      <c r="D47" s="32">
        <f>D5</f>
        <v>2035</v>
      </c>
      <c r="E47" s="339"/>
      <c r="F47" s="27">
        <f>B47</f>
        <v>2020</v>
      </c>
      <c r="G47" s="27">
        <f>C47</f>
        <v>2025</v>
      </c>
      <c r="H47" s="27">
        <f>D47</f>
        <v>2035</v>
      </c>
      <c r="I47" s="339"/>
      <c r="J47" s="27">
        <f>B47</f>
        <v>2020</v>
      </c>
      <c r="K47" s="27">
        <f>C47</f>
        <v>2025</v>
      </c>
      <c r="L47" s="27">
        <f>D47</f>
        <v>2035</v>
      </c>
      <c r="M47" s="339"/>
      <c r="N47" s="27">
        <f>B47</f>
        <v>2020</v>
      </c>
      <c r="O47" s="27">
        <f>C47</f>
        <v>2025</v>
      </c>
      <c r="P47" s="27">
        <f>D47</f>
        <v>2035</v>
      </c>
      <c r="Q47" s="339"/>
      <c r="R47" s="27">
        <f>F47</f>
        <v>2020</v>
      </c>
      <c r="S47" s="27">
        <f>G47</f>
        <v>2025</v>
      </c>
      <c r="T47" s="27">
        <f>H47</f>
        <v>2035</v>
      </c>
      <c r="U47" s="339"/>
      <c r="V47" s="27">
        <f>J47</f>
        <v>2020</v>
      </c>
      <c r="W47" s="27">
        <f>K47</f>
        <v>2025</v>
      </c>
      <c r="X47" s="27">
        <f>L47</f>
        <v>2035</v>
      </c>
      <c r="Y47" s="339"/>
      <c r="Z47" s="27">
        <f>N47</f>
        <v>2020</v>
      </c>
      <c r="AA47" s="27">
        <f>O47</f>
        <v>2025</v>
      </c>
      <c r="AB47" s="27">
        <f>P47</f>
        <v>2035</v>
      </c>
      <c r="AC47" s="339"/>
      <c r="AD47" s="27">
        <f>R47</f>
        <v>2020</v>
      </c>
      <c r="AE47" s="27">
        <f>S47</f>
        <v>2025</v>
      </c>
      <c r="AF47" s="27">
        <f>T47</f>
        <v>2035</v>
      </c>
      <c r="AG47" s="339"/>
      <c r="AH47" s="27">
        <f>V47</f>
        <v>2020</v>
      </c>
      <c r="AI47" s="27">
        <f>W47</f>
        <v>2025</v>
      </c>
      <c r="AJ47" s="27">
        <f>X47</f>
        <v>2035</v>
      </c>
      <c r="AK47" s="339"/>
      <c r="AL47" s="27">
        <f>Z47</f>
        <v>2020</v>
      </c>
      <c r="AM47" s="27">
        <f>AA47</f>
        <v>2025</v>
      </c>
      <c r="AN47" s="27">
        <f>AB47</f>
        <v>2035</v>
      </c>
    </row>
    <row r="48" spans="1:40">
      <c r="A48" s="64"/>
      <c r="B48" s="338"/>
      <c r="C48" s="338"/>
      <c r="D48" s="338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</row>
    <row r="49" spans="1:40" ht="12.95">
      <c r="A49" s="1" t="str">
        <f>name!C6</f>
        <v>Construction</v>
      </c>
      <c r="B49" s="64"/>
      <c r="C49" s="64"/>
      <c r="D49" s="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</row>
    <row r="50" spans="1:40">
      <c r="A50" s="64" t="str">
        <f t="shared" ref="A50:A59" si="67">A8</f>
        <v>All occupations</v>
      </c>
      <c r="B50" s="348">
        <f>SUM(B51:B59)</f>
        <v>1999.7949999724012</v>
      </c>
      <c r="C50" s="348">
        <f>SUM(C51:C59)</f>
        <v>2097.9509999228358</v>
      </c>
      <c r="D50" s="348">
        <f>SUM(D51:D59)</f>
        <v>2251.9169999326891</v>
      </c>
      <c r="E50" s="349"/>
      <c r="F50" s="348">
        <f>SUM(F51:F59)</f>
        <v>6.8155861290396764</v>
      </c>
      <c r="G50" s="348">
        <f>SUM(G51:G59)</f>
        <v>9.7251972637041799</v>
      </c>
      <c r="H50" s="348">
        <f>SUM(H51:H59)</f>
        <v>16.776357501215195</v>
      </c>
      <c r="I50" s="349"/>
      <c r="J50" s="348">
        <f>SUM(J51:J59)</f>
        <v>112.88535134068836</v>
      </c>
      <c r="K50" s="348">
        <f>SUM(K51:K59)</f>
        <v>160.38174106630026</v>
      </c>
      <c r="L50" s="348">
        <f>SUM(L51:L59)</f>
        <v>263.03629666726448</v>
      </c>
      <c r="M50" s="349"/>
      <c r="N50" s="348">
        <f>SUM(N51:N59)</f>
        <v>197.58192814039484</v>
      </c>
      <c r="O50" s="348">
        <f>SUM(O51:O59)</f>
        <v>218.4054338164492</v>
      </c>
      <c r="P50" s="348">
        <f>SUM(P51:P59)</f>
        <v>264.58164664214951</v>
      </c>
      <c r="Q50" s="349"/>
      <c r="R50" s="348">
        <f>SUM(R51:R59)</f>
        <v>70.64522930684592</v>
      </c>
      <c r="S50" s="348">
        <f>SUM(S51:S59)</f>
        <v>77.724426893726374</v>
      </c>
      <c r="T50" s="348">
        <f>SUM(T51:T59)</f>
        <v>99.187939908459626</v>
      </c>
      <c r="U50" s="349"/>
      <c r="V50" s="348">
        <f>SUM(V51:V59)</f>
        <v>145.40574961516634</v>
      </c>
      <c r="W50" s="348">
        <f>SUM(W51:W59)</f>
        <v>156.103013309727</v>
      </c>
      <c r="X50" s="348">
        <f>SUM(X51:X59)</f>
        <v>189.67435551865967</v>
      </c>
      <c r="Y50" s="349"/>
      <c r="Z50" s="348">
        <f>SUM(Z51:Z59)</f>
        <v>592.60587997124048</v>
      </c>
      <c r="AA50" s="348">
        <f>SUM(AA51:AA59)</f>
        <v>604.74554907488402</v>
      </c>
      <c r="AB50" s="348">
        <f>SUM(AB51:AB59)</f>
        <v>634.29961180772409</v>
      </c>
      <c r="AC50" s="349"/>
      <c r="AD50" s="348">
        <f>SUM(AD51:AD59)</f>
        <v>479.24207770590903</v>
      </c>
      <c r="AE50" s="348">
        <f>SUM(AE51:AE59)</f>
        <v>500.63305918995968</v>
      </c>
      <c r="AF50" s="348">
        <f>SUM(AF51:AF59)</f>
        <v>500.45934015287401</v>
      </c>
      <c r="AG50" s="349"/>
      <c r="AH50" s="348">
        <f>SUM(AH51:AH59)</f>
        <v>293.83249064326145</v>
      </c>
      <c r="AI50" s="348">
        <f>SUM(AI51:AI59)</f>
        <v>296.32849445469202</v>
      </c>
      <c r="AJ50" s="348">
        <f>SUM(AJ51:AJ59)</f>
        <v>251.56160980325853</v>
      </c>
      <c r="AK50" s="349"/>
      <c r="AL50" s="348">
        <f>SUM(AL51:AL59)</f>
        <v>100.78070711985518</v>
      </c>
      <c r="AM50" s="348">
        <f>SUM(AM51:AM59)</f>
        <v>73.904084853393357</v>
      </c>
      <c r="AN50" s="348">
        <f>SUM(AN51:AN59)</f>
        <v>32.339841931084443</v>
      </c>
    </row>
    <row r="51" spans="1:40">
      <c r="A51" s="64" t="str">
        <f t="shared" si="67"/>
        <v>Managers, directors and senior officials</v>
      </c>
      <c r="B51" s="349">
        <f>SUM(F51,J51,N51,R51,V51,Z51,AD51,AH51,AL51)</f>
        <v>247.91008901741927</v>
      </c>
      <c r="C51" s="349">
        <f t="shared" ref="C51:D51" si="68">SUM(G51,K51,O51,S51,W51,AA51,AE51,AI51,AM51)</f>
        <v>233.54918550943839</v>
      </c>
      <c r="D51" s="349">
        <f t="shared" si="68"/>
        <v>270.72738050044302</v>
      </c>
      <c r="E51" s="349"/>
      <c r="F51" s="349">
        <v>1.2778288732984806</v>
      </c>
      <c r="G51" s="349">
        <v>1.7587497239483461</v>
      </c>
      <c r="H51" s="349">
        <v>3.0440894989316836</v>
      </c>
      <c r="I51" s="349"/>
      <c r="J51" s="349">
        <v>27.872149336157271</v>
      </c>
      <c r="K51" s="349">
        <v>34.34183057876561</v>
      </c>
      <c r="L51" s="349">
        <v>56.309257756438548</v>
      </c>
      <c r="M51" s="349"/>
      <c r="N51" s="349">
        <v>45.026039014073717</v>
      </c>
      <c r="O51" s="349">
        <v>43.2412302305626</v>
      </c>
      <c r="P51" s="349">
        <v>49.948036748666652</v>
      </c>
      <c r="Q51" s="349"/>
      <c r="R51" s="349">
        <v>11.751615388431116</v>
      </c>
      <c r="S51" s="349">
        <v>10.247284111386154</v>
      </c>
      <c r="T51" s="349">
        <v>10.800383387965498</v>
      </c>
      <c r="U51" s="349"/>
      <c r="V51" s="349">
        <v>29.106447839936351</v>
      </c>
      <c r="W51" s="349">
        <v>26.752807235008508</v>
      </c>
      <c r="X51" s="349">
        <v>31.61702891842317</v>
      </c>
      <c r="Y51" s="349"/>
      <c r="Z51" s="349">
        <v>61.247830995393741</v>
      </c>
      <c r="AA51" s="349">
        <v>54.226436396560665</v>
      </c>
      <c r="AB51" s="349">
        <v>63.272878872382222</v>
      </c>
      <c r="AC51" s="349"/>
      <c r="AD51" s="349">
        <v>38.976801145211091</v>
      </c>
      <c r="AE51" s="349">
        <v>33.232094291066197</v>
      </c>
      <c r="AF51" s="349">
        <v>30.713973978465365</v>
      </c>
      <c r="AG51" s="349"/>
      <c r="AH51" s="349">
        <v>23.899181506761721</v>
      </c>
      <c r="AI51" s="349">
        <v>20.60779291747361</v>
      </c>
      <c r="AJ51" s="349">
        <v>16.436703106631697</v>
      </c>
      <c r="AK51" s="349"/>
      <c r="AL51" s="349">
        <v>8.7521949181557837</v>
      </c>
      <c r="AM51" s="349">
        <v>9.1409600246667075</v>
      </c>
      <c r="AN51" s="349">
        <v>8.5850282325382263</v>
      </c>
    </row>
    <row r="52" spans="1:40">
      <c r="A52" s="64" t="str">
        <f t="shared" si="67"/>
        <v>Professional occupations</v>
      </c>
      <c r="B52" s="349">
        <f t="shared" ref="B52:B59" si="69">SUM(F52,J52,N52,R52,V52,Z52,AD52,AH52,AL52)</f>
        <v>273.02446783712332</v>
      </c>
      <c r="C52" s="349">
        <f t="shared" ref="C52:C59" si="70">SUM(G52,K52,O52,S52,W52,AA52,AE52,AI52,AM52)</f>
        <v>318.87576172217086</v>
      </c>
      <c r="D52" s="349">
        <f t="shared" ref="D52:D59" si="71">SUM(H52,L52,P52,T52,X52,AB52,AF52,AJ52,AN52)</f>
        <v>387.93787626751066</v>
      </c>
      <c r="E52" s="349"/>
      <c r="F52" s="349">
        <v>2.9476726400346163</v>
      </c>
      <c r="G52" s="349">
        <v>4.2109992317851566</v>
      </c>
      <c r="H52" s="349">
        <v>6.3295115084251137</v>
      </c>
      <c r="I52" s="349"/>
      <c r="J52" s="349">
        <v>46.998646822575338</v>
      </c>
      <c r="K52" s="349">
        <v>70.183415347092904</v>
      </c>
      <c r="L52" s="349">
        <v>112.43006514470871</v>
      </c>
      <c r="M52" s="349"/>
      <c r="N52" s="349">
        <v>60.358116252834868</v>
      </c>
      <c r="O52" s="349">
        <v>63.92244209146493</v>
      </c>
      <c r="P52" s="349">
        <v>69.114836594941323</v>
      </c>
      <c r="Q52" s="349"/>
      <c r="R52" s="349">
        <v>7.9559394800132841</v>
      </c>
      <c r="S52" s="349">
        <v>6.9539799324735672</v>
      </c>
      <c r="T52" s="349">
        <v>8.3188166688260097</v>
      </c>
      <c r="U52" s="349"/>
      <c r="V52" s="349">
        <v>23.232957868248278</v>
      </c>
      <c r="W52" s="349">
        <v>21.407537624348727</v>
      </c>
      <c r="X52" s="349">
        <v>16.721028123231225</v>
      </c>
      <c r="Y52" s="349"/>
      <c r="Z52" s="349">
        <v>70.001453319726735</v>
      </c>
      <c r="AA52" s="349">
        <v>83.588387106593757</v>
      </c>
      <c r="AB52" s="349">
        <v>107.35105308070804</v>
      </c>
      <c r="AC52" s="349"/>
      <c r="AD52" s="349">
        <v>39.115666321167105</v>
      </c>
      <c r="AE52" s="349">
        <v>45.468588793357164</v>
      </c>
      <c r="AF52" s="349">
        <v>49.762272136141839</v>
      </c>
      <c r="AG52" s="349"/>
      <c r="AH52" s="349">
        <v>16.565456503377913</v>
      </c>
      <c r="AI52" s="349">
        <v>16.779838787156134</v>
      </c>
      <c r="AJ52" s="349">
        <v>13.245322679516354</v>
      </c>
      <c r="AK52" s="349"/>
      <c r="AL52" s="349">
        <v>5.8485586291452094</v>
      </c>
      <c r="AM52" s="349">
        <v>6.3605728078985759</v>
      </c>
      <c r="AN52" s="349">
        <v>4.6649703310120385</v>
      </c>
    </row>
    <row r="53" spans="1:40">
      <c r="A53" s="64" t="str">
        <f t="shared" si="67"/>
        <v>Associate professional occupations</v>
      </c>
      <c r="B53" s="349">
        <f t="shared" si="69"/>
        <v>153.27611144685008</v>
      </c>
      <c r="C53" s="349">
        <f t="shared" si="70"/>
        <v>156.62605403674877</v>
      </c>
      <c r="D53" s="349">
        <f t="shared" si="71"/>
        <v>182.80972388247824</v>
      </c>
      <c r="E53" s="349"/>
      <c r="F53" s="349">
        <v>0.3784674745315757</v>
      </c>
      <c r="G53" s="349">
        <v>0.50507164798915205</v>
      </c>
      <c r="H53" s="349">
        <v>0.90943350339101581</v>
      </c>
      <c r="I53" s="349"/>
      <c r="J53" s="349">
        <v>14.332655014639851</v>
      </c>
      <c r="K53" s="349">
        <v>20.135509484007404</v>
      </c>
      <c r="L53" s="349">
        <v>33.527580137619644</v>
      </c>
      <c r="M53" s="349"/>
      <c r="N53" s="349">
        <v>25.414618293101157</v>
      </c>
      <c r="O53" s="349">
        <v>26.720461004085372</v>
      </c>
      <c r="P53" s="349">
        <v>31.265089034596247</v>
      </c>
      <c r="Q53" s="349"/>
      <c r="R53" s="349">
        <v>11.659955628469708</v>
      </c>
      <c r="S53" s="349">
        <v>13.159369090991627</v>
      </c>
      <c r="T53" s="349">
        <v>16.920988299210215</v>
      </c>
      <c r="U53" s="349"/>
      <c r="V53" s="349">
        <v>21.893839242843089</v>
      </c>
      <c r="W53" s="349">
        <v>21.459273000267146</v>
      </c>
      <c r="X53" s="349">
        <v>25.299664438225314</v>
      </c>
      <c r="Y53" s="349"/>
      <c r="Z53" s="349">
        <v>29.497134318866411</v>
      </c>
      <c r="AA53" s="349">
        <v>24.89881992425352</v>
      </c>
      <c r="AB53" s="349">
        <v>24.161044972914119</v>
      </c>
      <c r="AC53" s="349"/>
      <c r="AD53" s="349">
        <v>27.23788891627278</v>
      </c>
      <c r="AE53" s="349">
        <v>26.765767665393248</v>
      </c>
      <c r="AF53" s="349">
        <v>28.71427796021047</v>
      </c>
      <c r="AG53" s="349"/>
      <c r="AH53" s="349">
        <v>19.692875546936165</v>
      </c>
      <c r="AI53" s="349">
        <v>20.285133195308262</v>
      </c>
      <c r="AJ53" s="349">
        <v>18.699016408872229</v>
      </c>
      <c r="AK53" s="349"/>
      <c r="AL53" s="349">
        <v>3.1686770111893421</v>
      </c>
      <c r="AM53" s="349">
        <v>2.6966490244530514</v>
      </c>
      <c r="AN53" s="349">
        <v>3.3126291274389876</v>
      </c>
    </row>
    <row r="54" spans="1:40">
      <c r="A54" s="64" t="str">
        <f t="shared" si="67"/>
        <v>Administrative and secretarial occupations</v>
      </c>
      <c r="B54" s="349">
        <f t="shared" si="69"/>
        <v>167.38455607753411</v>
      </c>
      <c r="C54" s="349">
        <f t="shared" si="70"/>
        <v>170.94563178554043</v>
      </c>
      <c r="D54" s="349">
        <f t="shared" si="71"/>
        <v>168.89369016345336</v>
      </c>
      <c r="E54" s="349"/>
      <c r="F54" s="349">
        <v>1.5023646346846005</v>
      </c>
      <c r="G54" s="349">
        <v>2.1920770140355028</v>
      </c>
      <c r="H54" s="349">
        <v>4.642093568513376</v>
      </c>
      <c r="I54" s="349"/>
      <c r="J54" s="349">
        <v>9.5257493121360017</v>
      </c>
      <c r="K54" s="349">
        <v>14.140050791493953</v>
      </c>
      <c r="L54" s="349">
        <v>22.79597939653863</v>
      </c>
      <c r="M54" s="349"/>
      <c r="N54" s="349">
        <v>27.193074689397115</v>
      </c>
      <c r="O54" s="349">
        <v>34.466263976372176</v>
      </c>
      <c r="P54" s="349">
        <v>47.408817861495585</v>
      </c>
      <c r="Q54" s="349"/>
      <c r="R54" s="349">
        <v>16.330716805216973</v>
      </c>
      <c r="S54" s="349">
        <v>18.309993156410549</v>
      </c>
      <c r="T54" s="349">
        <v>24.126694934470287</v>
      </c>
      <c r="U54" s="349"/>
      <c r="V54" s="349">
        <v>9.6748121749389568</v>
      </c>
      <c r="W54" s="349">
        <v>10.876536140253533</v>
      </c>
      <c r="X54" s="349">
        <v>14.972732349164449</v>
      </c>
      <c r="Y54" s="349"/>
      <c r="Z54" s="349">
        <v>29.069756562956329</v>
      </c>
      <c r="AA54" s="349">
        <v>26.411401726667169</v>
      </c>
      <c r="AB54" s="349">
        <v>18.02899171499573</v>
      </c>
      <c r="AC54" s="349"/>
      <c r="AD54" s="349">
        <v>25.744656007490565</v>
      </c>
      <c r="AE54" s="349">
        <v>19.606665384178928</v>
      </c>
      <c r="AF54" s="349">
        <v>7.9833493143707592</v>
      </c>
      <c r="AG54" s="349"/>
      <c r="AH54" s="349">
        <v>40.593730179937069</v>
      </c>
      <c r="AI54" s="349">
        <v>41.926949350776987</v>
      </c>
      <c r="AJ54" s="349">
        <v>28.155277926967607</v>
      </c>
      <c r="AK54" s="349"/>
      <c r="AL54" s="349">
        <v>7.7496957107764981</v>
      </c>
      <c r="AM54" s="349">
        <v>3.0156942453516296</v>
      </c>
      <c r="AN54" s="349">
        <v>0.77975309693691153</v>
      </c>
    </row>
    <row r="55" spans="1:40">
      <c r="A55" s="64" t="str">
        <f t="shared" si="67"/>
        <v>Skilled trades occupations</v>
      </c>
      <c r="B55" s="349">
        <f t="shared" si="69"/>
        <v>852.28472003852005</v>
      </c>
      <c r="C55" s="349">
        <f t="shared" si="70"/>
        <v>883.52725516055352</v>
      </c>
      <c r="D55" s="349">
        <f t="shared" si="71"/>
        <v>880.81618993914219</v>
      </c>
      <c r="E55" s="349"/>
      <c r="F55" s="349">
        <v>0.15703918412822004</v>
      </c>
      <c r="G55" s="349">
        <v>0.23994110393488791</v>
      </c>
      <c r="H55" s="349">
        <v>0.43229261468168756</v>
      </c>
      <c r="I55" s="349"/>
      <c r="J55" s="349">
        <v>8.4780397231311753</v>
      </c>
      <c r="K55" s="349">
        <v>13.364950875619606</v>
      </c>
      <c r="L55" s="349">
        <v>23.830952021080247</v>
      </c>
      <c r="M55" s="349"/>
      <c r="N55" s="349">
        <v>27.321525752079658</v>
      </c>
      <c r="O55" s="349">
        <v>34.576651022778627</v>
      </c>
      <c r="P55" s="349">
        <v>46.231283646945968</v>
      </c>
      <c r="Q55" s="349"/>
      <c r="R55" s="349">
        <v>17.36934547056191</v>
      </c>
      <c r="S55" s="349">
        <v>21.760186346075709</v>
      </c>
      <c r="T55" s="349">
        <v>28.650683651006744</v>
      </c>
      <c r="U55" s="349"/>
      <c r="V55" s="349">
        <v>46.231508413302748</v>
      </c>
      <c r="W55" s="349">
        <v>55.925559476979053</v>
      </c>
      <c r="X55" s="349">
        <v>75.281544639935376</v>
      </c>
      <c r="Y55" s="349"/>
      <c r="Z55" s="349">
        <v>317.73499984688493</v>
      </c>
      <c r="AA55" s="349">
        <v>314.26290956756145</v>
      </c>
      <c r="AB55" s="349">
        <v>291.97316950833709</v>
      </c>
      <c r="AC55" s="349"/>
      <c r="AD55" s="349">
        <v>261.07044313809308</v>
      </c>
      <c r="AE55" s="349">
        <v>279.72606627403599</v>
      </c>
      <c r="AF55" s="349">
        <v>282.57021909670129</v>
      </c>
      <c r="AG55" s="349"/>
      <c r="AH55" s="349">
        <v>122.61930038930986</v>
      </c>
      <c r="AI55" s="349">
        <v>127.38041682150447</v>
      </c>
      <c r="AJ55" s="349">
        <v>125.35256982527461</v>
      </c>
      <c r="AK55" s="349"/>
      <c r="AL55" s="349">
        <v>51.302518121028491</v>
      </c>
      <c r="AM55" s="349">
        <v>36.290573672063815</v>
      </c>
      <c r="AN55" s="349">
        <v>6.4934749351791901</v>
      </c>
    </row>
    <row r="56" spans="1:40">
      <c r="A56" s="64" t="str">
        <f t="shared" si="67"/>
        <v>Caring, leisure and other service occupations</v>
      </c>
      <c r="B56" s="349">
        <f t="shared" si="69"/>
        <v>6.8460640580241128</v>
      </c>
      <c r="C56" s="349">
        <f t="shared" si="70"/>
        <v>6.3987294559756567</v>
      </c>
      <c r="D56" s="349">
        <f t="shared" si="71"/>
        <v>6.9362908544805499</v>
      </c>
      <c r="E56" s="349"/>
      <c r="F56" s="349">
        <v>7.2146665667050143E-3</v>
      </c>
      <c r="G56" s="349">
        <v>6.8191977593543241E-3</v>
      </c>
      <c r="H56" s="349">
        <v>1.3713602801627168E-2</v>
      </c>
      <c r="I56" s="349"/>
      <c r="J56" s="349">
        <v>0.24736679310559145</v>
      </c>
      <c r="K56" s="349">
        <v>0.29865558230915656</v>
      </c>
      <c r="L56" s="349">
        <v>0.43188323433586184</v>
      </c>
      <c r="M56" s="349"/>
      <c r="N56" s="349">
        <v>0.31714830246580394</v>
      </c>
      <c r="O56" s="349">
        <v>0.28699962805965662</v>
      </c>
      <c r="P56" s="349">
        <v>0.31954069375778049</v>
      </c>
      <c r="Q56" s="349"/>
      <c r="R56" s="349">
        <v>6.0135975766661104E-2</v>
      </c>
      <c r="S56" s="349">
        <v>5.2500075883986454E-2</v>
      </c>
      <c r="T56" s="349">
        <v>5.7288465888334722E-2</v>
      </c>
      <c r="U56" s="349"/>
      <c r="V56" s="349">
        <v>0.23799080933387182</v>
      </c>
      <c r="W56" s="349">
        <v>0.2460109068340573</v>
      </c>
      <c r="X56" s="349">
        <v>0.29880367355675908</v>
      </c>
      <c r="Y56" s="349"/>
      <c r="Z56" s="349">
        <v>2.1104232513783914</v>
      </c>
      <c r="AA56" s="349">
        <v>2.3806833830094707</v>
      </c>
      <c r="AB56" s="349">
        <v>2.9776050450345775</v>
      </c>
      <c r="AC56" s="349"/>
      <c r="AD56" s="349">
        <v>0.42421387783521802</v>
      </c>
      <c r="AE56" s="349">
        <v>0.34955508338656727</v>
      </c>
      <c r="AF56" s="349">
        <v>0.37308388623676292</v>
      </c>
      <c r="AG56" s="349"/>
      <c r="AH56" s="349">
        <v>1.9917618769614247</v>
      </c>
      <c r="AI56" s="349">
        <v>1.6178381083897984</v>
      </c>
      <c r="AJ56" s="349">
        <v>1.638801802319936</v>
      </c>
      <c r="AK56" s="349"/>
      <c r="AL56" s="349">
        <v>1.4498085046104459</v>
      </c>
      <c r="AM56" s="349">
        <v>1.1596674903436086</v>
      </c>
      <c r="AN56" s="349">
        <v>0.82557045054891143</v>
      </c>
    </row>
    <row r="57" spans="1:40">
      <c r="A57" s="64" t="str">
        <f t="shared" si="67"/>
        <v>Sales and customer service occupations</v>
      </c>
      <c r="B57" s="349">
        <f t="shared" si="69"/>
        <v>38.298599572650332</v>
      </c>
      <c r="C57" s="349">
        <f t="shared" si="70"/>
        <v>40.842617215311016</v>
      </c>
      <c r="D57" s="349">
        <f t="shared" si="71"/>
        <v>43.877839691971779</v>
      </c>
      <c r="E57" s="349"/>
      <c r="F57" s="349">
        <v>0.10618820811292713</v>
      </c>
      <c r="G57" s="349">
        <v>0.15923156212018111</v>
      </c>
      <c r="H57" s="349">
        <v>0.31732858758952687</v>
      </c>
      <c r="I57" s="349"/>
      <c r="J57" s="349">
        <v>2.5142462860759807</v>
      </c>
      <c r="K57" s="349">
        <v>2.9976915353289688</v>
      </c>
      <c r="L57" s="349">
        <v>4.0595227363022266</v>
      </c>
      <c r="M57" s="349"/>
      <c r="N57" s="349">
        <v>6.4546937160605413</v>
      </c>
      <c r="O57" s="349">
        <v>7.4253325166390018</v>
      </c>
      <c r="P57" s="349">
        <v>9.0624954916214815</v>
      </c>
      <c r="Q57" s="349"/>
      <c r="R57" s="349">
        <v>1.7991275017066424</v>
      </c>
      <c r="S57" s="349">
        <v>2.1953422572449517</v>
      </c>
      <c r="T57" s="349">
        <v>2.6981534164355141</v>
      </c>
      <c r="U57" s="349"/>
      <c r="V57" s="349">
        <v>2.1721970876701544</v>
      </c>
      <c r="W57" s="349">
        <v>2.4779313698507335</v>
      </c>
      <c r="X57" s="349">
        <v>2.9329043588908132</v>
      </c>
      <c r="Y57" s="349"/>
      <c r="Z57" s="349">
        <v>14.6988660292484</v>
      </c>
      <c r="AA57" s="349">
        <v>15.857816209346987</v>
      </c>
      <c r="AB57" s="349">
        <v>18.665175040736692</v>
      </c>
      <c r="AC57" s="349"/>
      <c r="AD57" s="349">
        <v>2.49019621366392</v>
      </c>
      <c r="AE57" s="349">
        <v>1.9750518866389333</v>
      </c>
      <c r="AF57" s="349">
        <v>0.96478716992451941</v>
      </c>
      <c r="AG57" s="349"/>
      <c r="AH57" s="349">
        <v>4.0399620137366687</v>
      </c>
      <c r="AI57" s="349">
        <v>3.6453995235741496</v>
      </c>
      <c r="AJ57" s="349">
        <v>1.3482077979582705</v>
      </c>
      <c r="AK57" s="349"/>
      <c r="AL57" s="349">
        <v>4.0231225163750937</v>
      </c>
      <c r="AM57" s="349">
        <v>4.1088203545671149</v>
      </c>
      <c r="AN57" s="349">
        <v>3.8292650925127369</v>
      </c>
    </row>
    <row r="58" spans="1:40">
      <c r="A58" s="64" t="str">
        <f t="shared" si="67"/>
        <v>Process, plant and machine operatives</v>
      </c>
      <c r="B58" s="349">
        <f t="shared" si="69"/>
        <v>153.24705087626307</v>
      </c>
      <c r="C58" s="349">
        <f t="shared" si="70"/>
        <v>165.3226402942735</v>
      </c>
      <c r="D58" s="349">
        <f t="shared" si="71"/>
        <v>171.42016400970738</v>
      </c>
      <c r="E58" s="349"/>
      <c r="F58" s="349">
        <v>0.42713188412520714</v>
      </c>
      <c r="G58" s="349">
        <v>0.63847647229905269</v>
      </c>
      <c r="H58" s="349">
        <v>1.0660648090179807</v>
      </c>
      <c r="I58" s="349"/>
      <c r="J58" s="349">
        <v>1.6803147238398657</v>
      </c>
      <c r="K58" s="349">
        <v>2.8237894558817538</v>
      </c>
      <c r="L58" s="349">
        <v>5.5526159771522572</v>
      </c>
      <c r="M58" s="349"/>
      <c r="N58" s="349">
        <v>2.7006345509023189</v>
      </c>
      <c r="O58" s="349">
        <v>3.6718562744355285</v>
      </c>
      <c r="P58" s="349">
        <v>5.9468944423657488</v>
      </c>
      <c r="Q58" s="349"/>
      <c r="R58" s="349">
        <v>3.0553578664950165</v>
      </c>
      <c r="S58" s="349">
        <v>4.2209202571447433</v>
      </c>
      <c r="T58" s="349">
        <v>6.6935158235741987</v>
      </c>
      <c r="U58" s="349"/>
      <c r="V58" s="349">
        <v>7.6717600994789485</v>
      </c>
      <c r="W58" s="349">
        <v>9.3791466678386115</v>
      </c>
      <c r="X58" s="349">
        <v>12.139886993233597</v>
      </c>
      <c r="Y58" s="349"/>
      <c r="Z58" s="349">
        <v>41.032719091487124</v>
      </c>
      <c r="AA58" s="349">
        <v>47.707928128167985</v>
      </c>
      <c r="AB58" s="349">
        <v>57.400233452553053</v>
      </c>
      <c r="AC58" s="349"/>
      <c r="AD58" s="349">
        <v>53.198983504007067</v>
      </c>
      <c r="AE58" s="349">
        <v>58.534051191406185</v>
      </c>
      <c r="AF58" s="349">
        <v>60.186379670748344</v>
      </c>
      <c r="AG58" s="349"/>
      <c r="AH58" s="349">
        <v>35.058569472946779</v>
      </c>
      <c r="AI58" s="349">
        <v>32.511362209659502</v>
      </c>
      <c r="AJ58" s="349">
        <v>20.913374821910228</v>
      </c>
      <c r="AK58" s="349"/>
      <c r="AL58" s="349">
        <v>8.4215796829807736</v>
      </c>
      <c r="AM58" s="349">
        <v>5.8351096374401585</v>
      </c>
      <c r="AN58" s="349">
        <v>1.5211980191519721</v>
      </c>
    </row>
    <row r="59" spans="1:40">
      <c r="A59" s="64" t="str">
        <f t="shared" si="67"/>
        <v>Elementary occupations</v>
      </c>
      <c r="B59" s="349">
        <f t="shared" si="69"/>
        <v>107.52334104801693</v>
      </c>
      <c r="C59" s="349">
        <f t="shared" si="70"/>
        <v>121.86312474282377</v>
      </c>
      <c r="D59" s="349">
        <f t="shared" si="71"/>
        <v>138.49784462350226</v>
      </c>
      <c r="E59" s="349"/>
      <c r="F59" s="349">
        <v>1.1678563557344713E-2</v>
      </c>
      <c r="G59" s="349">
        <v>1.3831309832548325E-2</v>
      </c>
      <c r="H59" s="349">
        <v>2.1829807863185467E-2</v>
      </c>
      <c r="I59" s="349"/>
      <c r="J59" s="349">
        <v>1.2361833290272701</v>
      </c>
      <c r="K59" s="349">
        <v>2.0958474158009106</v>
      </c>
      <c r="L59" s="349">
        <v>4.0984402630884018</v>
      </c>
      <c r="M59" s="349"/>
      <c r="N59" s="349">
        <v>2.7960775694796358</v>
      </c>
      <c r="O59" s="349">
        <v>4.094197072051303</v>
      </c>
      <c r="P59" s="349">
        <v>5.2846521277586787</v>
      </c>
      <c r="Q59" s="349"/>
      <c r="R59" s="349">
        <v>0.66303519018463186</v>
      </c>
      <c r="S59" s="349">
        <v>0.82485166611509564</v>
      </c>
      <c r="T59" s="349">
        <v>0.9214152610828068</v>
      </c>
      <c r="U59" s="349"/>
      <c r="V59" s="349">
        <v>5.1842360794139619</v>
      </c>
      <c r="W59" s="349">
        <v>7.5782108883466517</v>
      </c>
      <c r="X59" s="349">
        <v>10.410762023998959</v>
      </c>
      <c r="Y59" s="349"/>
      <c r="Z59" s="349">
        <v>27.212696555298457</v>
      </c>
      <c r="AA59" s="349">
        <v>35.411166632723024</v>
      </c>
      <c r="AB59" s="349">
        <v>50.469460120062557</v>
      </c>
      <c r="AC59" s="349"/>
      <c r="AD59" s="349">
        <v>30.983228582168248</v>
      </c>
      <c r="AE59" s="349">
        <v>34.975218620496442</v>
      </c>
      <c r="AF59" s="349">
        <v>39.190996940074605</v>
      </c>
      <c r="AG59" s="349"/>
      <c r="AH59" s="349">
        <v>29.371653153293838</v>
      </c>
      <c r="AI59" s="349">
        <v>31.573763540849097</v>
      </c>
      <c r="AJ59" s="349">
        <v>25.772335433807587</v>
      </c>
      <c r="AK59" s="349"/>
      <c r="AL59" s="349">
        <v>10.064552025593539</v>
      </c>
      <c r="AM59" s="349">
        <v>5.2960375966087021</v>
      </c>
      <c r="AN59" s="349">
        <v>2.3279526457654707</v>
      </c>
    </row>
    <row r="60" spans="1:40">
      <c r="A60" s="64"/>
      <c r="B60" s="349"/>
      <c r="C60" s="349"/>
      <c r="D60" s="349"/>
      <c r="E60" s="349"/>
      <c r="F60" s="349"/>
      <c r="G60" s="349"/>
      <c r="H60" s="349"/>
      <c r="I60" s="349"/>
      <c r="J60" s="349"/>
      <c r="K60" s="349"/>
      <c r="L60" s="349"/>
      <c r="M60" s="349"/>
      <c r="N60" s="349"/>
      <c r="O60" s="349"/>
      <c r="P60" s="349"/>
      <c r="Q60" s="349"/>
      <c r="R60" s="349"/>
      <c r="S60" s="349"/>
      <c r="T60" s="349"/>
      <c r="U60" s="349"/>
      <c r="V60" s="349"/>
      <c r="W60" s="349"/>
      <c r="X60" s="349"/>
      <c r="Y60" s="349"/>
      <c r="Z60" s="349"/>
      <c r="AA60" s="349"/>
      <c r="AB60" s="349"/>
      <c r="AC60" s="349"/>
      <c r="AD60" s="349"/>
      <c r="AE60" s="349"/>
      <c r="AF60" s="349"/>
      <c r="AG60" s="349"/>
      <c r="AH60" s="349"/>
      <c r="AI60" s="349"/>
      <c r="AJ60" s="349"/>
      <c r="AK60" s="349"/>
      <c r="AL60" s="349"/>
      <c r="AM60" s="349"/>
      <c r="AN60" s="349"/>
    </row>
    <row r="61" spans="1:40" ht="12.95">
      <c r="A61" s="1" t="str">
        <f>name!C7</f>
        <v>Trade, accomod. and transport</v>
      </c>
      <c r="B61" s="350"/>
      <c r="C61" s="350"/>
      <c r="D61" s="350"/>
      <c r="E61" s="349"/>
      <c r="F61" s="349"/>
      <c r="G61" s="349"/>
      <c r="H61" s="349"/>
      <c r="I61" s="349"/>
      <c r="J61" s="349"/>
      <c r="K61" s="349"/>
      <c r="L61" s="349"/>
      <c r="M61" s="349"/>
      <c r="N61" s="349"/>
      <c r="O61" s="349"/>
      <c r="P61" s="349"/>
      <c r="Q61" s="349"/>
      <c r="R61" s="349"/>
      <c r="S61" s="349"/>
      <c r="T61" s="349"/>
      <c r="U61" s="349"/>
      <c r="V61" s="349"/>
      <c r="W61" s="349"/>
      <c r="X61" s="349"/>
      <c r="Y61" s="349"/>
      <c r="Z61" s="349"/>
      <c r="AA61" s="349"/>
      <c r="AB61" s="349"/>
      <c r="AC61" s="349"/>
      <c r="AD61" s="349"/>
      <c r="AE61" s="349"/>
      <c r="AF61" s="349"/>
      <c r="AG61" s="349"/>
      <c r="AH61" s="349"/>
      <c r="AI61" s="349"/>
      <c r="AJ61" s="349"/>
      <c r="AK61" s="349"/>
      <c r="AL61" s="349"/>
      <c r="AM61" s="349"/>
      <c r="AN61" s="349"/>
    </row>
    <row r="62" spans="1:40">
      <c r="A62" s="64" t="str">
        <f t="shared" ref="A62:A71" si="72">A8</f>
        <v>All occupations</v>
      </c>
      <c r="B62" s="348">
        <f>SUM(B63:B71)</f>
        <v>7878.5050000438714</v>
      </c>
      <c r="C62" s="348">
        <f>SUM(C63:C71)</f>
        <v>8105.1010001723525</v>
      </c>
      <c r="D62" s="348">
        <f>SUM(D63:D71)</f>
        <v>8490.7950001689169</v>
      </c>
      <c r="E62" s="349"/>
      <c r="F62" s="348">
        <f>SUM(F63:F71)</f>
        <v>28.454906730725032</v>
      </c>
      <c r="G62" s="348">
        <f>SUM(G63:G71)</f>
        <v>42.292927609322113</v>
      </c>
      <c r="H62" s="348">
        <f>SUM(H63:H71)</f>
        <v>75.555084963511163</v>
      </c>
      <c r="I62" s="349"/>
      <c r="J62" s="348">
        <f>SUM(J63:J71)</f>
        <v>347.26072604044316</v>
      </c>
      <c r="K62" s="348">
        <f>SUM(K63:K71)</f>
        <v>493.76431586078854</v>
      </c>
      <c r="L62" s="348">
        <f>SUM(L63:L71)</f>
        <v>878.68976043934128</v>
      </c>
      <c r="M62" s="349"/>
      <c r="N62" s="348">
        <f>SUM(N63:N71)</f>
        <v>1138.5740205916277</v>
      </c>
      <c r="O62" s="348">
        <f>SUM(O63:O71)</f>
        <v>1315.5997181498205</v>
      </c>
      <c r="P62" s="348">
        <f>SUM(P63:P71)</f>
        <v>1749.9572588499116</v>
      </c>
      <c r="Q62" s="349"/>
      <c r="R62" s="348">
        <f>SUM(R63:R71)</f>
        <v>346.45149518274621</v>
      </c>
      <c r="S62" s="348">
        <f>SUM(S63:S71)</f>
        <v>388.50830193872673</v>
      </c>
      <c r="T62" s="348">
        <f>SUM(T63:T71)</f>
        <v>514.36318872266997</v>
      </c>
      <c r="U62" s="349"/>
      <c r="V62" s="348">
        <f>SUM(V63:V71)</f>
        <v>395.89386743443356</v>
      </c>
      <c r="W62" s="348">
        <f>SUM(W63:W71)</f>
        <v>437.51642680924999</v>
      </c>
      <c r="X62" s="348">
        <f>SUM(X63:X71)</f>
        <v>558.51491609041113</v>
      </c>
      <c r="Y62" s="349"/>
      <c r="Z62" s="348">
        <f>SUM(Z63:Z71)</f>
        <v>1834.9348534760779</v>
      </c>
      <c r="AA62" s="348">
        <f>SUM(AA63:AA71)</f>
        <v>1873.4974192957229</v>
      </c>
      <c r="AB62" s="348">
        <f>SUM(AB63:AB71)</f>
        <v>2006.3902903833405</v>
      </c>
      <c r="AC62" s="349"/>
      <c r="AD62" s="348">
        <f>SUM(AD63:AD71)</f>
        <v>1944.2062913971574</v>
      </c>
      <c r="AE62" s="348">
        <f>SUM(AE63:AE71)</f>
        <v>1925.4355935258016</v>
      </c>
      <c r="AF62" s="348">
        <f>SUM(AF63:AF71)</f>
        <v>1697.3452556880284</v>
      </c>
      <c r="AG62" s="349"/>
      <c r="AH62" s="348">
        <f>SUM(AH63:AH71)</f>
        <v>1358.5133871558214</v>
      </c>
      <c r="AI62" s="348">
        <f>SUM(AI63:AI71)</f>
        <v>1236.4167778540739</v>
      </c>
      <c r="AJ62" s="348">
        <f>SUM(AJ63:AJ71)</f>
        <v>728.18720949270619</v>
      </c>
      <c r="AK62" s="349"/>
      <c r="AL62" s="348">
        <f>SUM(AL63:AL71)</f>
        <v>484.21545203483799</v>
      </c>
      <c r="AM62" s="348">
        <f>SUM(AM63:AM71)</f>
        <v>392.06951912884682</v>
      </c>
      <c r="AN62" s="348">
        <f>SUM(AN63:AN71)</f>
        <v>281.79203553899686</v>
      </c>
    </row>
    <row r="63" spans="1:40">
      <c r="A63" s="64" t="str">
        <f t="shared" si="72"/>
        <v>Managers, directors and senior officials</v>
      </c>
      <c r="B63" s="349">
        <f>SUM(F63,J63,N63,R63,V63,Z63,AD63,AH63,AL63)</f>
        <v>1019.6473304965723</v>
      </c>
      <c r="C63" s="349">
        <f t="shared" ref="C63:C71" si="73">SUM(G63,K63,O63,S63,W63,AA63,AE63,AI63,AM63)</f>
        <v>985.64118366773528</v>
      </c>
      <c r="D63" s="349">
        <f t="shared" ref="D63:D71" si="74">SUM(H63,L63,P63,T63,X63,AB63,AF63,AJ63,AN63)</f>
        <v>1116.7852566794775</v>
      </c>
      <c r="E63" s="349"/>
      <c r="F63" s="349">
        <v>4.9252410454982547</v>
      </c>
      <c r="G63" s="349">
        <v>6.8979542412050581</v>
      </c>
      <c r="H63" s="349">
        <v>12.513546340506236</v>
      </c>
      <c r="I63" s="349"/>
      <c r="J63" s="349">
        <v>70.765598146263613</v>
      </c>
      <c r="K63" s="349">
        <v>91.290749099603019</v>
      </c>
      <c r="L63" s="349">
        <v>157.88258354385118</v>
      </c>
      <c r="M63" s="349"/>
      <c r="N63" s="349">
        <v>238.9609985817535</v>
      </c>
      <c r="O63" s="349">
        <v>250.72226848859981</v>
      </c>
      <c r="P63" s="349">
        <v>322.651630316357</v>
      </c>
      <c r="Q63" s="349"/>
      <c r="R63" s="349">
        <v>49.422500402308813</v>
      </c>
      <c r="S63" s="349">
        <v>48.658340744500805</v>
      </c>
      <c r="T63" s="349">
        <v>63.02150532564886</v>
      </c>
      <c r="U63" s="349"/>
      <c r="V63" s="349">
        <v>63.634648220034435</v>
      </c>
      <c r="W63" s="349">
        <v>62.652710471795345</v>
      </c>
      <c r="X63" s="349">
        <v>73.706713170169323</v>
      </c>
      <c r="Y63" s="349"/>
      <c r="Z63" s="349">
        <v>203.45425535271869</v>
      </c>
      <c r="AA63" s="349">
        <v>186.7253234960418</v>
      </c>
      <c r="AB63" s="349">
        <v>211.70788056350645</v>
      </c>
      <c r="AC63" s="349"/>
      <c r="AD63" s="349">
        <v>205.60277708505569</v>
      </c>
      <c r="AE63" s="349">
        <v>180.67469874116554</v>
      </c>
      <c r="AF63" s="349">
        <v>153.62991780651103</v>
      </c>
      <c r="AG63" s="349"/>
      <c r="AH63" s="349">
        <v>158.05041866239824</v>
      </c>
      <c r="AI63" s="349">
        <v>137.80208002190398</v>
      </c>
      <c r="AJ63" s="349">
        <v>100.82551248948104</v>
      </c>
      <c r="AK63" s="349"/>
      <c r="AL63" s="349">
        <v>24.830893000541117</v>
      </c>
      <c r="AM63" s="349">
        <v>20.217058362919829</v>
      </c>
      <c r="AN63" s="349">
        <v>20.84596712344629</v>
      </c>
    </row>
    <row r="64" spans="1:40">
      <c r="A64" s="64" t="str">
        <f t="shared" si="72"/>
        <v>Professional occupations</v>
      </c>
      <c r="B64" s="349">
        <f t="shared" ref="B64:B71" si="75">SUM(F64,J64,N64,R64,V64,Z64,AD64,AH64,AL64)</f>
        <v>636.01358967646513</v>
      </c>
      <c r="C64" s="349">
        <f t="shared" si="73"/>
        <v>713.7750637038672</v>
      </c>
      <c r="D64" s="349">
        <f t="shared" si="74"/>
        <v>830.9774546129928</v>
      </c>
      <c r="E64" s="349"/>
      <c r="F64" s="349">
        <v>11.13868785652652</v>
      </c>
      <c r="G64" s="349">
        <v>16.711403854996949</v>
      </c>
      <c r="H64" s="349">
        <v>29.031135433319225</v>
      </c>
      <c r="I64" s="349"/>
      <c r="J64" s="349">
        <v>77.944863539120234</v>
      </c>
      <c r="K64" s="349">
        <v>110.91665917756167</v>
      </c>
      <c r="L64" s="349">
        <v>179.29649488041221</v>
      </c>
      <c r="M64" s="349"/>
      <c r="N64" s="349">
        <v>169.99315163204622</v>
      </c>
      <c r="O64" s="349">
        <v>198.44475494770435</v>
      </c>
      <c r="P64" s="349">
        <v>248.22458519900601</v>
      </c>
      <c r="Q64" s="349"/>
      <c r="R64" s="349">
        <v>27.430610140845417</v>
      </c>
      <c r="S64" s="349">
        <v>28.251404453698683</v>
      </c>
      <c r="T64" s="349">
        <v>31.246369597933334</v>
      </c>
      <c r="U64" s="349"/>
      <c r="V64" s="349">
        <v>38.755236525225889</v>
      </c>
      <c r="W64" s="349">
        <v>43.933602880035075</v>
      </c>
      <c r="X64" s="349">
        <v>52.864017995796857</v>
      </c>
      <c r="Y64" s="349"/>
      <c r="Z64" s="349">
        <v>129.83461561400068</v>
      </c>
      <c r="AA64" s="349">
        <v>140.9034390940237</v>
      </c>
      <c r="AB64" s="349">
        <v>158.03108591508962</v>
      </c>
      <c r="AC64" s="349"/>
      <c r="AD64" s="349">
        <v>99.421199813443451</v>
      </c>
      <c r="AE64" s="349">
        <v>96.364580970722656</v>
      </c>
      <c r="AF64" s="349">
        <v>77.430098342013977</v>
      </c>
      <c r="AG64" s="349"/>
      <c r="AH64" s="349">
        <v>66.874839098998677</v>
      </c>
      <c r="AI64" s="349">
        <v>64.8912728097648</v>
      </c>
      <c r="AJ64" s="349">
        <v>39.103546692628036</v>
      </c>
      <c r="AK64" s="349"/>
      <c r="AL64" s="349">
        <v>14.620385456258097</v>
      </c>
      <c r="AM64" s="349">
        <v>13.357945515359349</v>
      </c>
      <c r="AN64" s="349">
        <v>15.750120556793609</v>
      </c>
    </row>
    <row r="65" spans="1:40">
      <c r="A65" s="64" t="str">
        <f t="shared" si="72"/>
        <v>Associate professional occupations</v>
      </c>
      <c r="B65" s="349">
        <f t="shared" si="75"/>
        <v>614.10391891501888</v>
      </c>
      <c r="C65" s="349">
        <f t="shared" si="73"/>
        <v>635.87851500308454</v>
      </c>
      <c r="D65" s="349">
        <f t="shared" si="74"/>
        <v>712.86825384566566</v>
      </c>
      <c r="E65" s="349"/>
      <c r="F65" s="349">
        <v>4.4216356947086632</v>
      </c>
      <c r="G65" s="349">
        <v>6.3845817984658799</v>
      </c>
      <c r="H65" s="349">
        <v>11.348982525040132</v>
      </c>
      <c r="I65" s="349"/>
      <c r="J65" s="349">
        <v>38.639666116285262</v>
      </c>
      <c r="K65" s="349">
        <v>52.281784811639781</v>
      </c>
      <c r="L65" s="349">
        <v>85.779849440308027</v>
      </c>
      <c r="M65" s="349"/>
      <c r="N65" s="349">
        <v>131.70215967722743</v>
      </c>
      <c r="O65" s="349">
        <v>143.03286053831488</v>
      </c>
      <c r="P65" s="349">
        <v>177.21894462160239</v>
      </c>
      <c r="Q65" s="349"/>
      <c r="R65" s="349">
        <v>31.542438610155884</v>
      </c>
      <c r="S65" s="349">
        <v>34.309477672513701</v>
      </c>
      <c r="T65" s="349">
        <v>44.666239784301581</v>
      </c>
      <c r="U65" s="349"/>
      <c r="V65" s="349">
        <v>40.009858238061469</v>
      </c>
      <c r="W65" s="349">
        <v>43.617750888573326</v>
      </c>
      <c r="X65" s="349">
        <v>54.036697161143351</v>
      </c>
      <c r="Y65" s="349"/>
      <c r="Z65" s="349">
        <v>142.83521573612376</v>
      </c>
      <c r="AA65" s="349">
        <v>145.93289307687022</v>
      </c>
      <c r="AB65" s="349">
        <v>164.09723544498561</v>
      </c>
      <c r="AC65" s="349"/>
      <c r="AD65" s="349">
        <v>128.94927116182129</v>
      </c>
      <c r="AE65" s="349">
        <v>130.27323604311798</v>
      </c>
      <c r="AF65" s="349">
        <v>124.58606218399616</v>
      </c>
      <c r="AG65" s="349"/>
      <c r="AH65" s="349">
        <v>76.403309925452689</v>
      </c>
      <c r="AI65" s="349">
        <v>65.286752441137565</v>
      </c>
      <c r="AJ65" s="349">
        <v>35.468024483202619</v>
      </c>
      <c r="AK65" s="349"/>
      <c r="AL65" s="349">
        <v>19.600363755182425</v>
      </c>
      <c r="AM65" s="349">
        <v>14.759177732451278</v>
      </c>
      <c r="AN65" s="349">
        <v>15.666218201085671</v>
      </c>
    </row>
    <row r="66" spans="1:40">
      <c r="A66" s="64" t="str">
        <f t="shared" si="72"/>
        <v>Administrative and secretarial occupations</v>
      </c>
      <c r="B66" s="349">
        <f t="shared" si="75"/>
        <v>691.15929693187195</v>
      </c>
      <c r="C66" s="349">
        <f t="shared" si="73"/>
        <v>745.54149066713933</v>
      </c>
      <c r="D66" s="349">
        <f t="shared" si="74"/>
        <v>802.72449073476469</v>
      </c>
      <c r="E66" s="349"/>
      <c r="F66" s="349">
        <v>1.7985967022419747</v>
      </c>
      <c r="G66" s="349">
        <v>2.8576351568410963</v>
      </c>
      <c r="H66" s="349">
        <v>5.3264526257030829</v>
      </c>
      <c r="I66" s="349"/>
      <c r="J66" s="349">
        <v>31.599450399365832</v>
      </c>
      <c r="K66" s="349">
        <v>47.119810348518079</v>
      </c>
      <c r="L66" s="349">
        <v>83.972077044912893</v>
      </c>
      <c r="M66" s="349"/>
      <c r="N66" s="349">
        <v>110.27213781997094</v>
      </c>
      <c r="O66" s="349">
        <v>140.06083583453025</v>
      </c>
      <c r="P66" s="349">
        <v>200.3379738112921</v>
      </c>
      <c r="Q66" s="349"/>
      <c r="R66" s="349">
        <v>37.280104842494076</v>
      </c>
      <c r="S66" s="349">
        <v>44.115023268467993</v>
      </c>
      <c r="T66" s="349">
        <v>57.386182426970947</v>
      </c>
      <c r="U66" s="349"/>
      <c r="V66" s="349">
        <v>33.36443250437447</v>
      </c>
      <c r="W66" s="349">
        <v>36.524958840435701</v>
      </c>
      <c r="X66" s="349">
        <v>47.315943909511191</v>
      </c>
      <c r="Y66" s="349"/>
      <c r="Z66" s="349">
        <v>171.65807226146234</v>
      </c>
      <c r="AA66" s="349">
        <v>189.87339551927454</v>
      </c>
      <c r="AB66" s="349">
        <v>202.43420467032161</v>
      </c>
      <c r="AC66" s="349"/>
      <c r="AD66" s="349">
        <v>198.32051523095103</v>
      </c>
      <c r="AE66" s="349">
        <v>210.85300079444249</v>
      </c>
      <c r="AF66" s="349">
        <v>180.43814677911774</v>
      </c>
      <c r="AG66" s="349"/>
      <c r="AH66" s="349">
        <v>89.160092951201577</v>
      </c>
      <c r="AI66" s="349">
        <v>61.208718396983386</v>
      </c>
      <c r="AJ66" s="349">
        <v>17.578259430738076</v>
      </c>
      <c r="AK66" s="349"/>
      <c r="AL66" s="349">
        <v>17.7058942198097</v>
      </c>
      <c r="AM66" s="349">
        <v>12.928112507645794</v>
      </c>
      <c r="AN66" s="349">
        <v>7.9352500361971154</v>
      </c>
    </row>
    <row r="67" spans="1:40">
      <c r="A67" s="64" t="str">
        <f t="shared" si="72"/>
        <v>Skilled trades occupations</v>
      </c>
      <c r="B67" s="349">
        <f t="shared" si="75"/>
        <v>650.18329295352066</v>
      </c>
      <c r="C67" s="349">
        <f t="shared" si="73"/>
        <v>673.95370655431964</v>
      </c>
      <c r="D67" s="349">
        <f t="shared" si="74"/>
        <v>679.31147800346071</v>
      </c>
      <c r="E67" s="349"/>
      <c r="F67" s="349">
        <v>0.40223601775953921</v>
      </c>
      <c r="G67" s="349">
        <v>0.62488042146557332</v>
      </c>
      <c r="H67" s="349">
        <v>1.2503169222135861</v>
      </c>
      <c r="I67" s="349"/>
      <c r="J67" s="349">
        <v>13.395598438094913</v>
      </c>
      <c r="K67" s="349">
        <v>22.17387253058444</v>
      </c>
      <c r="L67" s="349">
        <v>46.547431378658175</v>
      </c>
      <c r="M67" s="349"/>
      <c r="N67" s="349">
        <v>41.931776724371211</v>
      </c>
      <c r="O67" s="349">
        <v>54.570004023763325</v>
      </c>
      <c r="P67" s="349">
        <v>74.836594415248655</v>
      </c>
      <c r="Q67" s="349"/>
      <c r="R67" s="349">
        <v>20.456535536664987</v>
      </c>
      <c r="S67" s="349">
        <v>23.410309065109583</v>
      </c>
      <c r="T67" s="349">
        <v>30.407633479311734</v>
      </c>
      <c r="U67" s="349"/>
      <c r="V67" s="349">
        <v>33.707782566346594</v>
      </c>
      <c r="W67" s="349">
        <v>39.384083847396234</v>
      </c>
      <c r="X67" s="349">
        <v>49.62067279896015</v>
      </c>
      <c r="Y67" s="349"/>
      <c r="Z67" s="349">
        <v>211.95975945580724</v>
      </c>
      <c r="AA67" s="349">
        <v>223.67202403568726</v>
      </c>
      <c r="AB67" s="349">
        <v>231.89177742714313</v>
      </c>
      <c r="AC67" s="349"/>
      <c r="AD67" s="349">
        <v>156.88652491569783</v>
      </c>
      <c r="AE67" s="349">
        <v>146.68236899033872</v>
      </c>
      <c r="AF67" s="349">
        <v>131.54086827825424</v>
      </c>
      <c r="AG67" s="349"/>
      <c r="AH67" s="349">
        <v>119.35269495559176</v>
      </c>
      <c r="AI67" s="349">
        <v>123.47801135807622</v>
      </c>
      <c r="AJ67" s="349">
        <v>88.812930929140592</v>
      </c>
      <c r="AK67" s="349"/>
      <c r="AL67" s="349">
        <v>52.090384343186557</v>
      </c>
      <c r="AM67" s="349">
        <v>39.958152281898286</v>
      </c>
      <c r="AN67" s="349">
        <v>24.403252374530382</v>
      </c>
    </row>
    <row r="68" spans="1:40">
      <c r="A68" s="64" t="str">
        <f t="shared" si="72"/>
        <v>Caring, leisure and other service occupations</v>
      </c>
      <c r="B68" s="349">
        <f t="shared" si="75"/>
        <v>242.49047473483373</v>
      </c>
      <c r="C68" s="349">
        <f t="shared" si="73"/>
        <v>234.92427409823568</v>
      </c>
      <c r="D68" s="349">
        <f t="shared" si="74"/>
        <v>270.06533597396179</v>
      </c>
      <c r="E68" s="349"/>
      <c r="F68" s="349">
        <v>0.34619207820205111</v>
      </c>
      <c r="G68" s="349">
        <v>0.52726944894682259</v>
      </c>
      <c r="H68" s="349">
        <v>1.0029677730238951</v>
      </c>
      <c r="I68" s="349"/>
      <c r="J68" s="349">
        <v>6.4401311388930829</v>
      </c>
      <c r="K68" s="349">
        <v>8.355310464845612</v>
      </c>
      <c r="L68" s="349">
        <v>15.082341052122336</v>
      </c>
      <c r="M68" s="349"/>
      <c r="N68" s="349">
        <v>32.018260695034755</v>
      </c>
      <c r="O68" s="349">
        <v>34.110535386495059</v>
      </c>
      <c r="P68" s="349">
        <v>43.982726194348281</v>
      </c>
      <c r="Q68" s="349"/>
      <c r="R68" s="349">
        <v>24.547923969876823</v>
      </c>
      <c r="S68" s="349">
        <v>26.831329087531657</v>
      </c>
      <c r="T68" s="349">
        <v>38.98157924342906</v>
      </c>
      <c r="U68" s="349"/>
      <c r="V68" s="349">
        <v>24.87424809311959</v>
      </c>
      <c r="W68" s="349">
        <v>25.908734770723882</v>
      </c>
      <c r="X68" s="349">
        <v>37.164785131570007</v>
      </c>
      <c r="Y68" s="349"/>
      <c r="Z68" s="349">
        <v>46.467684814457805</v>
      </c>
      <c r="AA68" s="349">
        <v>43.449588865856555</v>
      </c>
      <c r="AB68" s="349">
        <v>47.626858672148337</v>
      </c>
      <c r="AC68" s="349"/>
      <c r="AD68" s="349">
        <v>58.316271443438026</v>
      </c>
      <c r="AE68" s="349">
        <v>54.573956526892495</v>
      </c>
      <c r="AF68" s="349">
        <v>53.905680570709237</v>
      </c>
      <c r="AG68" s="349"/>
      <c r="AH68" s="349">
        <v>32.235541161994263</v>
      </c>
      <c r="AI68" s="349">
        <v>29.500293509758372</v>
      </c>
      <c r="AJ68" s="349">
        <v>23.869074624955303</v>
      </c>
      <c r="AK68" s="349"/>
      <c r="AL68" s="349">
        <v>17.244221339817358</v>
      </c>
      <c r="AM68" s="349">
        <v>11.667256037185226</v>
      </c>
      <c r="AN68" s="349">
        <v>8.4493227116553467</v>
      </c>
    </row>
    <row r="69" spans="1:40">
      <c r="A69" s="64" t="str">
        <f t="shared" si="72"/>
        <v>Sales and customer service occupations</v>
      </c>
      <c r="B69" s="349">
        <f t="shared" si="75"/>
        <v>1629.777275182463</v>
      </c>
      <c r="C69" s="349">
        <f t="shared" si="73"/>
        <v>1619.5772219860858</v>
      </c>
      <c r="D69" s="349">
        <f t="shared" si="74"/>
        <v>1601.2430520703176</v>
      </c>
      <c r="E69" s="349"/>
      <c r="F69" s="349">
        <v>2.0871275282055475</v>
      </c>
      <c r="G69" s="349">
        <v>2.8780087676012696</v>
      </c>
      <c r="H69" s="349">
        <v>4.6422331739171661</v>
      </c>
      <c r="I69" s="349"/>
      <c r="J69" s="349">
        <v>47.93331824201659</v>
      </c>
      <c r="K69" s="349">
        <v>70.818960880803516</v>
      </c>
      <c r="L69" s="349">
        <v>133.34300258041833</v>
      </c>
      <c r="M69" s="349"/>
      <c r="N69" s="349">
        <v>200.3713673899851</v>
      </c>
      <c r="O69" s="349">
        <v>233.1866500676729</v>
      </c>
      <c r="P69" s="349">
        <v>318.86015543850328</v>
      </c>
      <c r="Q69" s="349"/>
      <c r="R69" s="349">
        <v>64.469113544961317</v>
      </c>
      <c r="S69" s="349">
        <v>70.831625448496169</v>
      </c>
      <c r="T69" s="349">
        <v>92.995481498077453</v>
      </c>
      <c r="U69" s="349"/>
      <c r="V69" s="349">
        <v>52.097150466939347</v>
      </c>
      <c r="W69" s="349">
        <v>52.749726022495999</v>
      </c>
      <c r="X69" s="349">
        <v>65.492047414066505</v>
      </c>
      <c r="Y69" s="349"/>
      <c r="Z69" s="349">
        <v>459.01955637838296</v>
      </c>
      <c r="AA69" s="349">
        <v>470.02957104794814</v>
      </c>
      <c r="AB69" s="349">
        <v>504.22571487110037</v>
      </c>
      <c r="AC69" s="349"/>
      <c r="AD69" s="349">
        <v>418.74118472627021</v>
      </c>
      <c r="AE69" s="349">
        <v>401.75788214503177</v>
      </c>
      <c r="AF69" s="349">
        <v>335.14240352539463</v>
      </c>
      <c r="AG69" s="349"/>
      <c r="AH69" s="349">
        <v>284.62302108407903</v>
      </c>
      <c r="AI69" s="349">
        <v>244.50963547908728</v>
      </c>
      <c r="AJ69" s="349">
        <v>102.10102056748907</v>
      </c>
      <c r="AK69" s="349"/>
      <c r="AL69" s="349">
        <v>100.43543582162276</v>
      </c>
      <c r="AM69" s="349">
        <v>72.815162126948593</v>
      </c>
      <c r="AN69" s="349">
        <v>44.440993001350684</v>
      </c>
    </row>
    <row r="70" spans="1:40">
      <c r="A70" s="64" t="str">
        <f t="shared" si="72"/>
        <v>Process, plant and machine operatives</v>
      </c>
      <c r="B70" s="349">
        <f t="shared" si="75"/>
        <v>837.66763383257023</v>
      </c>
      <c r="C70" s="349">
        <f t="shared" si="73"/>
        <v>887.19975900774523</v>
      </c>
      <c r="D70" s="349">
        <f t="shared" si="74"/>
        <v>884.42291358195598</v>
      </c>
      <c r="E70" s="349"/>
      <c r="F70" s="349">
        <v>2.786816024267309</v>
      </c>
      <c r="G70" s="349">
        <v>4.6655136985101828</v>
      </c>
      <c r="H70" s="349">
        <v>9.2454314765406576</v>
      </c>
      <c r="I70" s="349"/>
      <c r="J70" s="349">
        <v>13.805569026301843</v>
      </c>
      <c r="K70" s="349">
        <v>21.405680069653346</v>
      </c>
      <c r="L70" s="349">
        <v>39.442766482454417</v>
      </c>
      <c r="M70" s="349"/>
      <c r="N70" s="349">
        <v>46.52906916111916</v>
      </c>
      <c r="O70" s="349">
        <v>62.96509308808271</v>
      </c>
      <c r="P70" s="349">
        <v>98.104923971527583</v>
      </c>
      <c r="Q70" s="349"/>
      <c r="R70" s="349">
        <v>20.242909449387419</v>
      </c>
      <c r="S70" s="349">
        <v>25.982245119505308</v>
      </c>
      <c r="T70" s="349">
        <v>35.632198997442181</v>
      </c>
      <c r="U70" s="349"/>
      <c r="V70" s="349">
        <v>32.307278547597932</v>
      </c>
      <c r="W70" s="349">
        <v>39.22046866110621</v>
      </c>
      <c r="X70" s="349">
        <v>52.150974404389395</v>
      </c>
      <c r="Y70" s="349"/>
      <c r="Z70" s="349">
        <v>156.45423098801004</v>
      </c>
      <c r="AA70" s="349">
        <v>172.2120089924484</v>
      </c>
      <c r="AB70" s="349">
        <v>184.82632391560213</v>
      </c>
      <c r="AC70" s="349"/>
      <c r="AD70" s="349">
        <v>257.12135992704759</v>
      </c>
      <c r="AE70" s="349">
        <v>283.30366238653016</v>
      </c>
      <c r="AF70" s="349">
        <v>278.11275390495484</v>
      </c>
      <c r="AG70" s="349"/>
      <c r="AH70" s="349">
        <v>218.90467389454497</v>
      </c>
      <c r="AI70" s="349">
        <v>214.00787229811365</v>
      </c>
      <c r="AJ70" s="349">
        <v>156.15521622594198</v>
      </c>
      <c r="AK70" s="349"/>
      <c r="AL70" s="349">
        <v>89.515726814293913</v>
      </c>
      <c r="AM70" s="349">
        <v>63.437214693795276</v>
      </c>
      <c r="AN70" s="349">
        <v>30.75232420310271</v>
      </c>
    </row>
    <row r="71" spans="1:40">
      <c r="A71" s="64" t="str">
        <f t="shared" si="72"/>
        <v>Elementary occupations</v>
      </c>
      <c r="B71" s="349">
        <f t="shared" si="75"/>
        <v>1557.4621873205547</v>
      </c>
      <c r="C71" s="349">
        <f t="shared" si="73"/>
        <v>1608.6097854841403</v>
      </c>
      <c r="D71" s="349">
        <f t="shared" si="74"/>
        <v>1592.3967646663205</v>
      </c>
      <c r="E71" s="349"/>
      <c r="F71" s="349">
        <v>0.54837378331517572</v>
      </c>
      <c r="G71" s="349">
        <v>0.74568022128927192</v>
      </c>
      <c r="H71" s="349">
        <v>1.1940186932471937</v>
      </c>
      <c r="I71" s="349"/>
      <c r="J71" s="349">
        <v>46.736530994101791</v>
      </c>
      <c r="K71" s="349">
        <v>69.401488477579107</v>
      </c>
      <c r="L71" s="349">
        <v>137.34321403620368</v>
      </c>
      <c r="M71" s="349"/>
      <c r="N71" s="349">
        <v>166.79509891011941</v>
      </c>
      <c r="O71" s="349">
        <v>198.5067157746571</v>
      </c>
      <c r="P71" s="349">
        <v>265.73972488202639</v>
      </c>
      <c r="Q71" s="349"/>
      <c r="R71" s="349">
        <v>71.059358686051496</v>
      </c>
      <c r="S71" s="349">
        <v>86.118547078902822</v>
      </c>
      <c r="T71" s="349">
        <v>120.0259983695548</v>
      </c>
      <c r="U71" s="349"/>
      <c r="V71" s="349">
        <v>77.143232272733854</v>
      </c>
      <c r="W71" s="349">
        <v>93.524390426688186</v>
      </c>
      <c r="X71" s="349">
        <v>126.16306410480435</v>
      </c>
      <c r="Y71" s="349"/>
      <c r="Z71" s="349">
        <v>313.25146287511433</v>
      </c>
      <c r="AA71" s="349">
        <v>300.69917516757226</v>
      </c>
      <c r="AB71" s="349">
        <v>301.54920890344306</v>
      </c>
      <c r="AC71" s="349"/>
      <c r="AD71" s="349">
        <v>420.84718709343241</v>
      </c>
      <c r="AE71" s="349">
        <v>420.9522069275597</v>
      </c>
      <c r="AF71" s="349">
        <v>362.55932429707656</v>
      </c>
      <c r="AG71" s="349"/>
      <c r="AH71" s="349">
        <v>312.90879542156023</v>
      </c>
      <c r="AI71" s="349">
        <v>295.73214153924863</v>
      </c>
      <c r="AJ71" s="349">
        <v>164.27362404912947</v>
      </c>
      <c r="AK71" s="349"/>
      <c r="AL71" s="349">
        <v>148.172147284126</v>
      </c>
      <c r="AM71" s="349">
        <v>142.92943987064319</v>
      </c>
      <c r="AN71" s="349">
        <v>113.54858733083503</v>
      </c>
    </row>
    <row r="72" spans="1:40">
      <c r="A72" s="64"/>
      <c r="B72" s="349"/>
      <c r="C72" s="349"/>
      <c r="D72" s="349"/>
      <c r="E72" s="349"/>
      <c r="F72" s="349"/>
      <c r="G72" s="349"/>
      <c r="H72" s="349"/>
      <c r="I72" s="349"/>
      <c r="J72" s="349"/>
      <c r="K72" s="349"/>
      <c r="L72" s="349"/>
      <c r="M72" s="349"/>
      <c r="N72" s="349"/>
      <c r="O72" s="349"/>
      <c r="P72" s="349"/>
      <c r="Q72" s="349"/>
      <c r="R72" s="349"/>
      <c r="S72" s="349"/>
      <c r="T72" s="349"/>
      <c r="U72" s="349"/>
      <c r="V72" s="349"/>
      <c r="W72" s="349"/>
      <c r="X72" s="349"/>
      <c r="Y72" s="349"/>
      <c r="Z72" s="349"/>
      <c r="AA72" s="349"/>
      <c r="AB72" s="349"/>
      <c r="AC72" s="349"/>
      <c r="AD72" s="349"/>
      <c r="AE72" s="349"/>
      <c r="AF72" s="349"/>
      <c r="AG72" s="349"/>
      <c r="AH72" s="349"/>
      <c r="AI72" s="349"/>
      <c r="AJ72" s="349"/>
      <c r="AK72" s="349"/>
      <c r="AL72" s="349"/>
      <c r="AM72" s="349"/>
      <c r="AN72" s="349"/>
    </row>
    <row r="73" spans="1:40" ht="12.95">
      <c r="A73" s="1" t="str">
        <f>name!C8</f>
        <v>Business and other services</v>
      </c>
      <c r="B73" s="350"/>
      <c r="C73" s="350"/>
      <c r="D73" s="350"/>
      <c r="E73" s="349"/>
      <c r="F73" s="349"/>
      <c r="G73" s="349"/>
      <c r="H73" s="349"/>
      <c r="I73" s="349"/>
      <c r="J73" s="349"/>
      <c r="K73" s="349"/>
      <c r="L73" s="349"/>
      <c r="M73" s="349"/>
      <c r="N73" s="349"/>
      <c r="O73" s="349"/>
      <c r="P73" s="349"/>
      <c r="Q73" s="349"/>
      <c r="R73" s="349"/>
      <c r="S73" s="349"/>
      <c r="T73" s="349"/>
      <c r="U73" s="349"/>
      <c r="V73" s="349"/>
      <c r="W73" s="349"/>
      <c r="X73" s="349"/>
      <c r="Y73" s="349"/>
      <c r="Z73" s="349"/>
      <c r="AA73" s="349"/>
      <c r="AB73" s="349"/>
      <c r="AC73" s="349"/>
      <c r="AD73" s="349"/>
      <c r="AE73" s="349"/>
      <c r="AF73" s="349"/>
      <c r="AG73" s="349"/>
      <c r="AH73" s="349"/>
      <c r="AI73" s="349"/>
      <c r="AJ73" s="349"/>
      <c r="AK73" s="349"/>
      <c r="AL73" s="349"/>
      <c r="AM73" s="349"/>
      <c r="AN73" s="349"/>
    </row>
    <row r="74" spans="1:40">
      <c r="A74" s="64" t="str">
        <f t="shared" ref="A74:A83" si="76">A8</f>
        <v>All occupations</v>
      </c>
      <c r="B74" s="348">
        <f>SUM(B75:B83)</f>
        <v>9932.1719999800243</v>
      </c>
      <c r="C74" s="348">
        <f>SUM(C75:C83)</f>
        <v>10297.576000103096</v>
      </c>
      <c r="D74" s="348">
        <f>SUM(D75:D83)</f>
        <v>10865.118000120066</v>
      </c>
      <c r="E74" s="349"/>
      <c r="F74" s="348">
        <f>SUM(F75:F83)</f>
        <v>202.70364111769032</v>
      </c>
      <c r="G74" s="348">
        <f>SUM(G75:G83)</f>
        <v>266.19876062892047</v>
      </c>
      <c r="H74" s="348">
        <f>SUM(H75:H83)</f>
        <v>378.26674153792271</v>
      </c>
      <c r="I74" s="349"/>
      <c r="J74" s="348">
        <f>SUM(J75:J83)</f>
        <v>1674.4020714909061</v>
      </c>
      <c r="K74" s="348">
        <f>SUM(K75:K83)</f>
        <v>2186.646911360604</v>
      </c>
      <c r="L74" s="348">
        <f>SUM(L75:L83)</f>
        <v>3096.9758952052002</v>
      </c>
      <c r="M74" s="349"/>
      <c r="N74" s="348">
        <f>SUM(N75:N83)</f>
        <v>2810.6808423144466</v>
      </c>
      <c r="O74" s="348">
        <f>SUM(O75:O83)</f>
        <v>2878.796541862604</v>
      </c>
      <c r="P74" s="348">
        <f>SUM(P75:P83)</f>
        <v>2997.8820075035601</v>
      </c>
      <c r="Q74" s="349"/>
      <c r="R74" s="348">
        <f>SUM(R75:R83)</f>
        <v>508.07989589308579</v>
      </c>
      <c r="S74" s="348">
        <f>SUM(S75:S83)</f>
        <v>535.80032583780144</v>
      </c>
      <c r="T74" s="348">
        <f>SUM(T75:T83)</f>
        <v>611.42998916161162</v>
      </c>
      <c r="U74" s="349"/>
      <c r="V74" s="348">
        <f>SUM(V75:V83)</f>
        <v>624.12162304746789</v>
      </c>
      <c r="W74" s="348">
        <f>SUM(W75:W83)</f>
        <v>634.00975355309208</v>
      </c>
      <c r="X74" s="348">
        <f>SUM(X75:X83)</f>
        <v>685.12822284380934</v>
      </c>
      <c r="Y74" s="349"/>
      <c r="Z74" s="348">
        <f>SUM(Z75:Z83)</f>
        <v>1399.91891283566</v>
      </c>
      <c r="AA74" s="348">
        <f>SUM(AA75:AA83)</f>
        <v>1273.1607243275926</v>
      </c>
      <c r="AB74" s="348">
        <f>SUM(AB75:AB83)</f>
        <v>1119.5062875791277</v>
      </c>
      <c r="AC74" s="349"/>
      <c r="AD74" s="348">
        <f>SUM(AD75:AD83)</f>
        <v>1361.9728988041261</v>
      </c>
      <c r="AE74" s="348">
        <f>SUM(AE75:AE83)</f>
        <v>1276.8909180981805</v>
      </c>
      <c r="AF74" s="348">
        <f>SUM(AF75:AF83)</f>
        <v>1020.2587290820212</v>
      </c>
      <c r="AG74" s="349"/>
      <c r="AH74" s="348">
        <f>SUM(AH75:AH83)</f>
        <v>1023.2988058905548</v>
      </c>
      <c r="AI74" s="348">
        <f>SUM(AI75:AI83)</f>
        <v>952.74098781107318</v>
      </c>
      <c r="AJ74" s="348">
        <f>SUM(AJ75:AJ83)</f>
        <v>717.99426422240822</v>
      </c>
      <c r="AK74" s="349"/>
      <c r="AL74" s="348">
        <f>SUM(AL75:AL83)</f>
        <v>326.99330858608806</v>
      </c>
      <c r="AM74" s="348">
        <f>SUM(AM75:AM83)</f>
        <v>293.33107662322857</v>
      </c>
      <c r="AN74" s="348">
        <f>SUM(AN75:AN83)</f>
        <v>237.67586298440392</v>
      </c>
    </row>
    <row r="75" spans="1:40">
      <c r="A75" s="64" t="str">
        <f t="shared" si="76"/>
        <v>Managers, directors and senior officials</v>
      </c>
      <c r="B75" s="348">
        <f>SUM(F75,J75,N75,R75,V75,Z75,AD75,AH75,AL75)</f>
        <v>1352.0614597855633</v>
      </c>
      <c r="C75" s="348">
        <f t="shared" ref="C75:C83" si="77">SUM(G75,K75,O75,S75,W75,AA75,AE75,AI75,AM75)</f>
        <v>1291.5309554404025</v>
      </c>
      <c r="D75" s="348">
        <f t="shared" ref="D75:D83" si="78">SUM(H75,L75,P75,T75,X75,AB75,AF75,AJ75,AN75)</f>
        <v>1402.2861294837173</v>
      </c>
      <c r="E75" s="349"/>
      <c r="F75" s="349">
        <v>34.78769097693182</v>
      </c>
      <c r="G75" s="349">
        <v>43.008851329972629</v>
      </c>
      <c r="H75" s="349">
        <v>63.868759318082354</v>
      </c>
      <c r="I75" s="349"/>
      <c r="J75" s="349">
        <v>247.15761489819494</v>
      </c>
      <c r="K75" s="349">
        <v>293.72177309993361</v>
      </c>
      <c r="L75" s="349">
        <v>421.13635430935176</v>
      </c>
      <c r="M75" s="349"/>
      <c r="N75" s="349">
        <v>436.84645989998978</v>
      </c>
      <c r="O75" s="349">
        <v>405.35601001757806</v>
      </c>
      <c r="P75" s="349">
        <v>425.09911963744531</v>
      </c>
      <c r="Q75" s="349"/>
      <c r="R75" s="349">
        <v>54.77524853404789</v>
      </c>
      <c r="S75" s="349">
        <v>49.401409111216445</v>
      </c>
      <c r="T75" s="349">
        <v>52.233942591672623</v>
      </c>
      <c r="U75" s="349"/>
      <c r="V75" s="349">
        <v>113.07079348809933</v>
      </c>
      <c r="W75" s="349">
        <v>105.09335197322466</v>
      </c>
      <c r="X75" s="349">
        <v>112.42452578384632</v>
      </c>
      <c r="Y75" s="349"/>
      <c r="Z75" s="349">
        <v>193.29050626815851</v>
      </c>
      <c r="AA75" s="349">
        <v>156.23229959341836</v>
      </c>
      <c r="AB75" s="349">
        <v>139.71950138880948</v>
      </c>
      <c r="AC75" s="349"/>
      <c r="AD75" s="349">
        <v>144.58151087206059</v>
      </c>
      <c r="AE75" s="349">
        <v>123.69184982617777</v>
      </c>
      <c r="AF75" s="349">
        <v>96.138225783158546</v>
      </c>
      <c r="AG75" s="349"/>
      <c r="AH75" s="349">
        <v>101.11126994527834</v>
      </c>
      <c r="AI75" s="349">
        <v>90.612720867915556</v>
      </c>
      <c r="AJ75" s="349">
        <v>69.159587715252357</v>
      </c>
      <c r="AK75" s="349"/>
      <c r="AL75" s="349">
        <v>26.440364902802212</v>
      </c>
      <c r="AM75" s="349">
        <v>24.412689620965129</v>
      </c>
      <c r="AN75" s="349">
        <v>22.506112956098409</v>
      </c>
    </row>
    <row r="76" spans="1:40">
      <c r="A76" s="64" t="str">
        <f t="shared" si="76"/>
        <v>Professional occupations</v>
      </c>
      <c r="B76" s="348">
        <f t="shared" ref="B76:B83" si="79">SUM(F76,J76,N76,R76,V76,Z76,AD76,AH76,AL76)</f>
        <v>2759.7657407072647</v>
      </c>
      <c r="C76" s="348">
        <f t="shared" si="77"/>
        <v>3081.5552574404142</v>
      </c>
      <c r="D76" s="348">
        <f>SUM(H76,L76,P76,T76,X76,AB76,AF76,AJ76,AN76)</f>
        <v>3404.7065376709834</v>
      </c>
      <c r="E76" s="349"/>
      <c r="F76" s="349">
        <v>113.25430962136417</v>
      </c>
      <c r="G76" s="349">
        <v>149.97513691984088</v>
      </c>
      <c r="H76" s="349">
        <v>202.64401336634347</v>
      </c>
      <c r="I76" s="349"/>
      <c r="J76" s="349">
        <v>783.18558665796661</v>
      </c>
      <c r="K76" s="349">
        <v>1044.7519998582502</v>
      </c>
      <c r="L76" s="349">
        <v>1432.0523523241739</v>
      </c>
      <c r="M76" s="349"/>
      <c r="N76" s="349">
        <v>1056.7788563582267</v>
      </c>
      <c r="O76" s="349">
        <v>1084.5675407346737</v>
      </c>
      <c r="P76" s="349">
        <v>1039.2908084739552</v>
      </c>
      <c r="Q76" s="349"/>
      <c r="R76" s="349">
        <v>93.832810241745719</v>
      </c>
      <c r="S76" s="349">
        <v>99.937705315720592</v>
      </c>
      <c r="T76" s="349">
        <v>107.50757703630296</v>
      </c>
      <c r="U76" s="349"/>
      <c r="V76" s="349">
        <v>164.89814382557185</v>
      </c>
      <c r="W76" s="349">
        <v>168.29436875149653</v>
      </c>
      <c r="X76" s="349">
        <v>172.46939008602078</v>
      </c>
      <c r="Y76" s="349"/>
      <c r="Z76" s="349">
        <v>233.40546317849447</v>
      </c>
      <c r="AA76" s="349">
        <v>217.6574012810517</v>
      </c>
      <c r="AB76" s="349">
        <v>194.48706970487186</v>
      </c>
      <c r="AC76" s="349"/>
      <c r="AD76" s="349">
        <v>177.82704655422282</v>
      </c>
      <c r="AE76" s="349">
        <v>176.30477197694609</v>
      </c>
      <c r="AF76" s="349">
        <v>151.02244349259979</v>
      </c>
      <c r="AG76" s="349"/>
      <c r="AH76" s="349">
        <v>109.68886881754193</v>
      </c>
      <c r="AI76" s="349">
        <v>106.29332950707538</v>
      </c>
      <c r="AJ76" s="349">
        <v>69.819141805109069</v>
      </c>
      <c r="AK76" s="349"/>
      <c r="AL76" s="349">
        <v>26.894655452131378</v>
      </c>
      <c r="AM76" s="349">
        <v>33.773003095359535</v>
      </c>
      <c r="AN76" s="349">
        <v>35.413741381606705</v>
      </c>
    </row>
    <row r="77" spans="1:40">
      <c r="A77" s="64" t="str">
        <f t="shared" si="76"/>
        <v>Associate professional occupations</v>
      </c>
      <c r="B77" s="348">
        <f t="shared" si="79"/>
        <v>1968.036618904674</v>
      </c>
      <c r="C77" s="348">
        <f t="shared" si="77"/>
        <v>1962.0117380320787</v>
      </c>
      <c r="D77" s="348">
        <f t="shared" si="78"/>
        <v>2112.1448214103075</v>
      </c>
      <c r="E77" s="349"/>
      <c r="F77" s="349">
        <v>37.40075321840694</v>
      </c>
      <c r="G77" s="349">
        <v>48.442663227603603</v>
      </c>
      <c r="H77" s="349">
        <v>72.458717647254915</v>
      </c>
      <c r="I77" s="349"/>
      <c r="J77" s="349">
        <v>407.95191916453206</v>
      </c>
      <c r="K77" s="349">
        <v>513.89702341030147</v>
      </c>
      <c r="L77" s="349">
        <v>731.79313770747058</v>
      </c>
      <c r="M77" s="349"/>
      <c r="N77" s="349">
        <v>683.59782089535213</v>
      </c>
      <c r="O77" s="349">
        <v>657.442190228031</v>
      </c>
      <c r="P77" s="349">
        <v>658.97304018756984</v>
      </c>
      <c r="Q77" s="349"/>
      <c r="R77" s="349">
        <v>125.29691757092991</v>
      </c>
      <c r="S77" s="349">
        <v>127.5578659350904</v>
      </c>
      <c r="T77" s="349">
        <v>145.09299130382959</v>
      </c>
      <c r="U77" s="349"/>
      <c r="V77" s="349">
        <v>120.24530812684692</v>
      </c>
      <c r="W77" s="349">
        <v>113.06884494057827</v>
      </c>
      <c r="X77" s="349">
        <v>109.07577012042607</v>
      </c>
      <c r="Y77" s="349"/>
      <c r="Z77" s="349">
        <v>248.66508641312677</v>
      </c>
      <c r="AA77" s="349">
        <v>208.83862084930783</v>
      </c>
      <c r="AB77" s="349">
        <v>175.18988214743752</v>
      </c>
      <c r="AC77" s="349"/>
      <c r="AD77" s="349">
        <v>180.11525743230385</v>
      </c>
      <c r="AE77" s="349">
        <v>146.78032600605218</v>
      </c>
      <c r="AF77" s="349">
        <v>101.95937197715485</v>
      </c>
      <c r="AG77" s="349"/>
      <c r="AH77" s="349">
        <v>132.00108531211015</v>
      </c>
      <c r="AI77" s="349">
        <v>112.76438721706053</v>
      </c>
      <c r="AJ77" s="349">
        <v>83.368257138597897</v>
      </c>
      <c r="AK77" s="349"/>
      <c r="AL77" s="349">
        <v>32.762470771065232</v>
      </c>
      <c r="AM77" s="349">
        <v>33.219816218053658</v>
      </c>
      <c r="AN77" s="349">
        <v>34.233653180566471</v>
      </c>
    </row>
    <row r="78" spans="1:40">
      <c r="A78" s="64" t="str">
        <f t="shared" si="76"/>
        <v>Administrative and secretarial occupations</v>
      </c>
      <c r="B78" s="348">
        <f t="shared" si="79"/>
        <v>1346.0881545188493</v>
      </c>
      <c r="C78" s="348">
        <f t="shared" si="77"/>
        <v>1368.3468643231606</v>
      </c>
      <c r="D78" s="348">
        <f t="shared" si="78"/>
        <v>1307.8941081238484</v>
      </c>
      <c r="E78" s="349"/>
      <c r="F78" s="349">
        <v>8.8760341746393419</v>
      </c>
      <c r="G78" s="349">
        <v>12.816445182445001</v>
      </c>
      <c r="H78" s="349">
        <v>20.737853738198883</v>
      </c>
      <c r="I78" s="349"/>
      <c r="J78" s="349">
        <v>113.74916035338423</v>
      </c>
      <c r="K78" s="349">
        <v>162.4152097269384</v>
      </c>
      <c r="L78" s="349">
        <v>246.62102210541588</v>
      </c>
      <c r="M78" s="349"/>
      <c r="N78" s="349">
        <v>318.79666594641543</v>
      </c>
      <c r="O78" s="349">
        <v>372.64839771808073</v>
      </c>
      <c r="P78" s="349">
        <v>436.56022335694269</v>
      </c>
      <c r="Q78" s="349"/>
      <c r="R78" s="349">
        <v>89.546508719307795</v>
      </c>
      <c r="S78" s="349">
        <v>98.562852318460841</v>
      </c>
      <c r="T78" s="349">
        <v>110.0165259406084</v>
      </c>
      <c r="U78" s="349"/>
      <c r="V78" s="349">
        <v>104.53325062717204</v>
      </c>
      <c r="W78" s="349">
        <v>114.26699683603121</v>
      </c>
      <c r="X78" s="349">
        <v>128.42703036068494</v>
      </c>
      <c r="Y78" s="349"/>
      <c r="Z78" s="349">
        <v>238.97489699041233</v>
      </c>
      <c r="AA78" s="349">
        <v>213.17256083267222</v>
      </c>
      <c r="AB78" s="349">
        <v>144.81573336446243</v>
      </c>
      <c r="AC78" s="349"/>
      <c r="AD78" s="349">
        <v>264.82910870415799</v>
      </c>
      <c r="AE78" s="349">
        <v>234.19181617132836</v>
      </c>
      <c r="AF78" s="349">
        <v>140.7690311715368</v>
      </c>
      <c r="AG78" s="349"/>
      <c r="AH78" s="349">
        <v>150.33179300710543</v>
      </c>
      <c r="AI78" s="349">
        <v>103.67760488143695</v>
      </c>
      <c r="AJ78" s="349">
        <v>32.027225853683412</v>
      </c>
      <c r="AK78" s="349"/>
      <c r="AL78" s="349">
        <v>56.450735996254799</v>
      </c>
      <c r="AM78" s="349">
        <v>56.594980655766889</v>
      </c>
      <c r="AN78" s="349">
        <v>47.919462232314729</v>
      </c>
    </row>
    <row r="79" spans="1:40">
      <c r="A79" s="64" t="str">
        <f t="shared" si="76"/>
        <v>Skilled trades occupations</v>
      </c>
      <c r="B79" s="348">
        <f t="shared" si="79"/>
        <v>336.67882315865671</v>
      </c>
      <c r="C79" s="348">
        <f t="shared" si="77"/>
        <v>359.66412959678803</v>
      </c>
      <c r="D79" s="348">
        <f t="shared" si="78"/>
        <v>371.28732909725915</v>
      </c>
      <c r="E79" s="349"/>
      <c r="F79" s="349">
        <v>2.0264649491191138</v>
      </c>
      <c r="G79" s="349">
        <v>3.026624442990737</v>
      </c>
      <c r="H79" s="349">
        <v>4.7244647028557729</v>
      </c>
      <c r="I79" s="349"/>
      <c r="J79" s="349">
        <v>21.301822330914813</v>
      </c>
      <c r="K79" s="349">
        <v>30.960507182440388</v>
      </c>
      <c r="L79" s="349">
        <v>47.171969617279096</v>
      </c>
      <c r="M79" s="349"/>
      <c r="N79" s="349">
        <v>51.344413786321098</v>
      </c>
      <c r="O79" s="349">
        <v>59.142234941575836</v>
      </c>
      <c r="P79" s="349">
        <v>74.396915271143811</v>
      </c>
      <c r="Q79" s="349"/>
      <c r="R79" s="349">
        <v>19.193247144707872</v>
      </c>
      <c r="S79" s="349">
        <v>22.063214950634201</v>
      </c>
      <c r="T79" s="349">
        <v>29.67815525731552</v>
      </c>
      <c r="U79" s="349"/>
      <c r="V79" s="349">
        <v>24.586359137163434</v>
      </c>
      <c r="W79" s="349">
        <v>26.029436929322127</v>
      </c>
      <c r="X79" s="349">
        <v>29.680384680672816</v>
      </c>
      <c r="Y79" s="349"/>
      <c r="Z79" s="349">
        <v>77.998141373532349</v>
      </c>
      <c r="AA79" s="349">
        <v>75.440795681207675</v>
      </c>
      <c r="AB79" s="349">
        <v>66.639143485792601</v>
      </c>
      <c r="AC79" s="349"/>
      <c r="AD79" s="349">
        <v>73.020793909734493</v>
      </c>
      <c r="AE79" s="349">
        <v>72.466088213472119</v>
      </c>
      <c r="AF79" s="349">
        <v>61.714865214592571</v>
      </c>
      <c r="AG79" s="349"/>
      <c r="AH79" s="349">
        <v>42.981235422130574</v>
      </c>
      <c r="AI79" s="349">
        <v>43.354871281533541</v>
      </c>
      <c r="AJ79" s="349">
        <v>34.694436538406421</v>
      </c>
      <c r="AK79" s="349"/>
      <c r="AL79" s="349">
        <v>24.226345105032962</v>
      </c>
      <c r="AM79" s="349">
        <v>27.180355973611427</v>
      </c>
      <c r="AN79" s="349">
        <v>22.58699432920054</v>
      </c>
    </row>
    <row r="80" spans="1:40">
      <c r="A80" s="64" t="str">
        <f t="shared" si="76"/>
        <v>Caring, leisure and other service occupations</v>
      </c>
      <c r="B80" s="348">
        <f t="shared" si="79"/>
        <v>591.14075689256242</v>
      </c>
      <c r="C80" s="348">
        <f t="shared" si="77"/>
        <v>594.48279087938636</v>
      </c>
      <c r="D80" s="348">
        <f t="shared" si="78"/>
        <v>617.63719693896689</v>
      </c>
      <c r="E80" s="349"/>
      <c r="F80" s="349">
        <v>0.63525253637053325</v>
      </c>
      <c r="G80" s="349">
        <v>0.85632706381312906</v>
      </c>
      <c r="H80" s="349">
        <v>1.4970818647070157</v>
      </c>
      <c r="I80" s="349"/>
      <c r="J80" s="349">
        <v>31.396458046496434</v>
      </c>
      <c r="K80" s="349">
        <v>43.396013269030711</v>
      </c>
      <c r="L80" s="349">
        <v>66.848567920799809</v>
      </c>
      <c r="M80" s="349"/>
      <c r="N80" s="349">
        <v>85.453898885047579</v>
      </c>
      <c r="O80" s="349">
        <v>100.55230715120399</v>
      </c>
      <c r="P80" s="349">
        <v>129.17265028338676</v>
      </c>
      <c r="Q80" s="349"/>
      <c r="R80" s="349">
        <v>55.48639965649096</v>
      </c>
      <c r="S80" s="349">
        <v>60.116256423592162</v>
      </c>
      <c r="T80" s="349">
        <v>71.73135840364499</v>
      </c>
      <c r="U80" s="349"/>
      <c r="V80" s="349">
        <v>37.466368462945759</v>
      </c>
      <c r="W80" s="349">
        <v>41.168425293811453</v>
      </c>
      <c r="X80" s="349">
        <v>54.822282983092499</v>
      </c>
      <c r="Y80" s="349"/>
      <c r="Z80" s="349">
        <v>149.56346979555997</v>
      </c>
      <c r="AA80" s="349">
        <v>144.49576101780062</v>
      </c>
      <c r="AB80" s="349">
        <v>139.54727081946871</v>
      </c>
      <c r="AC80" s="349"/>
      <c r="AD80" s="349">
        <v>124.94590037935247</v>
      </c>
      <c r="AE80" s="349">
        <v>107.64032360445108</v>
      </c>
      <c r="AF80" s="349">
        <v>78.743813858340957</v>
      </c>
      <c r="AG80" s="349"/>
      <c r="AH80" s="349">
        <v>84.610728010613471</v>
      </c>
      <c r="AI80" s="349">
        <v>78.796006005658768</v>
      </c>
      <c r="AJ80" s="349">
        <v>62.853038238794575</v>
      </c>
      <c r="AK80" s="349"/>
      <c r="AL80" s="349">
        <v>21.582281119685248</v>
      </c>
      <c r="AM80" s="349">
        <v>17.461371050024496</v>
      </c>
      <c r="AN80" s="349">
        <v>12.421132566731467</v>
      </c>
    </row>
    <row r="81" spans="1:40">
      <c r="A81" s="64" t="str">
        <f t="shared" si="76"/>
        <v>Sales and customer service occupations</v>
      </c>
      <c r="B81" s="348">
        <f t="shared" si="79"/>
        <v>512.03592730152366</v>
      </c>
      <c r="C81" s="348">
        <f t="shared" si="77"/>
        <v>547.46610216874399</v>
      </c>
      <c r="D81" s="348">
        <f t="shared" si="78"/>
        <v>577.09085250051828</v>
      </c>
      <c r="E81" s="349"/>
      <c r="F81" s="349">
        <v>3.8281180144402609</v>
      </c>
      <c r="G81" s="349">
        <v>5.4094001029930059</v>
      </c>
      <c r="H81" s="349">
        <v>8.3027322779111188</v>
      </c>
      <c r="I81" s="349"/>
      <c r="J81" s="349">
        <v>33.950871809690298</v>
      </c>
      <c r="K81" s="349">
        <v>47.152775423870274</v>
      </c>
      <c r="L81" s="349">
        <v>73.231518772069194</v>
      </c>
      <c r="M81" s="349"/>
      <c r="N81" s="349">
        <v>104.88455260285181</v>
      </c>
      <c r="O81" s="349">
        <v>116.86361050290576</v>
      </c>
      <c r="P81" s="349">
        <v>137.60186982655594</v>
      </c>
      <c r="Q81" s="349"/>
      <c r="R81" s="349">
        <v>29.000707472186139</v>
      </c>
      <c r="S81" s="349">
        <v>33.316232229404697</v>
      </c>
      <c r="T81" s="349">
        <v>41.896175310456961</v>
      </c>
      <c r="U81" s="349"/>
      <c r="V81" s="349">
        <v>36.259900770982398</v>
      </c>
      <c r="W81" s="349">
        <v>42.659130806806957</v>
      </c>
      <c r="X81" s="349">
        <v>50.009783304705103</v>
      </c>
      <c r="Y81" s="349"/>
      <c r="Z81" s="349">
        <v>106.77927583232908</v>
      </c>
      <c r="AA81" s="349">
        <v>106.93939885752543</v>
      </c>
      <c r="AB81" s="349">
        <v>97.800766467600781</v>
      </c>
      <c r="AC81" s="349"/>
      <c r="AD81" s="349">
        <v>117.05393616037165</v>
      </c>
      <c r="AE81" s="349">
        <v>119.66391270893241</v>
      </c>
      <c r="AF81" s="349">
        <v>103.91541034109625</v>
      </c>
      <c r="AG81" s="349"/>
      <c r="AH81" s="349">
        <v>59.929970345483831</v>
      </c>
      <c r="AI81" s="349">
        <v>54.521579022566456</v>
      </c>
      <c r="AJ81" s="349">
        <v>43.689598779968719</v>
      </c>
      <c r="AK81" s="349"/>
      <c r="AL81" s="349">
        <v>20.348594293188206</v>
      </c>
      <c r="AM81" s="349">
        <v>20.940062513738997</v>
      </c>
      <c r="AN81" s="349">
        <v>20.642997420154146</v>
      </c>
    </row>
    <row r="82" spans="1:40">
      <c r="A82" s="64" t="str">
        <f t="shared" si="76"/>
        <v>Process, plant and machine operatives</v>
      </c>
      <c r="B82" s="348">
        <f t="shared" si="79"/>
        <v>179.0132227928728</v>
      </c>
      <c r="C82" s="348">
        <f t="shared" si="77"/>
        <v>190.3501898723689</v>
      </c>
      <c r="D82" s="348">
        <f t="shared" si="78"/>
        <v>185.17821181166113</v>
      </c>
      <c r="E82" s="349"/>
      <c r="F82" s="349">
        <v>0.57881122832998799</v>
      </c>
      <c r="G82" s="349">
        <v>0.86224422726310201</v>
      </c>
      <c r="H82" s="349">
        <v>1.2648524291681758</v>
      </c>
      <c r="I82" s="349"/>
      <c r="J82" s="349">
        <v>8.2741797049725836</v>
      </c>
      <c r="K82" s="349">
        <v>11.653730405062772</v>
      </c>
      <c r="L82" s="349">
        <v>18.614196593626282</v>
      </c>
      <c r="M82" s="349"/>
      <c r="N82" s="349">
        <v>13.792366829112654</v>
      </c>
      <c r="O82" s="349">
        <v>16.41111054353496</v>
      </c>
      <c r="P82" s="349">
        <v>19.760684617815254</v>
      </c>
      <c r="Q82" s="349"/>
      <c r="R82" s="349">
        <v>5.3101197638977826</v>
      </c>
      <c r="S82" s="349">
        <v>6.5119302283495824</v>
      </c>
      <c r="T82" s="349">
        <v>8.4888058493718521</v>
      </c>
      <c r="U82" s="349"/>
      <c r="V82" s="349">
        <v>5.8022971519268376</v>
      </c>
      <c r="W82" s="349">
        <v>6.7403902974654901</v>
      </c>
      <c r="X82" s="349">
        <v>8.0883032944915705</v>
      </c>
      <c r="Y82" s="349"/>
      <c r="Z82" s="349">
        <v>44.162379313992076</v>
      </c>
      <c r="AA82" s="349">
        <v>48.397816246719373</v>
      </c>
      <c r="AB82" s="349">
        <v>55.020136740530361</v>
      </c>
      <c r="AC82" s="349"/>
      <c r="AD82" s="349">
        <v>37.953364199030126</v>
      </c>
      <c r="AE82" s="349">
        <v>39.322770137759917</v>
      </c>
      <c r="AF82" s="349">
        <v>36.807856431399721</v>
      </c>
      <c r="AG82" s="349"/>
      <c r="AH82" s="349">
        <v>36.264994486113267</v>
      </c>
      <c r="AI82" s="349">
        <v>35.081177337219813</v>
      </c>
      <c r="AJ82" s="349">
        <v>24.018035145165864</v>
      </c>
      <c r="AK82" s="349"/>
      <c r="AL82" s="349">
        <v>26.874710115497479</v>
      </c>
      <c r="AM82" s="349">
        <v>25.369020448993918</v>
      </c>
      <c r="AN82" s="349">
        <v>13.115340710092047</v>
      </c>
    </row>
    <row r="83" spans="1:40">
      <c r="A83" s="339" t="str">
        <f t="shared" si="76"/>
        <v>Elementary occupations</v>
      </c>
      <c r="B83" s="351">
        <f t="shared" si="79"/>
        <v>887.35129591805753</v>
      </c>
      <c r="C83" s="351">
        <f t="shared" si="77"/>
        <v>902.16797234975343</v>
      </c>
      <c r="D83" s="351">
        <f t="shared" si="78"/>
        <v>886.89281308280385</v>
      </c>
      <c r="E83" s="351"/>
      <c r="F83" s="351">
        <v>1.3162063980881649</v>
      </c>
      <c r="G83" s="351">
        <v>1.8010681319984452</v>
      </c>
      <c r="H83" s="351">
        <v>2.7682661934010282</v>
      </c>
      <c r="I83" s="351"/>
      <c r="J83" s="351">
        <v>27.434458524753961</v>
      </c>
      <c r="K83" s="351">
        <v>38.697878984776196</v>
      </c>
      <c r="L83" s="351">
        <v>59.506775855014098</v>
      </c>
      <c r="M83" s="351"/>
      <c r="N83" s="351">
        <v>59.185807111129378</v>
      </c>
      <c r="O83" s="351">
        <v>65.813140025020459</v>
      </c>
      <c r="P83" s="351">
        <v>77.026695848745518</v>
      </c>
      <c r="Q83" s="351"/>
      <c r="R83" s="351">
        <v>35.637936789771743</v>
      </c>
      <c r="S83" s="351">
        <v>38.332859325332521</v>
      </c>
      <c r="T83" s="351">
        <v>44.784457468408775</v>
      </c>
      <c r="U83" s="351"/>
      <c r="V83" s="351">
        <v>17.259201456759357</v>
      </c>
      <c r="W83" s="351">
        <v>16.688807724355325</v>
      </c>
      <c r="X83" s="351">
        <v>20.130752229869323</v>
      </c>
      <c r="Y83" s="351"/>
      <c r="Z83" s="351">
        <v>107.07969367005448</v>
      </c>
      <c r="AA83" s="351">
        <v>101.98606996788922</v>
      </c>
      <c r="AB83" s="351">
        <v>106.28678346015413</v>
      </c>
      <c r="AC83" s="351"/>
      <c r="AD83" s="351">
        <v>241.64598059289204</v>
      </c>
      <c r="AE83" s="351">
        <v>256.82905945306049</v>
      </c>
      <c r="AF83" s="351">
        <v>249.18771081214166</v>
      </c>
      <c r="AG83" s="351"/>
      <c r="AH83" s="351">
        <v>306.37886054417777</v>
      </c>
      <c r="AI83" s="351">
        <v>327.63931169060623</v>
      </c>
      <c r="AJ83" s="351">
        <v>298.36494300742999</v>
      </c>
      <c r="AK83" s="351"/>
      <c r="AL83" s="351">
        <v>91.413150830430538</v>
      </c>
      <c r="AM83" s="351">
        <v>54.379777046714523</v>
      </c>
      <c r="AN83" s="351">
        <v>28.836428207639386</v>
      </c>
    </row>
    <row r="84" spans="1:40">
      <c r="A84" s="64"/>
      <c r="B84" s="338"/>
      <c r="C84" s="338"/>
      <c r="D84" s="338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</row>
    <row r="85" spans="1:40" ht="15.6">
      <c r="A85" s="17" t="str">
        <f>CONCATENATE(A1," (Continued)")</f>
        <v>Basic Table 1  Employment by Industry Sector, Occupation Group and Qualification, 2020-2035, England (Continued)</v>
      </c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</row>
    <row r="86" spans="1:40" ht="12.75" customHeight="1">
      <c r="A86" s="17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</row>
    <row r="87" spans="1:40" ht="12.75" customHeight="1">
      <c r="A87" s="17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</row>
    <row r="88" spans="1:40" ht="26.25" customHeight="1">
      <c r="A88" s="347"/>
      <c r="B88" s="347"/>
      <c r="C88" s="353" t="str">
        <f>B4</f>
        <v>All qualifications</v>
      </c>
      <c r="D88" s="347"/>
      <c r="E88" s="347"/>
      <c r="F88" s="347"/>
      <c r="G88" s="353" t="str">
        <f>F4</f>
        <v>RQF8 Doctorate</v>
      </c>
      <c r="H88" s="347"/>
      <c r="I88" s="347"/>
      <c r="J88" s="347"/>
      <c r="K88" s="353" t="str">
        <f>J4</f>
        <v>RQF7 Other higher degree</v>
      </c>
      <c r="L88" s="347"/>
      <c r="M88" s="347"/>
      <c r="N88" s="374" t="str">
        <f>N4</f>
        <v>RQF6 First degree</v>
      </c>
      <c r="O88" s="374"/>
      <c r="P88" s="374"/>
      <c r="Q88" s="347"/>
      <c r="R88" s="374" t="str">
        <f>R4</f>
        <v>RQF5 Foundation degree;Nursing;Teaching</v>
      </c>
      <c r="S88" s="374"/>
      <c r="T88" s="374"/>
      <c r="U88" s="347"/>
      <c r="V88" s="374" t="str">
        <f>V4</f>
        <v>RQF4 HE below degree level</v>
      </c>
      <c r="W88" s="374"/>
      <c r="X88" s="374"/>
      <c r="Y88" s="347"/>
      <c r="Z88" s="374" t="str">
        <f>Z4</f>
        <v>RQF3 A level &amp; equivalent</v>
      </c>
      <c r="AA88" s="374"/>
      <c r="AB88" s="374"/>
      <c r="AC88" s="347"/>
      <c r="AD88" s="374" t="str">
        <f>AD4</f>
        <v>RQF2 GCSE(A-C) &amp; equivalent</v>
      </c>
      <c r="AE88" s="374"/>
      <c r="AF88" s="374"/>
      <c r="AG88" s="347"/>
      <c r="AH88" s="374" t="str">
        <f>AH4</f>
        <v>RQF1 GCSE(below grade C) &amp; equivalent</v>
      </c>
      <c r="AI88" s="374"/>
      <c r="AJ88" s="374"/>
      <c r="AK88" s="347"/>
      <c r="AL88" s="347"/>
      <c r="AM88" s="353" t="str">
        <f>AL4</f>
        <v>No Qualification</v>
      </c>
      <c r="AN88" s="347"/>
    </row>
    <row r="89" spans="1:40" ht="12.95">
      <c r="A89" s="339"/>
      <c r="B89" s="32">
        <f>B5</f>
        <v>2020</v>
      </c>
      <c r="C89" s="32">
        <f>C5</f>
        <v>2025</v>
      </c>
      <c r="D89" s="32">
        <f>D5</f>
        <v>2035</v>
      </c>
      <c r="E89" s="339"/>
      <c r="F89" s="27">
        <f>B89</f>
        <v>2020</v>
      </c>
      <c r="G89" s="27">
        <f>C89</f>
        <v>2025</v>
      </c>
      <c r="H89" s="27">
        <f>D89</f>
        <v>2035</v>
      </c>
      <c r="I89" s="339"/>
      <c r="J89" s="27">
        <f>B89</f>
        <v>2020</v>
      </c>
      <c r="K89" s="27">
        <f>C89</f>
        <v>2025</v>
      </c>
      <c r="L89" s="27">
        <f>D89</f>
        <v>2035</v>
      </c>
      <c r="M89" s="339"/>
      <c r="N89" s="27">
        <f>B89</f>
        <v>2020</v>
      </c>
      <c r="O89" s="27">
        <f>C89</f>
        <v>2025</v>
      </c>
      <c r="P89" s="27">
        <f>D89</f>
        <v>2035</v>
      </c>
      <c r="Q89" s="339"/>
      <c r="R89" s="27">
        <f>F89</f>
        <v>2020</v>
      </c>
      <c r="S89" s="27">
        <f>G89</f>
        <v>2025</v>
      </c>
      <c r="T89" s="27">
        <f>H89</f>
        <v>2035</v>
      </c>
      <c r="U89" s="339"/>
      <c r="V89" s="27">
        <f>J89</f>
        <v>2020</v>
      </c>
      <c r="W89" s="27">
        <f>K89</f>
        <v>2025</v>
      </c>
      <c r="X89" s="27">
        <f>L89</f>
        <v>2035</v>
      </c>
      <c r="Y89" s="339"/>
      <c r="Z89" s="27">
        <f>N89</f>
        <v>2020</v>
      </c>
      <c r="AA89" s="27">
        <f>O89</f>
        <v>2025</v>
      </c>
      <c r="AB89" s="27">
        <f>P89</f>
        <v>2035</v>
      </c>
      <c r="AC89" s="339"/>
      <c r="AD89" s="27">
        <f>R89</f>
        <v>2020</v>
      </c>
      <c r="AE89" s="27">
        <f>S89</f>
        <v>2025</v>
      </c>
      <c r="AF89" s="27">
        <f>T89</f>
        <v>2035</v>
      </c>
      <c r="AG89" s="339"/>
      <c r="AH89" s="27">
        <f>V89</f>
        <v>2020</v>
      </c>
      <c r="AI89" s="27">
        <f>W89</f>
        <v>2025</v>
      </c>
      <c r="AJ89" s="27">
        <f>X89</f>
        <v>2035</v>
      </c>
      <c r="AK89" s="339"/>
      <c r="AL89" s="27">
        <f>Z89</f>
        <v>2020</v>
      </c>
      <c r="AM89" s="27">
        <f>AA89</f>
        <v>2025</v>
      </c>
      <c r="AN89" s="27">
        <f>AB89</f>
        <v>2035</v>
      </c>
    </row>
    <row r="90" spans="1:40">
      <c r="A90" s="64"/>
      <c r="B90" s="338"/>
      <c r="C90" s="338"/>
      <c r="D90" s="338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</row>
    <row r="91" spans="1:40" ht="12.95">
      <c r="A91" s="1" t="str">
        <f>name!C9</f>
        <v>Non-marketed services</v>
      </c>
      <c r="B91" s="64"/>
      <c r="C91" s="64"/>
      <c r="D91" s="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164"/>
      <c r="AG91" s="164"/>
      <c r="AH91" s="164"/>
      <c r="AI91" s="164"/>
      <c r="AJ91" s="164"/>
      <c r="AK91" s="164"/>
      <c r="AL91" s="164"/>
      <c r="AM91" s="164"/>
      <c r="AN91" s="164"/>
    </row>
    <row r="92" spans="1:40">
      <c r="A92" s="64" t="str">
        <f t="shared" ref="A92:A101" si="80">A8</f>
        <v>All occupations</v>
      </c>
      <c r="B92" s="348">
        <f>SUM(B93:B101)</f>
        <v>7286.255000004754</v>
      </c>
      <c r="C92" s="348">
        <f>SUM(C93:C101)</f>
        <v>7562.1109998010324</v>
      </c>
      <c r="D92" s="348">
        <f>SUM(D93:D101)</f>
        <v>7931.3149997771034</v>
      </c>
      <c r="E92" s="349"/>
      <c r="F92" s="348">
        <f>SUM(F93:F101)</f>
        <v>251.44396835466409</v>
      </c>
      <c r="G92" s="348">
        <f>SUM(G93:G101)</f>
        <v>311.2150811749799</v>
      </c>
      <c r="H92" s="348">
        <f>SUM(H93:H101)</f>
        <v>411.94688717955052</v>
      </c>
      <c r="I92" s="349"/>
      <c r="J92" s="348">
        <f>SUM(J93:J101)</f>
        <v>1442.9980543500851</v>
      </c>
      <c r="K92" s="348">
        <f>SUM(K93:K101)</f>
        <v>1749.768878380251</v>
      </c>
      <c r="L92" s="348">
        <f>SUM(L93:L101)</f>
        <v>2247.4926298802447</v>
      </c>
      <c r="M92" s="349"/>
      <c r="N92" s="348">
        <f>SUM(N93:N101)</f>
        <v>1801.9316172210022</v>
      </c>
      <c r="O92" s="348">
        <f>SUM(O93:O101)</f>
        <v>1914.2841203755938</v>
      </c>
      <c r="P92" s="348">
        <f>SUM(P93:P101)</f>
        <v>2097.296121868384</v>
      </c>
      <c r="Q92" s="349"/>
      <c r="R92" s="348">
        <f>SUM(R93:R101)</f>
        <v>673.03326534837356</v>
      </c>
      <c r="S92" s="348">
        <f>SUM(S93:S101)</f>
        <v>587.7816247403739</v>
      </c>
      <c r="T92" s="348">
        <f>SUM(T93:T101)</f>
        <v>518.17401840410093</v>
      </c>
      <c r="U92" s="349"/>
      <c r="V92" s="348">
        <f>SUM(V93:V101)</f>
        <v>329.01541258980052</v>
      </c>
      <c r="W92" s="348">
        <f>SUM(W93:W101)</f>
        <v>334.48003683619163</v>
      </c>
      <c r="X92" s="348">
        <f>SUM(X93:X101)</f>
        <v>355.85908478196291</v>
      </c>
      <c r="Y92" s="349"/>
      <c r="Z92" s="348">
        <f>SUM(Z93:Z101)</f>
        <v>1369.5755061482462</v>
      </c>
      <c r="AA92" s="348">
        <f>SUM(AA93:AA101)</f>
        <v>1433.4881018188589</v>
      </c>
      <c r="AB92" s="348">
        <f>SUM(AB93:AB101)</f>
        <v>1471.8615714833584</v>
      </c>
      <c r="AC92" s="349"/>
      <c r="AD92" s="348">
        <f>SUM(AD93:AD101)</f>
        <v>983.61736689340523</v>
      </c>
      <c r="AE92" s="348">
        <f>SUM(AE93:AE101)</f>
        <v>907.75568331514842</v>
      </c>
      <c r="AF92" s="348">
        <f>SUM(AF93:AF101)</f>
        <v>636.11580119041969</v>
      </c>
      <c r="AG92" s="349"/>
      <c r="AH92" s="348">
        <f>SUM(AH93:AH101)</f>
        <v>365.80657821615296</v>
      </c>
      <c r="AI92" s="348">
        <f>SUM(AI93:AI101)</f>
        <v>266.84610034913936</v>
      </c>
      <c r="AJ92" s="348">
        <f>SUM(AJ93:AJ101)</f>
        <v>138.94090259296138</v>
      </c>
      <c r="AK92" s="349"/>
      <c r="AL92" s="348">
        <f>SUM(AL93:AL101)</f>
        <v>68.833230883023191</v>
      </c>
      <c r="AM92" s="348">
        <f>SUM(AM93:AM101)</f>
        <v>56.491372810495754</v>
      </c>
      <c r="AN92" s="348">
        <f>SUM(AN93:AN101)</f>
        <v>53.62798239612065</v>
      </c>
    </row>
    <row r="93" spans="1:40">
      <c r="A93" s="64" t="str">
        <f t="shared" si="80"/>
        <v>Managers, directors and senior officials</v>
      </c>
      <c r="B93" s="348">
        <f>SUM(F93,J93,N93,R93,V93,Z93,AD93,AH93,AL93)</f>
        <v>340.99854935980318</v>
      </c>
      <c r="C93" s="348">
        <f t="shared" ref="C93:D93" si="81">SUM(G93,K93,O93,S93,W93,AA93,AE93,AI93,AM93)</f>
        <v>329.72259226444925</v>
      </c>
      <c r="D93" s="348">
        <f t="shared" si="81"/>
        <v>362.4529226521193</v>
      </c>
      <c r="E93" s="349"/>
      <c r="F93" s="349">
        <v>7.1875157631902553</v>
      </c>
      <c r="G93" s="349">
        <v>8.931509639521602</v>
      </c>
      <c r="H93" s="349">
        <v>13.145472299334994</v>
      </c>
      <c r="I93" s="349"/>
      <c r="J93" s="349">
        <v>72.389427948821165</v>
      </c>
      <c r="K93" s="349">
        <v>81.777861374288307</v>
      </c>
      <c r="L93" s="349">
        <v>104.57336700414135</v>
      </c>
      <c r="M93" s="349"/>
      <c r="N93" s="349">
        <v>102.70731832084702</v>
      </c>
      <c r="O93" s="349">
        <v>99.816317699238951</v>
      </c>
      <c r="P93" s="349">
        <v>110.97208605222232</v>
      </c>
      <c r="Q93" s="349"/>
      <c r="R93" s="349">
        <v>58.00734684641516</v>
      </c>
      <c r="S93" s="349">
        <v>53.039940303049548</v>
      </c>
      <c r="T93" s="349">
        <v>56.318620321461687</v>
      </c>
      <c r="U93" s="349"/>
      <c r="V93" s="349">
        <v>14.503314261477479</v>
      </c>
      <c r="W93" s="349">
        <v>12.148582379936402</v>
      </c>
      <c r="X93" s="349">
        <v>11.69522286160394</v>
      </c>
      <c r="Y93" s="349"/>
      <c r="Z93" s="349">
        <v>49.842215718275931</v>
      </c>
      <c r="AA93" s="349">
        <v>42.837026232528686</v>
      </c>
      <c r="AB93" s="349">
        <v>40.081656642571787</v>
      </c>
      <c r="AC93" s="349"/>
      <c r="AD93" s="349">
        <v>22.486614515253898</v>
      </c>
      <c r="AE93" s="349">
        <v>18.721865739143372</v>
      </c>
      <c r="AF93" s="349">
        <v>14.914603596806606</v>
      </c>
      <c r="AG93" s="349"/>
      <c r="AH93" s="349">
        <v>8.6453535387506282</v>
      </c>
      <c r="AI93" s="349">
        <v>6.7304008009663665</v>
      </c>
      <c r="AJ93" s="349">
        <v>4.4411233423650671</v>
      </c>
      <c r="AK93" s="349"/>
      <c r="AL93" s="349">
        <v>5.2294424467716425</v>
      </c>
      <c r="AM93" s="349">
        <v>5.7190880957759944</v>
      </c>
      <c r="AN93" s="349">
        <v>6.3107705316115474</v>
      </c>
    </row>
    <row r="94" spans="1:40">
      <c r="A94" s="64" t="str">
        <f t="shared" si="80"/>
        <v>Professional occupations</v>
      </c>
      <c r="B94" s="348">
        <f t="shared" ref="B94:B101" si="82">SUM(F94,J94,N94,R94,V94,Z94,AD94,AH94,AL94)</f>
        <v>2904.2197518064613</v>
      </c>
      <c r="C94" s="348">
        <f t="shared" ref="C94:C101" si="83">SUM(G94,K94,O94,S94,W94,AA94,AE94,AI94,AM94)</f>
        <v>2959.2974001471289</v>
      </c>
      <c r="D94" s="348">
        <f t="shared" ref="D94:D101" si="84">SUM(H94,L94,P94,T94,X94,AB94,AF94,AJ94,AN94)</f>
        <v>3222.4926480876811</v>
      </c>
      <c r="E94" s="348"/>
      <c r="F94" s="349">
        <v>225.84276653401932</v>
      </c>
      <c r="G94" s="349">
        <v>275.17525019117102</v>
      </c>
      <c r="H94" s="349">
        <v>356.31614690900125</v>
      </c>
      <c r="I94" s="349"/>
      <c r="J94" s="349">
        <v>1078.141366719851</v>
      </c>
      <c r="K94" s="349">
        <v>1244.5284397189691</v>
      </c>
      <c r="L94" s="349">
        <v>1526.2437110419619</v>
      </c>
      <c r="M94" s="349"/>
      <c r="N94" s="349">
        <v>982.14948675468179</v>
      </c>
      <c r="O94" s="349">
        <v>932.24418398058037</v>
      </c>
      <c r="P94" s="349">
        <v>927.60201734864597</v>
      </c>
      <c r="Q94" s="349"/>
      <c r="R94" s="349">
        <v>194.34991846700385</v>
      </c>
      <c r="S94" s="349">
        <v>103.9710991621393</v>
      </c>
      <c r="T94" s="349">
        <v>49.920580622578633</v>
      </c>
      <c r="U94" s="349"/>
      <c r="V94" s="349">
        <v>62.33415715206241</v>
      </c>
      <c r="W94" s="349">
        <v>61.739664734034285</v>
      </c>
      <c r="X94" s="349">
        <v>63.936261389233493</v>
      </c>
      <c r="Y94" s="349"/>
      <c r="Z94" s="349">
        <v>176.09833523508195</v>
      </c>
      <c r="AA94" s="349">
        <v>172.28395418527549</v>
      </c>
      <c r="AB94" s="349">
        <v>175.69342397094314</v>
      </c>
      <c r="AC94" s="349"/>
      <c r="AD94" s="349">
        <v>108.36899880404074</v>
      </c>
      <c r="AE94" s="349">
        <v>97.415536057766019</v>
      </c>
      <c r="AF94" s="349">
        <v>72.334842335258543</v>
      </c>
      <c r="AG94" s="349"/>
      <c r="AH94" s="349">
        <v>67.76992428964698</v>
      </c>
      <c r="AI94" s="349">
        <v>61.709600210972788</v>
      </c>
      <c r="AJ94" s="349">
        <v>39.453206203873314</v>
      </c>
      <c r="AK94" s="349"/>
      <c r="AL94" s="349">
        <v>9.164797850073672</v>
      </c>
      <c r="AM94" s="349">
        <v>10.229671906220442</v>
      </c>
      <c r="AN94" s="349">
        <v>10.992458266184693</v>
      </c>
    </row>
    <row r="95" spans="1:40">
      <c r="A95" s="64" t="str">
        <f t="shared" si="80"/>
        <v>Associate professional occupations</v>
      </c>
      <c r="B95" s="348">
        <f t="shared" si="82"/>
        <v>1069.95239672453</v>
      </c>
      <c r="C95" s="348">
        <f t="shared" si="83"/>
        <v>1302.0081256492281</v>
      </c>
      <c r="D95" s="348">
        <f t="shared" si="84"/>
        <v>1453.0433889203016</v>
      </c>
      <c r="E95" s="348"/>
      <c r="F95" s="349">
        <v>9.8840264573003012</v>
      </c>
      <c r="G95" s="349">
        <v>14.791344966302521</v>
      </c>
      <c r="H95" s="349">
        <v>24.280891969779496</v>
      </c>
      <c r="I95" s="349"/>
      <c r="J95" s="349">
        <v>148.58028005342842</v>
      </c>
      <c r="K95" s="349">
        <v>220.61893250667612</v>
      </c>
      <c r="L95" s="349">
        <v>325.96158451653309</v>
      </c>
      <c r="M95" s="349"/>
      <c r="N95" s="349">
        <v>318.46450047072454</v>
      </c>
      <c r="O95" s="349">
        <v>420.43704746291831</v>
      </c>
      <c r="P95" s="349">
        <v>516.80161990294243</v>
      </c>
      <c r="Q95" s="349"/>
      <c r="R95" s="349">
        <v>135.6059559366372</v>
      </c>
      <c r="S95" s="349">
        <v>139.26911316945964</v>
      </c>
      <c r="T95" s="349">
        <v>105.20630073477589</v>
      </c>
      <c r="U95" s="349"/>
      <c r="V95" s="349">
        <v>60.274608678170985</v>
      </c>
      <c r="W95" s="349">
        <v>62.846415375831512</v>
      </c>
      <c r="X95" s="349">
        <v>68.625013970339978</v>
      </c>
      <c r="Y95" s="349"/>
      <c r="Z95" s="349">
        <v>196.13564953594138</v>
      </c>
      <c r="AA95" s="349">
        <v>236.44848447574401</v>
      </c>
      <c r="AB95" s="349">
        <v>256.66324767512555</v>
      </c>
      <c r="AC95" s="349"/>
      <c r="AD95" s="349">
        <v>131.60218375500222</v>
      </c>
      <c r="AE95" s="349">
        <v>143.33364494100724</v>
      </c>
      <c r="AF95" s="349">
        <v>108.40376068238309</v>
      </c>
      <c r="AG95" s="349"/>
      <c r="AH95" s="349">
        <v>61.105000051422969</v>
      </c>
      <c r="AI95" s="349">
        <v>56.124472400795725</v>
      </c>
      <c r="AJ95" s="349">
        <v>36.923401339863702</v>
      </c>
      <c r="AK95" s="349"/>
      <c r="AL95" s="349">
        <v>8.3001917859018342</v>
      </c>
      <c r="AM95" s="349">
        <v>8.1386703504931148</v>
      </c>
      <c r="AN95" s="349">
        <v>10.177568128558166</v>
      </c>
    </row>
    <row r="96" spans="1:40">
      <c r="A96" s="64" t="str">
        <f t="shared" si="80"/>
        <v>Administrative and secretarial occupations</v>
      </c>
      <c r="B96" s="348">
        <f t="shared" si="82"/>
        <v>710.10355276756297</v>
      </c>
      <c r="C96" s="348">
        <f t="shared" si="83"/>
        <v>686.17768736462313</v>
      </c>
      <c r="D96" s="348">
        <f t="shared" si="84"/>
        <v>535.92495579269109</v>
      </c>
      <c r="E96" s="348"/>
      <c r="F96" s="349">
        <v>4.9938861068998248</v>
      </c>
      <c r="G96" s="349">
        <v>6.9396491336475794</v>
      </c>
      <c r="H96" s="349">
        <v>10.026698640726728</v>
      </c>
      <c r="I96" s="349"/>
      <c r="J96" s="349">
        <v>53.132270426273813</v>
      </c>
      <c r="K96" s="349">
        <v>72.685902445805837</v>
      </c>
      <c r="L96" s="349">
        <v>85.816198331652004</v>
      </c>
      <c r="M96" s="349"/>
      <c r="N96" s="349">
        <v>137.06930338624906</v>
      </c>
      <c r="O96" s="349">
        <v>158.34726648920019</v>
      </c>
      <c r="P96" s="349">
        <v>171.28413903035582</v>
      </c>
      <c r="Q96" s="349"/>
      <c r="R96" s="349">
        <v>79.69997137644944</v>
      </c>
      <c r="S96" s="349">
        <v>90.180985215914021</v>
      </c>
      <c r="T96" s="349">
        <v>96.549128095687806</v>
      </c>
      <c r="U96" s="349"/>
      <c r="V96" s="349">
        <v>50.73698138425371</v>
      </c>
      <c r="W96" s="349">
        <v>51.927806178696343</v>
      </c>
      <c r="X96" s="349">
        <v>49.267352433511938</v>
      </c>
      <c r="Y96" s="349"/>
      <c r="Z96" s="349">
        <v>157.75844627866081</v>
      </c>
      <c r="AA96" s="349">
        <v>158.36111304693262</v>
      </c>
      <c r="AB96" s="349">
        <v>93.509117723908957</v>
      </c>
      <c r="AC96" s="349"/>
      <c r="AD96" s="349">
        <v>137.78804410370941</v>
      </c>
      <c r="AE96" s="349">
        <v>104.52224571011953</v>
      </c>
      <c r="AF96" s="349">
        <v>25.373540167010674</v>
      </c>
      <c r="AG96" s="349"/>
      <c r="AH96" s="349">
        <v>79.201480948351957</v>
      </c>
      <c r="AI96" s="349">
        <v>38.408545954741733</v>
      </c>
      <c r="AJ96" s="349">
        <v>2.9800607559787267</v>
      </c>
      <c r="AK96" s="349"/>
      <c r="AL96" s="349">
        <v>9.7231687567149017</v>
      </c>
      <c r="AM96" s="349">
        <v>4.8041731895652005</v>
      </c>
      <c r="AN96" s="349">
        <v>1.1187206138584431</v>
      </c>
    </row>
    <row r="97" spans="1:40">
      <c r="A97" s="64" t="str">
        <f t="shared" si="80"/>
        <v>Skilled trades occupations</v>
      </c>
      <c r="B97" s="348">
        <f t="shared" si="82"/>
        <v>74.155796431524763</v>
      </c>
      <c r="C97" s="348">
        <f t="shared" si="83"/>
        <v>71.209835723795237</v>
      </c>
      <c r="D97" s="348">
        <f t="shared" si="84"/>
        <v>61.839827937704463</v>
      </c>
      <c r="E97" s="349"/>
      <c r="F97" s="349">
        <v>0.69473003232496056</v>
      </c>
      <c r="G97" s="349">
        <v>0.9645933222878057</v>
      </c>
      <c r="H97" s="349">
        <v>1.3040971734776208</v>
      </c>
      <c r="I97" s="349"/>
      <c r="J97" s="349">
        <v>2.0985908512379816</v>
      </c>
      <c r="K97" s="349">
        <v>3.0486792397045686</v>
      </c>
      <c r="L97" s="349">
        <v>4.575080832994499</v>
      </c>
      <c r="M97" s="349"/>
      <c r="N97" s="349">
        <v>8.963156505314366</v>
      </c>
      <c r="O97" s="349">
        <v>10.840645124858929</v>
      </c>
      <c r="P97" s="349">
        <v>12.403660326395693</v>
      </c>
      <c r="Q97" s="349"/>
      <c r="R97" s="349">
        <v>4.1115406087559467</v>
      </c>
      <c r="S97" s="349">
        <v>4.4110876577495146</v>
      </c>
      <c r="T97" s="349">
        <v>5.1734116221321287</v>
      </c>
      <c r="U97" s="349"/>
      <c r="V97" s="349">
        <v>3.4562972368638403</v>
      </c>
      <c r="W97" s="349">
        <v>3.7493123088093316</v>
      </c>
      <c r="X97" s="349">
        <v>4.4572868464289943</v>
      </c>
      <c r="Y97" s="349"/>
      <c r="Z97" s="349">
        <v>16.74911233081103</v>
      </c>
      <c r="AA97" s="349">
        <v>14.782332246964772</v>
      </c>
      <c r="AB97" s="349">
        <v>11.61631526409365</v>
      </c>
      <c r="AC97" s="349"/>
      <c r="AD97" s="349">
        <v>22.976532146345427</v>
      </c>
      <c r="AE97" s="349">
        <v>20.227140645526813</v>
      </c>
      <c r="AF97" s="349">
        <v>11.77022576822438</v>
      </c>
      <c r="AG97" s="349"/>
      <c r="AH97" s="349">
        <v>11.860340020077052</v>
      </c>
      <c r="AI97" s="349">
        <v>10.422922469312507</v>
      </c>
      <c r="AJ97" s="349">
        <v>8.6582759782764782</v>
      </c>
      <c r="AK97" s="349"/>
      <c r="AL97" s="349">
        <v>3.2454966997941592</v>
      </c>
      <c r="AM97" s="349">
        <v>2.7631227085809975</v>
      </c>
      <c r="AN97" s="349">
        <v>1.8814741256810243</v>
      </c>
    </row>
    <row r="98" spans="1:40">
      <c r="A98" s="64" t="str">
        <f t="shared" si="80"/>
        <v>Caring, leisure and other service occupations</v>
      </c>
      <c r="B98" s="348">
        <f t="shared" si="82"/>
        <v>1790.2771045892391</v>
      </c>
      <c r="C98" s="348">
        <f t="shared" si="83"/>
        <v>1851.2344630884152</v>
      </c>
      <c r="D98" s="348">
        <f t="shared" si="84"/>
        <v>1980.9433163316385</v>
      </c>
      <c r="E98" s="349"/>
      <c r="F98" s="349">
        <v>1.4286467867431834</v>
      </c>
      <c r="G98" s="349">
        <v>2.2309722940723198</v>
      </c>
      <c r="H98" s="349">
        <v>3.6755945900588101</v>
      </c>
      <c r="I98" s="349"/>
      <c r="J98" s="349">
        <v>74.057877528812966</v>
      </c>
      <c r="K98" s="349">
        <v>107.4943045366374</v>
      </c>
      <c r="L98" s="349">
        <v>173.78032218690362</v>
      </c>
      <c r="M98" s="349"/>
      <c r="N98" s="349">
        <v>214.16647129814493</v>
      </c>
      <c r="O98" s="349">
        <v>249.57265990770216</v>
      </c>
      <c r="P98" s="349">
        <v>308.21424747986413</v>
      </c>
      <c r="Q98" s="349"/>
      <c r="R98" s="349">
        <v>176.38856963223913</v>
      </c>
      <c r="S98" s="349">
        <v>169.153737669197</v>
      </c>
      <c r="T98" s="349">
        <v>170.77421784797752</v>
      </c>
      <c r="U98" s="349"/>
      <c r="V98" s="349">
        <v>114.92407369347207</v>
      </c>
      <c r="W98" s="349">
        <v>117.02986732864132</v>
      </c>
      <c r="X98" s="349">
        <v>128.75679885042803</v>
      </c>
      <c r="Y98" s="349"/>
      <c r="Z98" s="349">
        <v>688.90558029258352</v>
      </c>
      <c r="AA98" s="349">
        <v>732.49633866764736</v>
      </c>
      <c r="AB98" s="349">
        <v>826.64584133859182</v>
      </c>
      <c r="AC98" s="349"/>
      <c r="AD98" s="349">
        <v>454.50679190353293</v>
      </c>
      <c r="AE98" s="349">
        <v>431.32328040408822</v>
      </c>
      <c r="AF98" s="349">
        <v>338.79368767897336</v>
      </c>
      <c r="AG98" s="349"/>
      <c r="AH98" s="349">
        <v>56.329597513253979</v>
      </c>
      <c r="AI98" s="349">
        <v>33.471769457923017</v>
      </c>
      <c r="AJ98" s="349">
        <v>22.721942263462356</v>
      </c>
      <c r="AK98" s="349"/>
      <c r="AL98" s="349">
        <v>9.5694959404563509</v>
      </c>
      <c r="AM98" s="349">
        <v>8.4615328225065465</v>
      </c>
      <c r="AN98" s="349">
        <v>7.5806640953788849</v>
      </c>
    </row>
    <row r="99" spans="1:40">
      <c r="A99" s="64" t="str">
        <f t="shared" si="80"/>
        <v>Sales and customer service occupations</v>
      </c>
      <c r="B99" s="348">
        <f t="shared" si="82"/>
        <v>85.589911680241642</v>
      </c>
      <c r="C99" s="348">
        <f t="shared" si="83"/>
        <v>92.725760061007719</v>
      </c>
      <c r="D99" s="348">
        <f>SUM(H99,L99,P99,T99,X99,AB99,AF99,AJ99,AN99)</f>
        <v>92.733158013604594</v>
      </c>
      <c r="E99" s="349"/>
      <c r="F99" s="349">
        <v>0.52324950433396489</v>
      </c>
      <c r="G99" s="349">
        <v>0.78778251112411068</v>
      </c>
      <c r="H99" s="349">
        <v>1.0850718385757874</v>
      </c>
      <c r="I99" s="349"/>
      <c r="J99" s="349">
        <v>9.3077754011771034</v>
      </c>
      <c r="K99" s="349">
        <v>12.550931945312804</v>
      </c>
      <c r="L99" s="349">
        <v>16.197988675881646</v>
      </c>
      <c r="M99" s="349"/>
      <c r="N99" s="349">
        <v>20.227534260125257</v>
      </c>
      <c r="O99" s="349">
        <v>22.967562964585227</v>
      </c>
      <c r="P99" s="349">
        <v>25.245195914592959</v>
      </c>
      <c r="Q99" s="349"/>
      <c r="R99" s="349">
        <v>11.116950100190182</v>
      </c>
      <c r="S99" s="349">
        <v>10.258719401531907</v>
      </c>
      <c r="T99" s="349">
        <v>9.8789694515934166</v>
      </c>
      <c r="U99" s="349"/>
      <c r="V99" s="349">
        <v>7.0373570727295727</v>
      </c>
      <c r="W99" s="349">
        <v>8.0089212396047031</v>
      </c>
      <c r="X99" s="349">
        <v>8.7590163399573093</v>
      </c>
      <c r="Y99" s="349"/>
      <c r="Z99" s="349">
        <v>17.474099419888514</v>
      </c>
      <c r="AA99" s="349">
        <v>18.56343293759161</v>
      </c>
      <c r="AB99" s="349">
        <v>18.299808223951715</v>
      </c>
      <c r="AC99" s="349"/>
      <c r="AD99" s="349">
        <v>13.466698254528819</v>
      </c>
      <c r="AE99" s="349">
        <v>12.95094305910172</v>
      </c>
      <c r="AF99" s="349">
        <v>7.8072227793658859</v>
      </c>
      <c r="AG99" s="349"/>
      <c r="AH99" s="349">
        <v>4.5959366466346845</v>
      </c>
      <c r="AI99" s="349">
        <v>4.3161191316015426</v>
      </c>
      <c r="AJ99" s="349">
        <v>2.5450612799930283</v>
      </c>
      <c r="AK99" s="349"/>
      <c r="AL99" s="349">
        <v>1.8403110206335433</v>
      </c>
      <c r="AM99" s="349">
        <v>2.3213468705540885</v>
      </c>
      <c r="AN99" s="349">
        <v>2.914823509692841</v>
      </c>
    </row>
    <row r="100" spans="1:40">
      <c r="A100" s="64" t="str">
        <f t="shared" si="80"/>
        <v>Process, plant and machine operatives</v>
      </c>
      <c r="B100" s="348">
        <f t="shared" si="82"/>
        <v>79.189682436322542</v>
      </c>
      <c r="C100" s="348">
        <f t="shared" si="83"/>
        <v>84.922961660398272</v>
      </c>
      <c r="D100" s="348">
        <f t="shared" si="84"/>
        <v>77.965414157507766</v>
      </c>
      <c r="E100" s="349"/>
      <c r="F100" s="349">
        <v>0.68357444364749764</v>
      </c>
      <c r="G100" s="349">
        <v>1.1560080520401053</v>
      </c>
      <c r="H100" s="349">
        <v>1.8144650218836866</v>
      </c>
      <c r="I100" s="349"/>
      <c r="J100" s="349">
        <v>1.9783388049176178</v>
      </c>
      <c r="K100" s="349">
        <v>3.3722981012910651</v>
      </c>
      <c r="L100" s="349">
        <v>5.3409503003896068</v>
      </c>
      <c r="M100" s="349"/>
      <c r="N100" s="349">
        <v>7.3262873329139664</v>
      </c>
      <c r="O100" s="349">
        <v>8.9566220529735929</v>
      </c>
      <c r="P100" s="349">
        <v>10.918115293013177</v>
      </c>
      <c r="Q100" s="349"/>
      <c r="R100" s="349">
        <v>3.7703812363151825</v>
      </c>
      <c r="S100" s="349">
        <v>5.1080602263971651</v>
      </c>
      <c r="T100" s="349">
        <v>6.7691507203712797</v>
      </c>
      <c r="U100" s="349"/>
      <c r="V100" s="349">
        <v>8.5308605075199075</v>
      </c>
      <c r="W100" s="349">
        <v>9.6794308691820117</v>
      </c>
      <c r="X100" s="349">
        <v>12.018269530835985</v>
      </c>
      <c r="Y100" s="349"/>
      <c r="Z100" s="349">
        <v>19.69411826619919</v>
      </c>
      <c r="AA100" s="349">
        <v>20.590440796451553</v>
      </c>
      <c r="AB100" s="349">
        <v>20.30936311959319</v>
      </c>
      <c r="AC100" s="349"/>
      <c r="AD100" s="349">
        <v>14.577950999314163</v>
      </c>
      <c r="AE100" s="349">
        <v>14.785355794974125</v>
      </c>
      <c r="AF100" s="349">
        <v>7.7110688110160757</v>
      </c>
      <c r="AG100" s="349"/>
      <c r="AH100" s="349">
        <v>18.567966576023387</v>
      </c>
      <c r="AI100" s="349">
        <v>17.246221465973786</v>
      </c>
      <c r="AJ100" s="349">
        <v>8.7930494028809392</v>
      </c>
      <c r="AK100" s="349"/>
      <c r="AL100" s="349">
        <v>4.0602042694716376</v>
      </c>
      <c r="AM100" s="349">
        <v>4.0285243011148735</v>
      </c>
      <c r="AN100" s="349">
        <v>4.2909819575238259</v>
      </c>
    </row>
    <row r="101" spans="1:40">
      <c r="A101" s="339" t="str">
        <f t="shared" si="80"/>
        <v>Elementary occupations</v>
      </c>
      <c r="B101" s="351">
        <f t="shared" si="82"/>
        <v>231.76825420906698</v>
      </c>
      <c r="C101" s="351">
        <f t="shared" si="83"/>
        <v>184.81217384198658</v>
      </c>
      <c r="D101" s="351">
        <f t="shared" si="84"/>
        <v>143.9193678838547</v>
      </c>
      <c r="E101" s="351"/>
      <c r="F101" s="351">
        <v>0.20557272620480446</v>
      </c>
      <c r="G101" s="351">
        <v>0.23797106481279887</v>
      </c>
      <c r="H101" s="351">
        <v>0.29844873671215588</v>
      </c>
      <c r="I101" s="351"/>
      <c r="J101" s="351">
        <v>3.3121266155648117</v>
      </c>
      <c r="K101" s="351">
        <v>3.6915285115655805</v>
      </c>
      <c r="L101" s="351">
        <v>5.0034269897867265</v>
      </c>
      <c r="M101" s="351"/>
      <c r="N101" s="351">
        <v>10.857558892001169</v>
      </c>
      <c r="O101" s="351">
        <v>11.10181469353617</v>
      </c>
      <c r="P101" s="351">
        <v>13.855040520351269</v>
      </c>
      <c r="Q101" s="351"/>
      <c r="R101" s="351">
        <v>9.9826311443674332</v>
      </c>
      <c r="S101" s="351">
        <v>12.388881934935785</v>
      </c>
      <c r="T101" s="351">
        <v>17.583638987522615</v>
      </c>
      <c r="U101" s="351"/>
      <c r="V101" s="351">
        <v>7.2177626032506108</v>
      </c>
      <c r="W101" s="351">
        <v>7.3500364214557683</v>
      </c>
      <c r="X101" s="351">
        <v>8.3438625596231653</v>
      </c>
      <c r="Y101" s="351"/>
      <c r="Z101" s="351">
        <v>46.917949070803765</v>
      </c>
      <c r="AA101" s="351">
        <v>37.124979229722769</v>
      </c>
      <c r="AB101" s="351">
        <v>29.042797524578738</v>
      </c>
      <c r="AC101" s="351"/>
      <c r="AD101" s="351">
        <v>77.843552411677607</v>
      </c>
      <c r="AE101" s="351">
        <v>64.47567096342128</v>
      </c>
      <c r="AF101" s="351">
        <v>49.00684937138108</v>
      </c>
      <c r="AG101" s="351"/>
      <c r="AH101" s="351">
        <v>57.730978631991334</v>
      </c>
      <c r="AI101" s="351">
        <v>38.416048456851904</v>
      </c>
      <c r="AJ101" s="351">
        <v>12.424782026267762</v>
      </c>
      <c r="AK101" s="351"/>
      <c r="AL101" s="351">
        <v>17.700122113205442</v>
      </c>
      <c r="AM101" s="351">
        <v>10.025242565684499</v>
      </c>
      <c r="AN101" s="351">
        <v>8.3605211676312248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6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>
      <c r="A1" s="373" t="str">
        <f>CONCATENATE("Basic Table 2  Employment Change by Occupation and Replacement Demand, ",name!F4,", ",B$6,"-",F$6,", ",Info!B5)</f>
        <v>Basic Table 2  Employment Change by Occupation and Replacement Demand, RQF8 Doctorate, 2015-2035, England</v>
      </c>
      <c r="B1" s="373"/>
      <c r="C1" s="373"/>
      <c r="D1" s="373"/>
      <c r="E1" s="373"/>
      <c r="F1" s="373"/>
      <c r="G1" s="373"/>
      <c r="H1" s="373"/>
      <c r="I1" s="373"/>
      <c r="J1" s="373"/>
      <c r="L1" s="373" t="str">
        <f>CONCATENATE("Basic Table 2.1  Employment Change by Occupation and Replacement Demand, ",name!F5,", ",M$6,"-",Q$6,", ",Info!B5)</f>
        <v>Basic Table 2.1  Employment Change by Occupation and Replacement Demand, RQF7 Other higher degree, 2015-2035, England</v>
      </c>
      <c r="M1" s="373"/>
      <c r="N1" s="373"/>
      <c r="O1" s="373"/>
      <c r="P1" s="373"/>
      <c r="Q1" s="373"/>
      <c r="R1" s="373"/>
      <c r="S1" s="373"/>
      <c r="T1" s="373"/>
      <c r="U1" s="373"/>
      <c r="W1" s="373" t="str">
        <f>CONCATENATE("Basic Table 2.2  Employment Change by Occupation and Replacement Demand, ",name!F6,", ",X$6,"-",AB$6,", ",Info!B5)</f>
        <v>Basic Table 2.2  Employment Change by Occupation and Replacement Demand, RQF6 First degree, 2015-2035, England</v>
      </c>
      <c r="X1" s="373"/>
      <c r="Y1" s="373"/>
      <c r="Z1" s="373"/>
      <c r="AA1" s="373"/>
      <c r="AB1" s="373"/>
      <c r="AC1" s="373"/>
      <c r="AD1" s="373"/>
      <c r="AE1" s="373"/>
      <c r="AF1" s="373"/>
      <c r="AH1" s="373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England</v>
      </c>
      <c r="AI1" s="373"/>
      <c r="AJ1" s="373"/>
      <c r="AK1" s="373"/>
      <c r="AL1" s="373"/>
      <c r="AM1" s="373"/>
      <c r="AN1" s="373"/>
      <c r="AO1" s="373"/>
      <c r="AP1" s="373"/>
      <c r="AQ1" s="373"/>
      <c r="AS1" s="373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England</v>
      </c>
      <c r="AT1" s="373"/>
      <c r="AU1" s="373"/>
      <c r="AV1" s="373"/>
      <c r="AW1" s="373"/>
      <c r="AX1" s="373"/>
      <c r="AY1" s="373"/>
      <c r="AZ1" s="373"/>
      <c r="BA1" s="373"/>
      <c r="BB1" s="373"/>
      <c r="BD1" s="373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England</v>
      </c>
      <c r="BE1" s="373"/>
      <c r="BF1" s="373"/>
      <c r="BG1" s="373"/>
      <c r="BH1" s="373"/>
      <c r="BI1" s="373"/>
      <c r="BJ1" s="373"/>
      <c r="BK1" s="373"/>
      <c r="BL1" s="373"/>
      <c r="BM1" s="373"/>
      <c r="BO1" s="373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England</v>
      </c>
      <c r="BP1" s="373"/>
      <c r="BQ1" s="373"/>
      <c r="BR1" s="373"/>
      <c r="BS1" s="373"/>
      <c r="BT1" s="373"/>
      <c r="BU1" s="373"/>
      <c r="BV1" s="373"/>
      <c r="BW1" s="373"/>
      <c r="BX1" s="373"/>
      <c r="BZ1" s="373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England</v>
      </c>
      <c r="CA1" s="373"/>
      <c r="CB1" s="373"/>
      <c r="CC1" s="373"/>
      <c r="CD1" s="373"/>
      <c r="CE1" s="373"/>
      <c r="CF1" s="373"/>
      <c r="CG1" s="373"/>
      <c r="CH1" s="373"/>
      <c r="CI1" s="373"/>
      <c r="CK1" s="373" t="str">
        <f>CONCATENATE("Basic Table 2.8  Employment Change by Occupation and Replacement Demand, ",name!F12,", ",CL$6,"-",CP$6,", ",Info!B5)</f>
        <v>Basic Table 2.8  Employment Change by Occupation and Replacement Demand, No Qualification, 2015-2035, England</v>
      </c>
      <c r="CL1" s="373"/>
      <c r="CM1" s="373"/>
      <c r="CN1" s="373"/>
      <c r="CO1" s="373"/>
      <c r="CP1" s="373"/>
      <c r="CQ1" s="373"/>
      <c r="CR1" s="373"/>
      <c r="CS1" s="373"/>
      <c r="CT1" s="373"/>
    </row>
    <row r="2" spans="1:98" ht="12.75" customHeight="1">
      <c r="A2" s="158" t="s">
        <v>207</v>
      </c>
      <c r="L2" s="67"/>
      <c r="W2" s="67"/>
      <c r="AH2" s="67"/>
      <c r="AS2" s="67"/>
      <c r="BD2" s="67"/>
      <c r="BO2" s="67"/>
      <c r="BZ2" s="67"/>
      <c r="CK2" s="67"/>
    </row>
    <row r="3" spans="1:98">
      <c r="F3" s="15" t="s">
        <v>114</v>
      </c>
      <c r="J3" s="15" t="s">
        <v>114</v>
      </c>
      <c r="Q3" s="15" t="s">
        <v>114</v>
      </c>
      <c r="U3" s="15" t="s">
        <v>114</v>
      </c>
      <c r="AB3" s="15" t="s">
        <v>114</v>
      </c>
      <c r="AF3" s="15" t="s">
        <v>114</v>
      </c>
      <c r="AM3" s="15" t="s">
        <v>114</v>
      </c>
      <c r="AQ3" s="15" t="s">
        <v>114</v>
      </c>
      <c r="AX3" s="15" t="s">
        <v>114</v>
      </c>
      <c r="BB3" s="15" t="s">
        <v>114</v>
      </c>
      <c r="BI3" s="15" t="s">
        <v>114</v>
      </c>
      <c r="BM3" s="15" t="s">
        <v>114</v>
      </c>
      <c r="BT3" s="15" t="s">
        <v>114</v>
      </c>
      <c r="BX3" s="15" t="s">
        <v>114</v>
      </c>
      <c r="CE3" s="15" t="s">
        <v>114</v>
      </c>
      <c r="CI3" s="15" t="s">
        <v>114</v>
      </c>
      <c r="CP3" s="15" t="s">
        <v>114</v>
      </c>
      <c r="CT3" s="15" t="s">
        <v>114</v>
      </c>
    </row>
    <row r="4" spans="1:98" ht="12.95">
      <c r="A4" s="28"/>
      <c r="B4" s="28"/>
      <c r="C4" s="28"/>
      <c r="D4" s="28"/>
      <c r="E4" s="28"/>
      <c r="F4" s="28"/>
      <c r="H4" s="23" t="str">
        <f>CONCATENATE(D6,"-",F6)</f>
        <v>2020-2035</v>
      </c>
      <c r="I4" s="28"/>
      <c r="J4" s="28"/>
      <c r="L4" s="28"/>
      <c r="M4" s="28"/>
      <c r="N4" s="28"/>
      <c r="O4" s="28"/>
      <c r="P4" s="28"/>
      <c r="Q4" s="28"/>
      <c r="S4" s="23" t="str">
        <f>H4</f>
        <v>2020-2035</v>
      </c>
      <c r="T4" s="28"/>
      <c r="U4" s="28"/>
      <c r="W4" s="28"/>
      <c r="X4" s="28"/>
      <c r="Y4" s="28"/>
      <c r="Z4" s="28"/>
      <c r="AA4" s="28"/>
      <c r="AB4" s="28"/>
      <c r="AD4" s="23" t="str">
        <f>S4</f>
        <v>2020-2035</v>
      </c>
      <c r="AE4" s="28"/>
      <c r="AF4" s="28"/>
      <c r="AH4" s="28"/>
      <c r="AI4" s="28"/>
      <c r="AJ4" s="28"/>
      <c r="AK4" s="28"/>
      <c r="AL4" s="28"/>
      <c r="AM4" s="28"/>
      <c r="AO4" s="23" t="str">
        <f>AD4</f>
        <v>2020-2035</v>
      </c>
      <c r="AP4" s="28"/>
      <c r="AQ4" s="28"/>
      <c r="AS4" s="28"/>
      <c r="AT4" s="28"/>
      <c r="AU4" s="28"/>
      <c r="AV4" s="28"/>
      <c r="AW4" s="28"/>
      <c r="AX4" s="28"/>
      <c r="AZ4" s="23" t="str">
        <f>AO4</f>
        <v>2020-2035</v>
      </c>
      <c r="BA4" s="28"/>
      <c r="BB4" s="28"/>
      <c r="BD4" s="28"/>
      <c r="BE4" s="28"/>
      <c r="BF4" s="28"/>
      <c r="BG4" s="28"/>
      <c r="BH4" s="28"/>
      <c r="BI4" s="28"/>
      <c r="BK4" s="23" t="str">
        <f>AZ4</f>
        <v>2020-2035</v>
      </c>
      <c r="BL4" s="28"/>
      <c r="BM4" s="28"/>
      <c r="BO4" s="28"/>
      <c r="BP4" s="28"/>
      <c r="BQ4" s="28"/>
      <c r="BR4" s="28"/>
      <c r="BS4" s="28"/>
      <c r="BT4" s="28"/>
      <c r="BV4" s="23" t="str">
        <f>BK4</f>
        <v>2020-2035</v>
      </c>
      <c r="BW4" s="28"/>
      <c r="BX4" s="28"/>
      <c r="BZ4" s="28"/>
      <c r="CA4" s="28"/>
      <c r="CB4" s="28"/>
      <c r="CC4" s="28"/>
      <c r="CD4" s="28"/>
      <c r="CE4" s="28"/>
      <c r="CG4" s="23" t="str">
        <f>BV4</f>
        <v>2020-2035</v>
      </c>
      <c r="CH4" s="28"/>
      <c r="CI4" s="28"/>
      <c r="CK4" s="28"/>
      <c r="CL4" s="28"/>
      <c r="CM4" s="28"/>
      <c r="CN4" s="28"/>
      <c r="CO4" s="28"/>
      <c r="CP4" s="28"/>
      <c r="CR4" s="23" t="str">
        <f>CG4</f>
        <v>2020-2035</v>
      </c>
      <c r="CS4" s="28"/>
      <c r="CT4" s="28"/>
    </row>
    <row r="5" spans="1:98">
      <c r="H5" s="15" t="s">
        <v>117</v>
      </c>
      <c r="I5" s="15" t="s">
        <v>118</v>
      </c>
      <c r="J5" s="15" t="s">
        <v>119</v>
      </c>
      <c r="S5" s="15" t="s">
        <v>117</v>
      </c>
      <c r="T5" s="15" t="s">
        <v>118</v>
      </c>
      <c r="U5" s="15" t="s">
        <v>119</v>
      </c>
      <c r="AD5" s="15" t="s">
        <v>117</v>
      </c>
      <c r="AE5" s="15" t="s">
        <v>118</v>
      </c>
      <c r="AF5" s="15" t="s">
        <v>119</v>
      </c>
      <c r="AO5" s="15" t="s">
        <v>117</v>
      </c>
      <c r="AP5" s="15" t="s">
        <v>118</v>
      </c>
      <c r="AQ5" s="15" t="s">
        <v>119</v>
      </c>
      <c r="AZ5" s="15" t="s">
        <v>117</v>
      </c>
      <c r="BA5" s="15" t="s">
        <v>118</v>
      </c>
      <c r="BB5" s="15" t="s">
        <v>119</v>
      </c>
      <c r="BK5" s="15" t="s">
        <v>117</v>
      </c>
      <c r="BL5" s="15" t="s">
        <v>118</v>
      </c>
      <c r="BM5" s="15" t="s">
        <v>119</v>
      </c>
      <c r="BV5" s="15" t="s">
        <v>117</v>
      </c>
      <c r="BW5" s="15" t="s">
        <v>118</v>
      </c>
      <c r="BX5" s="15" t="s">
        <v>119</v>
      </c>
      <c r="CG5" s="15" t="s">
        <v>117</v>
      </c>
      <c r="CH5" s="15" t="s">
        <v>118</v>
      </c>
      <c r="CI5" s="15" t="s">
        <v>119</v>
      </c>
      <c r="CR5" s="15" t="s">
        <v>117</v>
      </c>
      <c r="CS5" s="15" t="s">
        <v>118</v>
      </c>
      <c r="CT5" s="15" t="s">
        <v>119</v>
      </c>
    </row>
    <row r="6" spans="1:98" ht="12.95">
      <c r="A6" s="31" t="s">
        <v>115</v>
      </c>
      <c r="B6" s="27">
        <v>2015</v>
      </c>
      <c r="C6" s="27">
        <v>2019</v>
      </c>
      <c r="D6" s="27">
        <v>2020</v>
      </c>
      <c r="E6" s="27">
        <v>2025</v>
      </c>
      <c r="F6" s="27">
        <v>2035</v>
      </c>
      <c r="H6" s="50" t="s">
        <v>120</v>
      </c>
      <c r="I6" s="50" t="s">
        <v>121</v>
      </c>
      <c r="J6" s="50" t="s">
        <v>122</v>
      </c>
      <c r="L6" s="31" t="s">
        <v>115</v>
      </c>
      <c r="M6" s="27">
        <f>B6</f>
        <v>2015</v>
      </c>
      <c r="N6" s="27">
        <f t="shared" ref="N6:Q6" si="0">C6</f>
        <v>2019</v>
      </c>
      <c r="O6" s="27">
        <f t="shared" si="0"/>
        <v>2020</v>
      </c>
      <c r="P6" s="27">
        <f t="shared" si="0"/>
        <v>2025</v>
      </c>
      <c r="Q6" s="27">
        <f t="shared" si="0"/>
        <v>2035</v>
      </c>
      <c r="S6" s="50" t="s">
        <v>120</v>
      </c>
      <c r="T6" s="50" t="s">
        <v>121</v>
      </c>
      <c r="U6" s="50" t="s">
        <v>122</v>
      </c>
      <c r="W6" s="31" t="s">
        <v>115</v>
      </c>
      <c r="X6" s="27">
        <f>M6</f>
        <v>2015</v>
      </c>
      <c r="Y6" s="27">
        <f t="shared" ref="Y6:AB6" si="1">N6</f>
        <v>2019</v>
      </c>
      <c r="Z6" s="27">
        <f t="shared" si="1"/>
        <v>2020</v>
      </c>
      <c r="AA6" s="27">
        <f t="shared" si="1"/>
        <v>2025</v>
      </c>
      <c r="AB6" s="27">
        <f t="shared" si="1"/>
        <v>2035</v>
      </c>
      <c r="AD6" s="50" t="s">
        <v>120</v>
      </c>
      <c r="AE6" s="50" t="s">
        <v>121</v>
      </c>
      <c r="AF6" s="50" t="s">
        <v>122</v>
      </c>
      <c r="AH6" s="31" t="s">
        <v>115</v>
      </c>
      <c r="AI6" s="27">
        <f>X6</f>
        <v>2015</v>
      </c>
      <c r="AJ6" s="27">
        <f t="shared" ref="AJ6" si="2">Y6</f>
        <v>2019</v>
      </c>
      <c r="AK6" s="27">
        <f t="shared" ref="AK6" si="3">Z6</f>
        <v>2020</v>
      </c>
      <c r="AL6" s="27">
        <f t="shared" ref="AL6" si="4">AA6</f>
        <v>2025</v>
      </c>
      <c r="AM6" s="27">
        <f t="shared" ref="AM6" si="5">AB6</f>
        <v>2035</v>
      </c>
      <c r="AO6" s="50" t="s">
        <v>120</v>
      </c>
      <c r="AP6" s="50" t="s">
        <v>121</v>
      </c>
      <c r="AQ6" s="50" t="s">
        <v>122</v>
      </c>
      <c r="AS6" s="31" t="s">
        <v>115</v>
      </c>
      <c r="AT6" s="27">
        <f>AI6</f>
        <v>2015</v>
      </c>
      <c r="AU6" s="27">
        <f t="shared" ref="AU6" si="6">AJ6</f>
        <v>2019</v>
      </c>
      <c r="AV6" s="27">
        <f t="shared" ref="AV6" si="7">AK6</f>
        <v>2020</v>
      </c>
      <c r="AW6" s="27">
        <f t="shared" ref="AW6" si="8">AL6</f>
        <v>2025</v>
      </c>
      <c r="AX6" s="27">
        <f t="shared" ref="AX6" si="9">AM6</f>
        <v>2035</v>
      </c>
      <c r="AZ6" s="50" t="s">
        <v>120</v>
      </c>
      <c r="BA6" s="50" t="s">
        <v>121</v>
      </c>
      <c r="BB6" s="50" t="s">
        <v>122</v>
      </c>
      <c r="BD6" s="31" t="s">
        <v>115</v>
      </c>
      <c r="BE6" s="27">
        <f>AT6</f>
        <v>2015</v>
      </c>
      <c r="BF6" s="27">
        <f t="shared" ref="BF6" si="10">AU6</f>
        <v>2019</v>
      </c>
      <c r="BG6" s="27">
        <f t="shared" ref="BG6" si="11">AV6</f>
        <v>2020</v>
      </c>
      <c r="BH6" s="27">
        <f t="shared" ref="BH6" si="12">AW6</f>
        <v>2025</v>
      </c>
      <c r="BI6" s="27">
        <f t="shared" ref="BI6" si="13">AX6</f>
        <v>2035</v>
      </c>
      <c r="BK6" s="50" t="s">
        <v>120</v>
      </c>
      <c r="BL6" s="50" t="s">
        <v>121</v>
      </c>
      <c r="BM6" s="50" t="s">
        <v>122</v>
      </c>
      <c r="BO6" s="31" t="s">
        <v>115</v>
      </c>
      <c r="BP6" s="27">
        <f>BE6</f>
        <v>2015</v>
      </c>
      <c r="BQ6" s="27">
        <f t="shared" ref="BQ6" si="14">BF6</f>
        <v>2019</v>
      </c>
      <c r="BR6" s="27">
        <f t="shared" ref="BR6" si="15">BG6</f>
        <v>2020</v>
      </c>
      <c r="BS6" s="27">
        <f t="shared" ref="BS6" si="16">BH6</f>
        <v>2025</v>
      </c>
      <c r="BT6" s="27">
        <f t="shared" ref="BT6" si="17">BI6</f>
        <v>2035</v>
      </c>
      <c r="BV6" s="50" t="s">
        <v>120</v>
      </c>
      <c r="BW6" s="50" t="s">
        <v>121</v>
      </c>
      <c r="BX6" s="50" t="s">
        <v>122</v>
      </c>
      <c r="BZ6" s="31" t="s">
        <v>115</v>
      </c>
      <c r="CA6" s="27">
        <f>BP6</f>
        <v>2015</v>
      </c>
      <c r="CB6" s="27">
        <f t="shared" ref="CB6" si="18">BQ6</f>
        <v>2019</v>
      </c>
      <c r="CC6" s="27">
        <f t="shared" ref="CC6" si="19">BR6</f>
        <v>2020</v>
      </c>
      <c r="CD6" s="27">
        <f t="shared" ref="CD6" si="20">BS6</f>
        <v>2025</v>
      </c>
      <c r="CE6" s="27">
        <f t="shared" ref="CE6" si="21">BT6</f>
        <v>2035</v>
      </c>
      <c r="CG6" s="50" t="s">
        <v>120</v>
      </c>
      <c r="CH6" s="50" t="s">
        <v>121</v>
      </c>
      <c r="CI6" s="50" t="s">
        <v>122</v>
      </c>
      <c r="CK6" s="31" t="s">
        <v>115</v>
      </c>
      <c r="CL6" s="27">
        <f>CA6</f>
        <v>2015</v>
      </c>
      <c r="CM6" s="27">
        <f t="shared" ref="CM6" si="22">CB6</f>
        <v>2019</v>
      </c>
      <c r="CN6" s="27">
        <f t="shared" ref="CN6" si="23">CC6</f>
        <v>2020</v>
      </c>
      <c r="CO6" s="27">
        <f t="shared" ref="CO6" si="24">CD6</f>
        <v>2025</v>
      </c>
      <c r="CP6" s="27">
        <f t="shared" ref="CP6" si="25">CE6</f>
        <v>2035</v>
      </c>
      <c r="CR6" s="50" t="s">
        <v>120</v>
      </c>
      <c r="CS6" s="50" t="s">
        <v>121</v>
      </c>
      <c r="CT6" s="50" t="s">
        <v>122</v>
      </c>
    </row>
    <row r="8" spans="1:98">
      <c r="A8" s="10" t="str">
        <f>name!D4</f>
        <v>11 Corporate managers and directors</v>
      </c>
      <c r="B8" s="54">
        <v>27.834189236457135</v>
      </c>
      <c r="C8" s="54">
        <v>38.131656227310231</v>
      </c>
      <c r="D8" s="54">
        <v>39.887226737428271</v>
      </c>
      <c r="E8" s="54">
        <v>47.085247039889445</v>
      </c>
      <c r="F8" s="54">
        <v>68.972413039511665</v>
      </c>
      <c r="G8" s="10"/>
      <c r="H8" s="54">
        <f>F8-D8</f>
        <v>29.085186302083393</v>
      </c>
      <c r="I8" s="54">
        <f>'RD T1'!E36</f>
        <v>28.747974352356863</v>
      </c>
      <c r="J8" s="54">
        <f>SUM(H8:I8)</f>
        <v>57.833160654440256</v>
      </c>
      <c r="L8" t="str">
        <f>A8</f>
        <v>11 Corporate managers and directors</v>
      </c>
      <c r="M8" s="54">
        <v>229.16930719030353</v>
      </c>
      <c r="N8" s="54">
        <v>321.77943088764414</v>
      </c>
      <c r="O8" s="54">
        <v>335.36050589760538</v>
      </c>
      <c r="P8" s="54">
        <v>382.86462328004336</v>
      </c>
      <c r="Q8" s="54">
        <v>546.11811158853743</v>
      </c>
      <c r="R8" s="10"/>
      <c r="S8" s="54">
        <f>Q8-O8</f>
        <v>210.75760569093205</v>
      </c>
      <c r="T8" s="54">
        <f>'RD T1'!E65</f>
        <v>233.01772535232138</v>
      </c>
      <c r="U8" s="54">
        <f>SUM(S8:T8)</f>
        <v>443.77533104325346</v>
      </c>
      <c r="W8" t="str">
        <f>A8</f>
        <v>11 Corporate managers and directors</v>
      </c>
      <c r="X8" s="54">
        <v>553.70674682180618</v>
      </c>
      <c r="Y8" s="54">
        <v>663.24823440979958</v>
      </c>
      <c r="Z8" s="54">
        <v>679.24260837730344</v>
      </c>
      <c r="AA8" s="54">
        <v>626.92306775132317</v>
      </c>
      <c r="AB8" s="54">
        <v>690.13440563603865</v>
      </c>
      <c r="AC8" s="54"/>
      <c r="AD8" s="54">
        <f>AB8-Z8</f>
        <v>10.89179725873521</v>
      </c>
      <c r="AE8" s="54">
        <f>'RD T1'!E94</f>
        <v>381.19416690469529</v>
      </c>
      <c r="AF8" s="54">
        <f>SUM(AD8:AE8)</f>
        <v>392.0859641634305</v>
      </c>
      <c r="AH8" t="str">
        <f>L8</f>
        <v>11 Corporate managers and directors</v>
      </c>
      <c r="AI8" s="54">
        <v>103.98195563510605</v>
      </c>
      <c r="AJ8" s="54">
        <v>117.62909964697862</v>
      </c>
      <c r="AK8" s="54">
        <v>126.12599726327144</v>
      </c>
      <c r="AL8" s="54">
        <v>111.68799291502449</v>
      </c>
      <c r="AM8" s="54">
        <v>119.86809944068239</v>
      </c>
      <c r="AN8" s="54"/>
      <c r="AO8" s="54">
        <f>AM8-AK8</f>
        <v>-6.257897822589058</v>
      </c>
      <c r="AP8" s="54">
        <f>'RD T1'!E123</f>
        <v>62.183199949383138</v>
      </c>
      <c r="AQ8" s="54">
        <f>SUM(AO8:AP8)</f>
        <v>55.92530212679408</v>
      </c>
      <c r="AS8" t="str">
        <f>W8</f>
        <v>11 Corporate managers and directors</v>
      </c>
      <c r="AT8" s="54">
        <v>153.9536888378328</v>
      </c>
      <c r="AU8" s="54">
        <v>174.93465860437564</v>
      </c>
      <c r="AV8" s="54">
        <v>185.7676879091259</v>
      </c>
      <c r="AW8" s="54">
        <v>160.95769820953308</v>
      </c>
      <c r="AX8" s="54">
        <v>172.44196029167435</v>
      </c>
      <c r="AY8" s="54"/>
      <c r="AZ8" s="54">
        <f>AX8-AV8</f>
        <v>-13.325727617451548</v>
      </c>
      <c r="BA8" s="54">
        <f>'RD T1'!E152</f>
        <v>90.515628373040357</v>
      </c>
      <c r="BB8" s="54">
        <f>SUM(AZ8:BA8)</f>
        <v>77.189900755588809</v>
      </c>
      <c r="BD8" t="str">
        <f>AH8</f>
        <v>11 Corporate managers and directors</v>
      </c>
      <c r="BE8" s="54">
        <v>330.40785350206124</v>
      </c>
      <c r="BF8" s="54">
        <v>380.13942273018085</v>
      </c>
      <c r="BG8" s="54">
        <v>398.94793313209016</v>
      </c>
      <c r="BH8" s="54">
        <v>333.17836926515844</v>
      </c>
      <c r="BI8" s="54">
        <v>341.26844622264412</v>
      </c>
      <c r="BJ8" s="54"/>
      <c r="BK8" s="54">
        <f>BI8-BG8</f>
        <v>-57.679486909446041</v>
      </c>
      <c r="BL8" s="54">
        <f>'RD T1'!E181</f>
        <v>151.37417882872063</v>
      </c>
      <c r="BM8" s="54">
        <f>SUM(BK8:BL8)</f>
        <v>93.69469191927459</v>
      </c>
      <c r="BO8" t="str">
        <f>AS8</f>
        <v>11 Corporate managers and directors</v>
      </c>
      <c r="BP8" s="54">
        <v>272.65014188119261</v>
      </c>
      <c r="BQ8" s="54">
        <v>302.00516356502823</v>
      </c>
      <c r="BR8" s="54">
        <v>292.20855688537557</v>
      </c>
      <c r="BS8" s="54">
        <v>232.65472823767004</v>
      </c>
      <c r="BT8" s="54">
        <v>180.85878272104983</v>
      </c>
      <c r="BU8" s="54"/>
      <c r="BV8" s="54">
        <f>BT8-BR8</f>
        <v>-111.34977416432574</v>
      </c>
      <c r="BW8" s="54">
        <f>'RD T1'!E210</f>
        <v>100.4766486608995</v>
      </c>
      <c r="BX8" s="54">
        <f>SUM(BV8:BW8)</f>
        <v>-10.873125503426238</v>
      </c>
      <c r="BZ8" t="str">
        <f>BD8</f>
        <v>11 Corporate managers and directors</v>
      </c>
      <c r="CA8" s="54">
        <v>189.47155375543363</v>
      </c>
      <c r="CB8" s="54">
        <v>210.57673545437103</v>
      </c>
      <c r="CC8" s="54">
        <v>209.90556903788868</v>
      </c>
      <c r="CD8" s="54">
        <v>174.79985355833693</v>
      </c>
      <c r="CE8" s="54">
        <v>129.03552487855623</v>
      </c>
      <c r="CF8" s="54"/>
      <c r="CG8" s="54">
        <f>CE8-CC8</f>
        <v>-80.870044159332451</v>
      </c>
      <c r="CH8" s="54">
        <f>'RD T1'!E239</f>
        <v>69.565583131144891</v>
      </c>
      <c r="CI8" s="54">
        <f>SUM(CG8:CH8)</f>
        <v>-11.304461028187561</v>
      </c>
      <c r="CK8" t="str">
        <f>BO8</f>
        <v>11 Corporate managers and directors</v>
      </c>
      <c r="CL8" s="54">
        <v>38.25820216667536</v>
      </c>
      <c r="CM8" s="54">
        <v>43.999074443395585</v>
      </c>
      <c r="CN8" s="54">
        <v>40.294019151682562</v>
      </c>
      <c r="CO8" s="54">
        <v>35.150519913812204</v>
      </c>
      <c r="CP8" s="54">
        <v>35.028317490927833</v>
      </c>
      <c r="CQ8" s="54"/>
      <c r="CR8" s="54">
        <f>CP8-CN8</f>
        <v>-5.2657016607547291</v>
      </c>
      <c r="CS8" s="54">
        <f>'RD T1'!E268</f>
        <v>11.873520598983397</v>
      </c>
      <c r="CT8" s="54">
        <f>SUM(CR8:CS8)</f>
        <v>6.6078189382286681</v>
      </c>
    </row>
    <row r="9" spans="1:98">
      <c r="A9" s="10" t="str">
        <f>name!D5</f>
        <v>12 Other managers and proprietors</v>
      </c>
      <c r="B9" s="54">
        <v>10.838258972987223</v>
      </c>
      <c r="C9" s="54">
        <v>14.298240494901561</v>
      </c>
      <c r="D9" s="54">
        <v>13.895755913705612</v>
      </c>
      <c r="E9" s="54">
        <v>19.249671378764642</v>
      </c>
      <c r="F9" s="54">
        <v>30.483552216359382</v>
      </c>
      <c r="H9" s="54">
        <f>F9-D9</f>
        <v>16.587796302653771</v>
      </c>
      <c r="I9" s="54">
        <f>'RD T1'!E37</f>
        <v>13.555408313497853</v>
      </c>
      <c r="J9" s="54">
        <f t="shared" ref="J9:J32" si="26">SUM(H9:I9)</f>
        <v>30.143204616151625</v>
      </c>
      <c r="L9" t="str">
        <f t="shared" ref="L9:L32" si="27">A9</f>
        <v>12 Other managers and proprietors</v>
      </c>
      <c r="M9" s="54">
        <v>90.575279341538192</v>
      </c>
      <c r="N9" s="54">
        <v>118.42922635538127</v>
      </c>
      <c r="O9" s="54">
        <v>122.68017187968124</v>
      </c>
      <c r="P9" s="54">
        <v>160.78869429707888</v>
      </c>
      <c r="Q9" s="54">
        <v>245.9810368476289</v>
      </c>
      <c r="S9" s="54">
        <f t="shared" ref="S9:S32" si="28">Q9-O9</f>
        <v>123.30086496794766</v>
      </c>
      <c r="T9" s="54">
        <f>'RD T1'!E66</f>
        <v>110.29865500812986</v>
      </c>
      <c r="U9" s="54">
        <f t="shared" ref="U9:U32" si="29">SUM(S9:T9)</f>
        <v>233.59951997607752</v>
      </c>
      <c r="W9" t="str">
        <f t="shared" ref="W9:W32" si="30">A9</f>
        <v>12 Other managers and proprietors</v>
      </c>
      <c r="X9" s="54">
        <v>209.44297124184101</v>
      </c>
      <c r="Y9" s="54">
        <v>229.3409526110072</v>
      </c>
      <c r="Z9" s="54">
        <v>236.68783926557853</v>
      </c>
      <c r="AA9" s="54">
        <v>256.53890067966682</v>
      </c>
      <c r="AB9" s="54">
        <v>305.12234668869564</v>
      </c>
      <c r="AC9" s="54"/>
      <c r="AD9" s="54">
        <f t="shared" ref="AD9:AD32" si="31">AB9-Z9</f>
        <v>68.434507423117111</v>
      </c>
      <c r="AE9" s="54">
        <f>'RD T1'!E95</f>
        <v>174.07607235230162</v>
      </c>
      <c r="AF9" s="54">
        <f t="shared" ref="AF9:AF32" si="32">SUM(AD9:AE9)</f>
        <v>242.51057977541873</v>
      </c>
      <c r="AH9" t="str">
        <f t="shared" ref="AH9:AH32" si="33">L9</f>
        <v>12 Other managers and proprietors</v>
      </c>
      <c r="AI9" s="54">
        <v>56.280848937377293</v>
      </c>
      <c r="AJ9" s="54">
        <v>61.84020872449392</v>
      </c>
      <c r="AK9" s="54">
        <v>67.667869464136274</v>
      </c>
      <c r="AL9" s="54">
        <v>67.854312409981858</v>
      </c>
      <c r="AM9" s="54">
        <v>81.355936151426434</v>
      </c>
      <c r="AN9" s="54"/>
      <c r="AO9" s="54">
        <f t="shared" ref="AO9:AO32" si="34">AM9-AK9</f>
        <v>13.68806668729016</v>
      </c>
      <c r="AP9" s="54">
        <f>'RD T1'!E124</f>
        <v>46.493760940049604</v>
      </c>
      <c r="AQ9" s="54">
        <f t="shared" ref="AQ9:AQ32" si="35">SUM(AO9:AP9)</f>
        <v>60.181827627339764</v>
      </c>
      <c r="AS9" t="str">
        <f t="shared" ref="AS9:AS32" si="36">W9</f>
        <v>12 Other managers and proprietors</v>
      </c>
      <c r="AT9" s="54">
        <v>66.954285581280033</v>
      </c>
      <c r="AU9" s="54">
        <v>72.291579717881277</v>
      </c>
      <c r="AV9" s="54">
        <v>75.691871629597401</v>
      </c>
      <c r="AW9" s="54">
        <v>81.475987945175532</v>
      </c>
      <c r="AX9" s="54">
        <v>92.494155451467591</v>
      </c>
      <c r="AY9" s="54"/>
      <c r="AZ9" s="54">
        <f t="shared" ref="AZ9:AZ32" si="37">AX9-AV9</f>
        <v>16.802283821870191</v>
      </c>
      <c r="BA9" s="54">
        <f>'RD T1'!E153</f>
        <v>51.528750908650103</v>
      </c>
      <c r="BB9" s="54">
        <f t="shared" ref="BB9:BB32" si="38">SUM(AZ9:BA9)</f>
        <v>68.331034730520287</v>
      </c>
      <c r="BD9" t="str">
        <f t="shared" ref="BD9:BD32" si="39">AH9</f>
        <v>12 Other managers and proprietors</v>
      </c>
      <c r="BE9" s="54">
        <v>167.41007758284653</v>
      </c>
      <c r="BF9" s="54">
        <v>163.63522574890419</v>
      </c>
      <c r="BG9" s="54">
        <v>170.19393698225952</v>
      </c>
      <c r="BH9" s="54">
        <v>158.16983124596422</v>
      </c>
      <c r="BI9" s="54">
        <v>161.05018618147656</v>
      </c>
      <c r="BJ9" s="54"/>
      <c r="BK9" s="54">
        <f t="shared" ref="BK9:BK32" si="40">BI9-BG9</f>
        <v>-9.1437508007829535</v>
      </c>
      <c r="BL9" s="54">
        <f>'RD T1'!E182</f>
        <v>74.984965902932458</v>
      </c>
      <c r="BM9" s="54">
        <f t="shared" ref="BM9:BM32" si="41">SUM(BK9:BL9)</f>
        <v>65.841215102149505</v>
      </c>
      <c r="BO9" t="str">
        <f t="shared" ref="BO9:BO32" si="42">AS9</f>
        <v>12 Other managers and proprietors</v>
      </c>
      <c r="BP9" s="54">
        <v>167.15219872305892</v>
      </c>
      <c r="BQ9" s="54">
        <v>173.55071551956132</v>
      </c>
      <c r="BR9" s="54">
        <v>168.05354766258824</v>
      </c>
      <c r="BS9" s="54">
        <v>162.12330839971369</v>
      </c>
      <c r="BT9" s="54">
        <v>143.91902860001426</v>
      </c>
      <c r="BU9" s="54"/>
      <c r="BV9" s="54">
        <f t="shared" ref="BV9:BV32" si="43">BT9-BR9</f>
        <v>-24.134519062573986</v>
      </c>
      <c r="BW9" s="54">
        <f>'RD T1'!E211</f>
        <v>83.76738067751208</v>
      </c>
      <c r="BX9" s="54">
        <f t="shared" ref="BX9:BX32" si="44">SUM(BV9:BW9)</f>
        <v>59.632861614938093</v>
      </c>
      <c r="BZ9" t="str">
        <f t="shared" ref="BZ9:BZ32" si="45">BD9</f>
        <v>12 Other managers and proprietors</v>
      </c>
      <c r="CA9" s="54">
        <v>114.14286183822624</v>
      </c>
      <c r="CB9" s="54">
        <v>117.07264891463973</v>
      </c>
      <c r="CC9" s="54">
        <v>109.97112842812747</v>
      </c>
      <c r="CD9" s="54">
        <v>101.87074184076762</v>
      </c>
      <c r="CE9" s="54">
        <v>74.894757849255939</v>
      </c>
      <c r="CF9" s="54"/>
      <c r="CG9" s="54">
        <f t="shared" ref="CG9:CG32" si="46">CE9-CC9</f>
        <v>-35.076370578871533</v>
      </c>
      <c r="CH9" s="54">
        <f>'RD T1'!E240</f>
        <v>42.383399838580907</v>
      </c>
      <c r="CI9" s="54">
        <f t="shared" ref="CI9:CI32" si="47">SUM(CG9:CH9)</f>
        <v>7.307029259709374</v>
      </c>
      <c r="CK9" t="str">
        <f t="shared" ref="CK9:CK32" si="48">BO9</f>
        <v>12 Other managers and proprietors</v>
      </c>
      <c r="CL9" s="54">
        <v>40.724545374704135</v>
      </c>
      <c r="CM9" s="54">
        <v>38.885429133441818</v>
      </c>
      <c r="CN9" s="54">
        <v>34.931534133633967</v>
      </c>
      <c r="CO9" s="54">
        <v>34.073360860195663</v>
      </c>
      <c r="CP9" s="54">
        <v>33.346160858090848</v>
      </c>
      <c r="CQ9" s="54"/>
      <c r="CR9" s="54">
        <f t="shared" ref="CR9:CR32" si="49">CP9-CN9</f>
        <v>-1.5853732755431196</v>
      </c>
      <c r="CS9" s="54">
        <f>'RD T1'!E269</f>
        <v>12.354729112490737</v>
      </c>
      <c r="CT9" s="54">
        <f t="shared" ref="CT9:CT32" si="50">SUM(CR9:CS9)</f>
        <v>10.769355836947618</v>
      </c>
    </row>
    <row r="10" spans="1:98">
      <c r="A10" s="10" t="str">
        <f>name!D6</f>
        <v>21 Science, research, engineering and technology professionals</v>
      </c>
      <c r="B10" s="54">
        <v>74.029965582624314</v>
      </c>
      <c r="C10" s="54">
        <v>96.724503492151484</v>
      </c>
      <c r="D10" s="54">
        <v>98.335249285607745</v>
      </c>
      <c r="E10" s="54">
        <v>138.92814227751168</v>
      </c>
      <c r="F10" s="54">
        <v>189.01527042561204</v>
      </c>
      <c r="G10" s="11"/>
      <c r="H10" s="54">
        <f t="shared" ref="H10:H32" si="51">F10-D10</f>
        <v>90.6800211400043</v>
      </c>
      <c r="I10" s="54">
        <f>'RD T1'!E38</f>
        <v>58.530193803596902</v>
      </c>
      <c r="J10" s="54">
        <f t="shared" si="26"/>
        <v>149.21021494360122</v>
      </c>
      <c r="L10" t="str">
        <f t="shared" si="27"/>
        <v>21 Science, research, engineering and technology professionals</v>
      </c>
      <c r="M10" s="54">
        <v>293.08388940470491</v>
      </c>
      <c r="N10" s="54">
        <v>398.68689988918288</v>
      </c>
      <c r="O10" s="54">
        <v>422.30118316489035</v>
      </c>
      <c r="P10" s="54">
        <v>644.39328097394866</v>
      </c>
      <c r="Q10" s="54">
        <v>924.79904846332181</v>
      </c>
      <c r="R10" s="11"/>
      <c r="S10" s="54">
        <f t="shared" si="28"/>
        <v>502.49786529843146</v>
      </c>
      <c r="T10" s="54">
        <f>'RD T1'!E67</f>
        <v>288.0248616978231</v>
      </c>
      <c r="U10" s="54">
        <f t="shared" si="29"/>
        <v>790.52272699625451</v>
      </c>
      <c r="W10" t="str">
        <f t="shared" si="30"/>
        <v>21 Science, research, engineering and technology professionals</v>
      </c>
      <c r="X10" s="54">
        <v>558.9123034457748</v>
      </c>
      <c r="Y10" s="54">
        <v>614.69825509514021</v>
      </c>
      <c r="Z10" s="54">
        <v>637.88392677088314</v>
      </c>
      <c r="AA10" s="54">
        <v>754.09773502920859</v>
      </c>
      <c r="AB10" s="54">
        <v>796.00242940426574</v>
      </c>
      <c r="AC10" s="54"/>
      <c r="AD10" s="54">
        <f t="shared" si="31"/>
        <v>158.1185026333826</v>
      </c>
      <c r="AE10" s="54">
        <f>'RD T1'!E96</f>
        <v>304.37869001038183</v>
      </c>
      <c r="AF10" s="54">
        <f t="shared" si="32"/>
        <v>462.49719264376444</v>
      </c>
      <c r="AH10" t="str">
        <f t="shared" si="33"/>
        <v>21 Science, research, engineering and technology professionals</v>
      </c>
      <c r="AI10" s="54">
        <v>58.320107472710625</v>
      </c>
      <c r="AJ10" s="54">
        <v>62.992306473926256</v>
      </c>
      <c r="AK10" s="54">
        <v>69.193047257610345</v>
      </c>
      <c r="AL10" s="54">
        <v>82.83253127637218</v>
      </c>
      <c r="AM10" s="54">
        <v>92.020276884597919</v>
      </c>
      <c r="AN10" s="54"/>
      <c r="AO10" s="54">
        <f t="shared" si="34"/>
        <v>22.827229626987574</v>
      </c>
      <c r="AP10" s="54">
        <f>'RD T1'!E125</f>
        <v>33.088928016544379</v>
      </c>
      <c r="AQ10" s="54">
        <f t="shared" si="35"/>
        <v>55.916157643531953</v>
      </c>
      <c r="AS10" t="str">
        <f t="shared" si="36"/>
        <v>21 Science, research, engineering and technology professionals</v>
      </c>
      <c r="AT10" s="54">
        <v>145.26925257149969</v>
      </c>
      <c r="AU10" s="54">
        <v>155.67222192215124</v>
      </c>
      <c r="AV10" s="54">
        <v>162.21015541665392</v>
      </c>
      <c r="AW10" s="54">
        <v>175.56692634319748</v>
      </c>
      <c r="AX10" s="54">
        <v>178.81490235839374</v>
      </c>
      <c r="AY10" s="54"/>
      <c r="AZ10" s="54">
        <f t="shared" si="37"/>
        <v>16.604746941739819</v>
      </c>
      <c r="BA10" s="54">
        <f>'RD T1'!E154</f>
        <v>65.28590541122405</v>
      </c>
      <c r="BB10" s="54">
        <f t="shared" si="38"/>
        <v>81.890652352963869</v>
      </c>
      <c r="BD10" t="str">
        <f t="shared" si="39"/>
        <v>21 Science, research, engineering and technology professionals</v>
      </c>
      <c r="BE10" s="54">
        <v>198.6151285679129</v>
      </c>
      <c r="BF10" s="54">
        <v>213.63696952304974</v>
      </c>
      <c r="BG10" s="54">
        <v>227.084093432706</v>
      </c>
      <c r="BH10" s="54">
        <v>243.0054038517718</v>
      </c>
      <c r="BI10" s="54">
        <v>239.17716750116983</v>
      </c>
      <c r="BJ10" s="54"/>
      <c r="BK10" s="54">
        <f t="shared" si="40"/>
        <v>12.093074068463835</v>
      </c>
      <c r="BL10" s="54">
        <f>'RD T1'!E183</f>
        <v>70.654801647565677</v>
      </c>
      <c r="BM10" s="54">
        <f t="shared" si="41"/>
        <v>82.747875716029512</v>
      </c>
      <c r="BO10" t="str">
        <f t="shared" si="42"/>
        <v>21 Science, research, engineering and technology professionals</v>
      </c>
      <c r="BP10" s="54">
        <v>147.53450964849316</v>
      </c>
      <c r="BQ10" s="54">
        <v>159.38527649512596</v>
      </c>
      <c r="BR10" s="54">
        <v>160.77102837558149</v>
      </c>
      <c r="BS10" s="54">
        <v>175.93369224310035</v>
      </c>
      <c r="BT10" s="54">
        <v>156.16918971525743</v>
      </c>
      <c r="BU10" s="54"/>
      <c r="BV10" s="54">
        <f t="shared" si="43"/>
        <v>-4.6018386603240629</v>
      </c>
      <c r="BW10" s="54">
        <f>'RD T1'!E212</f>
        <v>56.503906023104626</v>
      </c>
      <c r="BX10" s="54">
        <f t="shared" si="44"/>
        <v>51.902067362780564</v>
      </c>
      <c r="BZ10" t="str">
        <f t="shared" si="45"/>
        <v>21 Science, research, engineering and technology professionals</v>
      </c>
      <c r="CA10" s="54">
        <v>90.488203427139027</v>
      </c>
      <c r="CB10" s="54">
        <v>99.012553713410057</v>
      </c>
      <c r="CC10" s="54">
        <v>97.347438387127113</v>
      </c>
      <c r="CD10" s="54">
        <v>106.08621984243931</v>
      </c>
      <c r="CE10" s="54">
        <v>71.746327085719017</v>
      </c>
      <c r="CF10" s="54"/>
      <c r="CG10" s="54">
        <f t="shared" si="46"/>
        <v>-25.601111301408096</v>
      </c>
      <c r="CH10" s="54">
        <f>'RD T1'!E241</f>
        <v>27.95733618035116</v>
      </c>
      <c r="CI10" s="54">
        <f t="shared" si="47"/>
        <v>2.3562248789430633</v>
      </c>
      <c r="CK10" t="str">
        <f t="shared" si="48"/>
        <v>21 Science, research, engineering and technology professionals</v>
      </c>
      <c r="CL10" s="54">
        <v>18.826536956687796</v>
      </c>
      <c r="CM10" s="54">
        <v>23.461406233480385</v>
      </c>
      <c r="CN10" s="54">
        <v>22.945912021886116</v>
      </c>
      <c r="CO10" s="54">
        <v>30.907748452355598</v>
      </c>
      <c r="CP10" s="54">
        <v>33.630195683048605</v>
      </c>
      <c r="CQ10" s="54"/>
      <c r="CR10" s="54">
        <f t="shared" si="49"/>
        <v>10.684283661162489</v>
      </c>
      <c r="CS10" s="54">
        <f>'RD T1'!E270</f>
        <v>9.15959449113533</v>
      </c>
      <c r="CT10" s="54">
        <f t="shared" si="50"/>
        <v>19.843878152297819</v>
      </c>
    </row>
    <row r="11" spans="1:98">
      <c r="A11" s="10" t="str">
        <f>name!D7</f>
        <v>22 Health professionals</v>
      </c>
      <c r="B11" s="54">
        <v>65.067974649223714</v>
      </c>
      <c r="C11" s="54">
        <v>90.128782069398582</v>
      </c>
      <c r="D11" s="54">
        <v>91.675495710989765</v>
      </c>
      <c r="E11" s="54">
        <v>117.8956971259318</v>
      </c>
      <c r="F11" s="54">
        <v>161.36067071114948</v>
      </c>
      <c r="G11" s="11"/>
      <c r="H11" s="54">
        <f t="shared" si="51"/>
        <v>69.685175000159717</v>
      </c>
      <c r="I11" s="54">
        <f>'RD T1'!E39</f>
        <v>64.177326443245462</v>
      </c>
      <c r="J11" s="54">
        <f t="shared" si="26"/>
        <v>133.86250144340516</v>
      </c>
      <c r="L11" t="str">
        <f t="shared" si="27"/>
        <v>22 Health professionals</v>
      </c>
      <c r="M11" s="54">
        <v>195.83342089837325</v>
      </c>
      <c r="N11" s="54">
        <v>272.077296526976</v>
      </c>
      <c r="O11" s="54">
        <v>274.37597565940285</v>
      </c>
      <c r="P11" s="54">
        <v>321.81769774884668</v>
      </c>
      <c r="Q11" s="54">
        <v>419.68944786678975</v>
      </c>
      <c r="R11" s="11"/>
      <c r="S11" s="54">
        <f t="shared" si="28"/>
        <v>145.31347220738689</v>
      </c>
      <c r="T11" s="54">
        <f>'RD T1'!E68</f>
        <v>184.67909055227364</v>
      </c>
      <c r="U11" s="54">
        <f t="shared" si="29"/>
        <v>329.99256275966053</v>
      </c>
      <c r="W11" t="str">
        <f t="shared" si="30"/>
        <v>22 Health professionals</v>
      </c>
      <c r="X11" s="54">
        <v>418.3172543759909</v>
      </c>
      <c r="Y11" s="54">
        <v>489.79379072339032</v>
      </c>
      <c r="Z11" s="54">
        <v>502.62251111449365</v>
      </c>
      <c r="AA11" s="54">
        <v>497.28440163498749</v>
      </c>
      <c r="AB11" s="54">
        <v>525.62607843202943</v>
      </c>
      <c r="AC11" s="54"/>
      <c r="AD11" s="54">
        <f t="shared" si="31"/>
        <v>23.003567317535783</v>
      </c>
      <c r="AE11" s="54">
        <f>'RD T1'!E97</f>
        <v>291.81292993131524</v>
      </c>
      <c r="AF11" s="54">
        <f t="shared" si="32"/>
        <v>314.81649724885102</v>
      </c>
      <c r="AH11" t="str">
        <f t="shared" si="33"/>
        <v>22 Health professionals</v>
      </c>
      <c r="AI11" s="54">
        <v>219.56593930021211</v>
      </c>
      <c r="AJ11" s="54">
        <v>174.43052767682696</v>
      </c>
      <c r="AK11" s="54">
        <v>161.86144354341599</v>
      </c>
      <c r="AL11" s="54">
        <v>85.755765886491986</v>
      </c>
      <c r="AM11" s="54">
        <v>34.037458091072473</v>
      </c>
      <c r="AN11" s="54"/>
      <c r="AO11" s="54">
        <f t="shared" si="34"/>
        <v>-127.82398545234352</v>
      </c>
      <c r="AP11" s="54">
        <f>'RD T1'!E126</f>
        <v>29.255844068605974</v>
      </c>
      <c r="AQ11" s="54">
        <f t="shared" si="35"/>
        <v>-98.568141383737554</v>
      </c>
      <c r="AS11" t="str">
        <f t="shared" si="36"/>
        <v>22 Health professionals</v>
      </c>
      <c r="AT11" s="54">
        <v>28.847945917695771</v>
      </c>
      <c r="AU11" s="54">
        <v>33.332322609351166</v>
      </c>
      <c r="AV11" s="54">
        <v>37.823688764213919</v>
      </c>
      <c r="AW11" s="54">
        <v>38.437790232213793</v>
      </c>
      <c r="AX11" s="54">
        <v>42.042275501932203</v>
      </c>
      <c r="AY11" s="54"/>
      <c r="AZ11" s="54">
        <f t="shared" si="37"/>
        <v>4.2185867377182831</v>
      </c>
      <c r="BA11" s="54">
        <f>'RD T1'!E155</f>
        <v>20.352495463330225</v>
      </c>
      <c r="BB11" s="54">
        <f t="shared" si="38"/>
        <v>24.571082201048508</v>
      </c>
      <c r="BD11" t="str">
        <f t="shared" si="39"/>
        <v>22 Health professionals</v>
      </c>
      <c r="BE11" s="54">
        <v>105.92859778961341</v>
      </c>
      <c r="BF11" s="54">
        <v>133.26570740640668</v>
      </c>
      <c r="BG11" s="54">
        <v>136.24624290135077</v>
      </c>
      <c r="BH11" s="54">
        <v>139.65978446433672</v>
      </c>
      <c r="BI11" s="54">
        <v>146.90961062929966</v>
      </c>
      <c r="BJ11" s="54"/>
      <c r="BK11" s="54">
        <f t="shared" si="40"/>
        <v>10.663367727948895</v>
      </c>
      <c r="BL11" s="54">
        <f>'RD T1'!E184</f>
        <v>77.414590501404135</v>
      </c>
      <c r="BM11" s="54">
        <f t="shared" si="41"/>
        <v>88.07795822935303</v>
      </c>
      <c r="BO11" t="str">
        <f t="shared" si="42"/>
        <v>22 Health professionals</v>
      </c>
      <c r="BP11" s="54">
        <v>80.957220453168986</v>
      </c>
      <c r="BQ11" s="54">
        <v>95.567368116389289</v>
      </c>
      <c r="BR11" s="54">
        <v>92.334272141857454</v>
      </c>
      <c r="BS11" s="54">
        <v>86.481910435160074</v>
      </c>
      <c r="BT11" s="54">
        <v>68.201808825092129</v>
      </c>
      <c r="BU11" s="54"/>
      <c r="BV11" s="54">
        <f t="shared" si="43"/>
        <v>-24.132463316765325</v>
      </c>
      <c r="BW11" s="54">
        <f>'RD T1'!E213</f>
        <v>38.493471931792918</v>
      </c>
      <c r="BX11" s="54">
        <f t="shared" si="44"/>
        <v>14.361008615027593</v>
      </c>
      <c r="BZ11" t="str">
        <f t="shared" si="45"/>
        <v>22 Health professionals</v>
      </c>
      <c r="CA11" s="54">
        <v>48.845297689479686</v>
      </c>
      <c r="CB11" s="54">
        <v>58.177349110364673</v>
      </c>
      <c r="CC11" s="54">
        <v>51.003313160911681</v>
      </c>
      <c r="CD11" s="54">
        <v>46.528496434457303</v>
      </c>
      <c r="CE11" s="54">
        <v>29.468027676488884</v>
      </c>
      <c r="CF11" s="54"/>
      <c r="CG11" s="54">
        <f t="shared" si="46"/>
        <v>-21.535285484422797</v>
      </c>
      <c r="CH11" s="54">
        <f>'RD T1'!E242</f>
        <v>17.017525372001586</v>
      </c>
      <c r="CI11" s="54">
        <f t="shared" si="47"/>
        <v>-4.517760112421211</v>
      </c>
      <c r="CK11" t="str">
        <f t="shared" si="48"/>
        <v>22 Health professionals</v>
      </c>
      <c r="CL11" s="54">
        <v>6.0791691870468094</v>
      </c>
      <c r="CM11" s="54">
        <v>7.8834999155558085</v>
      </c>
      <c r="CN11" s="54">
        <v>7.989853975289444</v>
      </c>
      <c r="CO11" s="54">
        <v>8.1873757774228881</v>
      </c>
      <c r="CP11" s="54">
        <v>9.4541443759564476</v>
      </c>
      <c r="CQ11" s="54"/>
      <c r="CR11" s="54">
        <f t="shared" si="49"/>
        <v>1.4642904006670037</v>
      </c>
      <c r="CS11" s="54">
        <f>'RD T1'!E271</f>
        <v>3.3074803188282016</v>
      </c>
      <c r="CT11" s="54">
        <f t="shared" si="50"/>
        <v>4.7717707194952048</v>
      </c>
    </row>
    <row r="12" spans="1:98">
      <c r="A12" s="10" t="str">
        <f>name!D8</f>
        <v>23 Teaching and other educational professionals</v>
      </c>
      <c r="B12" s="54">
        <v>111.74849405782901</v>
      </c>
      <c r="C12" s="54">
        <v>130.31602935452403</v>
      </c>
      <c r="D12" s="54">
        <v>134.70677656040888</v>
      </c>
      <c r="E12" s="54">
        <v>150.22823983117593</v>
      </c>
      <c r="F12" s="54">
        <v>181.57884075685945</v>
      </c>
      <c r="G12" s="11"/>
      <c r="H12" s="54">
        <f t="shared" si="51"/>
        <v>46.872064196450566</v>
      </c>
      <c r="I12" s="54">
        <f>'RD T1'!E40</f>
        <v>79.493349546001511</v>
      </c>
      <c r="J12" s="54">
        <f t="shared" si="26"/>
        <v>126.36541374245208</v>
      </c>
      <c r="L12" t="str">
        <f t="shared" si="27"/>
        <v>23 Teaching and other educational professionals</v>
      </c>
      <c r="M12" s="54">
        <v>621.35426823810951</v>
      </c>
      <c r="N12" s="54">
        <v>743.96859909514797</v>
      </c>
      <c r="O12" s="54">
        <v>770.98382563974656</v>
      </c>
      <c r="P12" s="54">
        <v>848.26566088246989</v>
      </c>
      <c r="Q12" s="54">
        <v>1005.7432800578637</v>
      </c>
      <c r="R12" s="11"/>
      <c r="S12" s="54">
        <f t="shared" si="28"/>
        <v>234.75945441811712</v>
      </c>
      <c r="T12" s="54">
        <f>'RD T1'!E69</f>
        <v>465.32051365421938</v>
      </c>
      <c r="U12" s="54">
        <f t="shared" si="29"/>
        <v>700.07996807233644</v>
      </c>
      <c r="W12" t="str">
        <f t="shared" si="30"/>
        <v>23 Teaching and other educational professionals</v>
      </c>
      <c r="X12" s="54">
        <v>419.27615376185378</v>
      </c>
      <c r="Y12" s="54">
        <v>375.99166760156226</v>
      </c>
      <c r="Z12" s="54">
        <v>399.01738541729816</v>
      </c>
      <c r="AA12" s="54">
        <v>311.81915762900132</v>
      </c>
      <c r="AB12" s="54">
        <v>241.28480375892627</v>
      </c>
      <c r="AC12" s="54"/>
      <c r="AD12" s="54">
        <f t="shared" si="31"/>
        <v>-157.73258165837188</v>
      </c>
      <c r="AE12" s="54">
        <f>'RD T1'!E98</f>
        <v>154.80122919419654</v>
      </c>
      <c r="AF12" s="54">
        <f t="shared" si="32"/>
        <v>-2.9313524641753474</v>
      </c>
      <c r="AH12" t="str">
        <f t="shared" si="33"/>
        <v>23 Teaching and other educational professionals</v>
      </c>
      <c r="AI12" s="54">
        <v>57.559882681567736</v>
      </c>
      <c r="AJ12" s="54">
        <v>33.967700447012689</v>
      </c>
      <c r="AK12" s="54">
        <v>31.812407522960381</v>
      </c>
      <c r="AL12" s="54">
        <v>18.465451231183124</v>
      </c>
      <c r="AM12" s="54">
        <v>18.338872241547527</v>
      </c>
      <c r="AN12" s="54"/>
      <c r="AO12" s="54">
        <f t="shared" si="34"/>
        <v>-13.473535281412854</v>
      </c>
      <c r="AP12" s="54">
        <f>'RD T1'!E127</f>
        <v>6.1298775388603506</v>
      </c>
      <c r="AQ12" s="54">
        <f t="shared" si="35"/>
        <v>-7.3436577425525034</v>
      </c>
      <c r="AS12" t="str">
        <f t="shared" si="36"/>
        <v>23 Teaching and other educational professionals</v>
      </c>
      <c r="AT12" s="54">
        <v>16.234252795736623</v>
      </c>
      <c r="AU12" s="54">
        <v>16.256444990931264</v>
      </c>
      <c r="AV12" s="54">
        <v>17.405918454900569</v>
      </c>
      <c r="AW12" s="54">
        <v>14.532179773867021</v>
      </c>
      <c r="AX12" s="54">
        <v>13.236834371669651</v>
      </c>
      <c r="AY12" s="54"/>
      <c r="AZ12" s="54">
        <f t="shared" si="37"/>
        <v>-4.1690840832309171</v>
      </c>
      <c r="BA12" s="54">
        <f>'RD T1'!E156</f>
        <v>7.2556964094830807</v>
      </c>
      <c r="BB12" s="54">
        <f t="shared" si="38"/>
        <v>3.0866123262521636</v>
      </c>
      <c r="BD12" t="str">
        <f t="shared" si="39"/>
        <v>23 Teaching and other educational professionals</v>
      </c>
      <c r="BE12" s="54">
        <v>55.334410635134333</v>
      </c>
      <c r="BF12" s="54">
        <v>57.103814237687438</v>
      </c>
      <c r="BG12" s="54">
        <v>63.805255054476447</v>
      </c>
      <c r="BH12" s="54">
        <v>57.605047603485481</v>
      </c>
      <c r="BI12" s="54">
        <v>62.540014608562529</v>
      </c>
      <c r="BJ12" s="54"/>
      <c r="BK12" s="54">
        <f t="shared" si="40"/>
        <v>-1.2652404459139177</v>
      </c>
      <c r="BL12" s="54">
        <f>'RD T1'!E185</f>
        <v>24.940271372884848</v>
      </c>
      <c r="BM12" s="54">
        <f t="shared" si="41"/>
        <v>23.67503092697093</v>
      </c>
      <c r="BO12" t="str">
        <f t="shared" si="42"/>
        <v>23 Teaching and other educational professionals</v>
      </c>
      <c r="BP12" s="54">
        <v>43.396966978833362</v>
      </c>
      <c r="BQ12" s="54">
        <v>44.722170631970279</v>
      </c>
      <c r="BR12" s="54">
        <v>45.053147846999231</v>
      </c>
      <c r="BS12" s="54">
        <v>39.298766598635595</v>
      </c>
      <c r="BT12" s="54">
        <v>34.111002097343615</v>
      </c>
      <c r="BU12" s="54"/>
      <c r="BV12" s="54">
        <f t="shared" si="43"/>
        <v>-10.942145749655616</v>
      </c>
      <c r="BW12" s="54">
        <f>'RD T1'!E214</f>
        <v>17.483366360495872</v>
      </c>
      <c r="BX12" s="54">
        <f t="shared" si="44"/>
        <v>6.5412206108402557</v>
      </c>
      <c r="BZ12" t="str">
        <f t="shared" si="45"/>
        <v>23 Teaching and other educational professionals</v>
      </c>
      <c r="CA12" s="54">
        <v>30.94019508676714</v>
      </c>
      <c r="CB12" s="54">
        <v>32.003387425009272</v>
      </c>
      <c r="CC12" s="54">
        <v>32.980425698827261</v>
      </c>
      <c r="CD12" s="54">
        <v>28.854379020097554</v>
      </c>
      <c r="CE12" s="54">
        <v>22.05039763685404</v>
      </c>
      <c r="CF12" s="54"/>
      <c r="CG12" s="54">
        <f t="shared" si="46"/>
        <v>-10.930028061973221</v>
      </c>
      <c r="CH12" s="54">
        <f>'RD T1'!E243</f>
        <v>11.312084507594919</v>
      </c>
      <c r="CI12" s="54">
        <f t="shared" si="47"/>
        <v>0.38205644562169816</v>
      </c>
      <c r="CK12" t="str">
        <f t="shared" si="48"/>
        <v>23 Teaching and other educational professionals</v>
      </c>
      <c r="CL12" s="54">
        <v>5.9045609233032854</v>
      </c>
      <c r="CM12" s="54">
        <v>6.9092187348542202</v>
      </c>
      <c r="CN12" s="54">
        <v>7.8679704696597952</v>
      </c>
      <c r="CO12" s="54">
        <v>7.7015305146249906</v>
      </c>
      <c r="CP12" s="54">
        <v>7.5370763511777294</v>
      </c>
      <c r="CQ12" s="54"/>
      <c r="CR12" s="54">
        <f t="shared" si="49"/>
        <v>-0.33089411848206574</v>
      </c>
      <c r="CS12" s="54">
        <f>'RD T1'!E272</f>
        <v>2.9702532601061558</v>
      </c>
      <c r="CT12" s="54">
        <f t="shared" si="50"/>
        <v>2.63935914162409</v>
      </c>
    </row>
    <row r="13" spans="1:98">
      <c r="A13" s="10" t="str">
        <f>name!D9</f>
        <v>24 Business, media and public service professionals</v>
      </c>
      <c r="B13" s="54">
        <v>32.035187270554815</v>
      </c>
      <c r="C13" s="54">
        <v>44.33842468464313</v>
      </c>
      <c r="D13" s="54">
        <v>47.81146910739708</v>
      </c>
      <c r="E13" s="54">
        <v>63.761154670177788</v>
      </c>
      <c r="F13" s="54">
        <v>94.037850893871749</v>
      </c>
      <c r="G13" s="11"/>
      <c r="H13" s="54">
        <f t="shared" si="51"/>
        <v>46.226381786474668</v>
      </c>
      <c r="I13" s="54">
        <f>'RD T1'!E41</f>
        <v>35.323917721241273</v>
      </c>
      <c r="J13" s="54">
        <f t="shared" si="26"/>
        <v>81.550299507715948</v>
      </c>
      <c r="L13" t="str">
        <f t="shared" si="27"/>
        <v>24 Business, media and public service professionals</v>
      </c>
      <c r="M13" s="54">
        <v>400.42282557363467</v>
      </c>
      <c r="N13" s="54">
        <v>555.35483610815129</v>
      </c>
      <c r="O13" s="54">
        <v>594.44816508087706</v>
      </c>
      <c r="P13" s="54">
        <v>754.46509342684897</v>
      </c>
      <c r="Q13" s="54">
        <v>1027.5233644973775</v>
      </c>
      <c r="R13" s="11"/>
      <c r="S13" s="54">
        <f t="shared" si="28"/>
        <v>433.07519941650048</v>
      </c>
      <c r="T13" s="54">
        <f>'RD T1'!E70</f>
        <v>408.2511548276409</v>
      </c>
      <c r="U13" s="54">
        <f t="shared" si="29"/>
        <v>841.32635424414138</v>
      </c>
      <c r="W13" t="str">
        <f t="shared" si="30"/>
        <v>24 Business, media and public service professionals</v>
      </c>
      <c r="X13" s="54">
        <v>703.80527169444417</v>
      </c>
      <c r="Y13" s="54">
        <v>796.73336707210206</v>
      </c>
      <c r="Z13" s="54">
        <v>866.23688345642836</v>
      </c>
      <c r="AA13" s="54">
        <v>860.16437926374499</v>
      </c>
      <c r="AB13" s="54">
        <v>866.01263297894423</v>
      </c>
      <c r="AC13" s="54"/>
      <c r="AD13" s="54">
        <f t="shared" si="31"/>
        <v>-0.22425047748413363</v>
      </c>
      <c r="AE13" s="54">
        <f>'RD T1'!E99</f>
        <v>447.79499192127582</v>
      </c>
      <c r="AF13" s="54">
        <f t="shared" si="32"/>
        <v>447.57074144379169</v>
      </c>
      <c r="AH13" t="str">
        <f t="shared" si="33"/>
        <v>24 Business, media and public service professionals</v>
      </c>
      <c r="AI13" s="54">
        <v>69.909451855754256</v>
      </c>
      <c r="AJ13" s="54">
        <v>68.030083335891959</v>
      </c>
      <c r="AK13" s="54">
        <v>76.778294461262533</v>
      </c>
      <c r="AL13" s="54">
        <v>69.662473218077167</v>
      </c>
      <c r="AM13" s="54">
        <v>71.378009438764622</v>
      </c>
      <c r="AN13" s="54"/>
      <c r="AO13" s="54">
        <f t="shared" si="34"/>
        <v>-5.4002850224979113</v>
      </c>
      <c r="AP13" s="54">
        <f>'RD T1'!E128</f>
        <v>27.169611317226373</v>
      </c>
      <c r="AQ13" s="54">
        <f t="shared" si="35"/>
        <v>21.769326294728462</v>
      </c>
      <c r="AS13" t="str">
        <f t="shared" si="36"/>
        <v>24 Business, media and public service professionals</v>
      </c>
      <c r="AT13" s="54">
        <v>107.24226470487724</v>
      </c>
      <c r="AU13" s="54">
        <v>118.91400866278856</v>
      </c>
      <c r="AV13" s="54">
        <v>132.60578942461001</v>
      </c>
      <c r="AW13" s="54">
        <v>133.11349157790943</v>
      </c>
      <c r="AX13" s="54">
        <v>140.12793770843066</v>
      </c>
      <c r="AY13" s="54"/>
      <c r="AZ13" s="54">
        <f t="shared" si="37"/>
        <v>7.5221482838206555</v>
      </c>
      <c r="BA13" s="54">
        <f>'RD T1'!E157</f>
        <v>66.648766206714285</v>
      </c>
      <c r="BB13" s="54">
        <f t="shared" si="38"/>
        <v>74.17091449053494</v>
      </c>
      <c r="BD13" t="str">
        <f t="shared" si="39"/>
        <v>24 Business, media and public service professionals</v>
      </c>
      <c r="BE13" s="54">
        <v>211.66835953212072</v>
      </c>
      <c r="BF13" s="54">
        <v>240.95051970047106</v>
      </c>
      <c r="BG13" s="54">
        <v>267.88170328424013</v>
      </c>
      <c r="BH13" s="54">
        <v>262.61444034410596</v>
      </c>
      <c r="BI13" s="54">
        <v>267.30013517447134</v>
      </c>
      <c r="BJ13" s="54"/>
      <c r="BK13" s="54">
        <f t="shared" si="40"/>
        <v>-0.58156810976879569</v>
      </c>
      <c r="BL13" s="54">
        <f>'RD T1'!E186</f>
        <v>108.03900597617029</v>
      </c>
      <c r="BM13" s="54">
        <f t="shared" si="41"/>
        <v>107.45743786640149</v>
      </c>
      <c r="BO13" t="str">
        <f t="shared" si="42"/>
        <v>24 Business, media and public service professionals</v>
      </c>
      <c r="BP13" s="54">
        <v>154.23130354578421</v>
      </c>
      <c r="BQ13" s="54">
        <v>168.55646425203702</v>
      </c>
      <c r="BR13" s="54">
        <v>173.11526902517599</v>
      </c>
      <c r="BS13" s="54">
        <v>158.82919865102446</v>
      </c>
      <c r="BT13" s="54">
        <v>127.52745363886899</v>
      </c>
      <c r="BU13" s="54"/>
      <c r="BV13" s="54">
        <f t="shared" si="43"/>
        <v>-45.587815386307</v>
      </c>
      <c r="BW13" s="54">
        <f>'RD T1'!E215</f>
        <v>60.04397745856734</v>
      </c>
      <c r="BX13" s="54">
        <f t="shared" si="44"/>
        <v>14.456162072260341</v>
      </c>
      <c r="BZ13" t="str">
        <f t="shared" si="45"/>
        <v>24 Business, media and public service professionals</v>
      </c>
      <c r="CA13" s="54">
        <v>95.792439828770938</v>
      </c>
      <c r="CB13" s="54">
        <v>106.756014142455</v>
      </c>
      <c r="CC13" s="54">
        <v>110.07349956784061</v>
      </c>
      <c r="CD13" s="54">
        <v>98.471947454800286</v>
      </c>
      <c r="CE13" s="54">
        <v>62.678802078407202</v>
      </c>
      <c r="CF13" s="54"/>
      <c r="CG13" s="54">
        <f t="shared" si="46"/>
        <v>-47.394697489433412</v>
      </c>
      <c r="CH13" s="54">
        <f>'RD T1'!E244</f>
        <v>32.531722921511388</v>
      </c>
      <c r="CI13" s="54">
        <f t="shared" si="47"/>
        <v>-14.862974567922024</v>
      </c>
      <c r="CK13" t="str">
        <f t="shared" si="48"/>
        <v>24 Business, media and public service professionals</v>
      </c>
      <c r="CL13" s="54">
        <v>21.864775539726782</v>
      </c>
      <c r="CM13" s="54">
        <v>26.375826595773276</v>
      </c>
      <c r="CN13" s="54">
        <v>25.789818829127732</v>
      </c>
      <c r="CO13" s="54">
        <v>26.447638376527276</v>
      </c>
      <c r="CP13" s="54">
        <v>25.98693065891414</v>
      </c>
      <c r="CQ13" s="54"/>
      <c r="CR13" s="54">
        <f t="shared" si="49"/>
        <v>0.19711182978640807</v>
      </c>
      <c r="CS13" s="54">
        <f>'RD T1'!E273</f>
        <v>9.0250448053513157</v>
      </c>
      <c r="CT13" s="54">
        <f t="shared" si="50"/>
        <v>9.2221566351377238</v>
      </c>
    </row>
    <row r="14" spans="1:98">
      <c r="A14" s="10" t="str">
        <f>name!D10</f>
        <v>31 Science, engineering and technology associate professionals</v>
      </c>
      <c r="B14" s="54">
        <v>8.6348573376753084</v>
      </c>
      <c r="C14" s="54">
        <v>12.451300001063846</v>
      </c>
      <c r="D14" s="54">
        <v>13.37865709101507</v>
      </c>
      <c r="E14" s="54">
        <v>16.442587428307831</v>
      </c>
      <c r="F14" s="54">
        <v>25.553139342311887</v>
      </c>
      <c r="G14" s="11"/>
      <c r="H14" s="54">
        <f t="shared" si="51"/>
        <v>12.174482251296817</v>
      </c>
      <c r="I14" s="54">
        <f>'RD T1'!E42</f>
        <v>9.0081440943569699</v>
      </c>
      <c r="J14" s="54">
        <f t="shared" si="26"/>
        <v>21.182626345653787</v>
      </c>
      <c r="L14" t="str">
        <f t="shared" si="27"/>
        <v>31 Science, engineering and technology associate professionals</v>
      </c>
      <c r="M14" s="54">
        <v>50.505299879355768</v>
      </c>
      <c r="N14" s="54">
        <v>69.646841649429589</v>
      </c>
      <c r="O14" s="54">
        <v>75.758779551247571</v>
      </c>
      <c r="P14" s="54">
        <v>87.988561537567776</v>
      </c>
      <c r="Q14" s="54">
        <v>123.85678316148051</v>
      </c>
      <c r="R14" s="11"/>
      <c r="S14" s="54">
        <f t="shared" si="28"/>
        <v>48.098003610232936</v>
      </c>
      <c r="T14" s="54">
        <f>'RD T1'!E71</f>
        <v>43.397030454878987</v>
      </c>
      <c r="U14" s="54">
        <f t="shared" si="29"/>
        <v>91.495034065111923</v>
      </c>
      <c r="W14" t="str">
        <f t="shared" si="30"/>
        <v>31 Science, engineering and technology associate professionals</v>
      </c>
      <c r="X14" s="54">
        <v>124.25261093417863</v>
      </c>
      <c r="Y14" s="54">
        <v>148.98150982139074</v>
      </c>
      <c r="Z14" s="54">
        <v>159.38396175918751</v>
      </c>
      <c r="AA14" s="54">
        <v>155.25159489149641</v>
      </c>
      <c r="AB14" s="54">
        <v>172.03365955687698</v>
      </c>
      <c r="AC14" s="54"/>
      <c r="AD14" s="54">
        <f t="shared" si="31"/>
        <v>12.64969779768947</v>
      </c>
      <c r="AE14" s="54">
        <f>'RD T1'!E100</f>
        <v>73.10458031951859</v>
      </c>
      <c r="AF14" s="54">
        <f t="shared" si="32"/>
        <v>85.754278117208059</v>
      </c>
      <c r="AH14" t="str">
        <f t="shared" si="33"/>
        <v>31 Science, engineering and technology associate professionals</v>
      </c>
      <c r="AI14" s="54">
        <v>20.418450995317059</v>
      </c>
      <c r="AJ14" s="54">
        <v>25.076703580674419</v>
      </c>
      <c r="AK14" s="54">
        <v>28.003822197619829</v>
      </c>
      <c r="AL14" s="54">
        <v>29.734971423773487</v>
      </c>
      <c r="AM14" s="54">
        <v>38.626295479697745</v>
      </c>
      <c r="AN14" s="54"/>
      <c r="AO14" s="54">
        <f t="shared" si="34"/>
        <v>10.622473282077916</v>
      </c>
      <c r="AP14" s="54">
        <f>'RD T1'!E129</f>
        <v>15.543414553766842</v>
      </c>
      <c r="AQ14" s="54">
        <f t="shared" si="35"/>
        <v>26.165887835844757</v>
      </c>
      <c r="AS14" t="str">
        <f t="shared" si="36"/>
        <v>31 Science, engineering and technology associate professionals</v>
      </c>
      <c r="AT14" s="54">
        <v>53.667372403140568</v>
      </c>
      <c r="AU14" s="54">
        <v>58.184099475399506</v>
      </c>
      <c r="AV14" s="54">
        <v>61.856862746993393</v>
      </c>
      <c r="AW14" s="54">
        <v>54.183197372730341</v>
      </c>
      <c r="AX14" s="54">
        <v>53.994960665619324</v>
      </c>
      <c r="AY14" s="54"/>
      <c r="AZ14" s="54">
        <f t="shared" si="37"/>
        <v>-7.861902081374069</v>
      </c>
      <c r="BA14" s="54">
        <f>'RD T1'!E158</f>
        <v>21.421863198091561</v>
      </c>
      <c r="BB14" s="54">
        <f t="shared" si="38"/>
        <v>13.559961116717492</v>
      </c>
      <c r="BD14" t="str">
        <f t="shared" si="39"/>
        <v>31 Science, engineering and technology associate professionals</v>
      </c>
      <c r="BE14" s="54">
        <v>84.374919950256555</v>
      </c>
      <c r="BF14" s="54">
        <v>89.623605926819479</v>
      </c>
      <c r="BG14" s="54">
        <v>99.72964743110299</v>
      </c>
      <c r="BH14" s="54">
        <v>78.864316838817203</v>
      </c>
      <c r="BI14" s="54">
        <v>65.18292876606408</v>
      </c>
      <c r="BJ14" s="54"/>
      <c r="BK14" s="54">
        <f t="shared" si="40"/>
        <v>-34.54671866503891</v>
      </c>
      <c r="BL14" s="54">
        <f>'RD T1'!E187</f>
        <v>26.377281208930704</v>
      </c>
      <c r="BM14" s="54">
        <f t="shared" si="41"/>
        <v>-8.1694374561082057</v>
      </c>
      <c r="BO14" t="str">
        <f t="shared" si="42"/>
        <v>31 Science, engineering and technology associate professionals</v>
      </c>
      <c r="BP14" s="54">
        <v>62.794444979434651</v>
      </c>
      <c r="BQ14" s="54">
        <v>71.554177811626403</v>
      </c>
      <c r="BR14" s="54">
        <v>75.13090533230698</v>
      </c>
      <c r="BS14" s="54">
        <v>66.110902319886478</v>
      </c>
      <c r="BT14" s="54">
        <v>62.113094672182136</v>
      </c>
      <c r="BU14" s="54"/>
      <c r="BV14" s="54">
        <f t="shared" si="43"/>
        <v>-13.017810660124844</v>
      </c>
      <c r="BW14" s="54">
        <f>'RD T1'!E216</f>
        <v>24.606241652498174</v>
      </c>
      <c r="BX14" s="54">
        <f t="shared" si="44"/>
        <v>11.588430992373329</v>
      </c>
      <c r="BZ14" t="str">
        <f t="shared" si="45"/>
        <v>31 Science, engineering and technology associate professionals</v>
      </c>
      <c r="CA14" s="54">
        <v>49.122376503099169</v>
      </c>
      <c r="CB14" s="54">
        <v>57.669725046990195</v>
      </c>
      <c r="CC14" s="54">
        <v>61.255054141887378</v>
      </c>
      <c r="CD14" s="54">
        <v>53.600130214379654</v>
      </c>
      <c r="CE14" s="54">
        <v>42.921332576184383</v>
      </c>
      <c r="CF14" s="54"/>
      <c r="CG14" s="54">
        <f t="shared" si="46"/>
        <v>-18.333721565702994</v>
      </c>
      <c r="CH14" s="54">
        <f>'RD T1'!E245</f>
        <v>17.666672697908758</v>
      </c>
      <c r="CI14" s="54">
        <f t="shared" si="47"/>
        <v>-0.66704886779423589</v>
      </c>
      <c r="CK14" t="str">
        <f t="shared" si="48"/>
        <v>31 Science, engineering and technology associate professionals</v>
      </c>
      <c r="CL14" s="54">
        <v>9.5124097291969534</v>
      </c>
      <c r="CM14" s="54">
        <v>12.638643136378212</v>
      </c>
      <c r="CN14" s="54">
        <v>13.909727452078373</v>
      </c>
      <c r="CO14" s="54">
        <v>15.249536723050765</v>
      </c>
      <c r="CP14" s="54">
        <v>20.050269727304507</v>
      </c>
      <c r="CQ14" s="54"/>
      <c r="CR14" s="54">
        <f t="shared" si="49"/>
        <v>6.1405422752261334</v>
      </c>
      <c r="CS14" s="54">
        <f>'RD T1'!E274</f>
        <v>6.2371815360897784</v>
      </c>
      <c r="CT14" s="54">
        <f t="shared" si="50"/>
        <v>12.377723811315912</v>
      </c>
    </row>
    <row r="15" spans="1:98">
      <c r="A15" s="10" t="str">
        <f>name!D11</f>
        <v>32 Health and social care associate professionals</v>
      </c>
      <c r="B15" s="54">
        <v>2.1424124865945959</v>
      </c>
      <c r="C15" s="54">
        <v>3.0045085475117679</v>
      </c>
      <c r="D15" s="54">
        <v>2.800659406434352</v>
      </c>
      <c r="E15" s="54">
        <v>5.6055630401948777</v>
      </c>
      <c r="F15" s="54">
        <v>9.9040133753048547</v>
      </c>
      <c r="G15" s="11"/>
      <c r="H15" s="54">
        <f t="shared" si="51"/>
        <v>7.1033539688705023</v>
      </c>
      <c r="I15" s="54">
        <f>'RD T1'!E43</f>
        <v>4.0568279361388369</v>
      </c>
      <c r="J15" s="54">
        <f t="shared" si="26"/>
        <v>11.160181905009338</v>
      </c>
      <c r="L15" t="str">
        <f t="shared" si="27"/>
        <v>32 Health and social care associate professionals</v>
      </c>
      <c r="M15" s="54">
        <v>47.858241625586956</v>
      </c>
      <c r="N15" s="54">
        <v>66.956817116706731</v>
      </c>
      <c r="O15" s="54">
        <v>68.936374972984652</v>
      </c>
      <c r="P15" s="54">
        <v>138.5835039892618</v>
      </c>
      <c r="Q15" s="54">
        <v>228.47995203029899</v>
      </c>
      <c r="R15" s="11"/>
      <c r="S15" s="54">
        <f t="shared" si="28"/>
        <v>159.54357705731434</v>
      </c>
      <c r="T15" s="54">
        <f>'RD T1'!E72</f>
        <v>93.732807712935653</v>
      </c>
      <c r="U15" s="54">
        <f t="shared" si="29"/>
        <v>253.27638477024999</v>
      </c>
      <c r="W15" t="str">
        <f t="shared" si="30"/>
        <v>32 Health and social care associate professionals</v>
      </c>
      <c r="X15" s="54">
        <v>143.31712378173742</v>
      </c>
      <c r="Y15" s="54">
        <v>168.91969572257509</v>
      </c>
      <c r="Z15" s="54">
        <v>176.63848816815215</v>
      </c>
      <c r="AA15" s="54">
        <v>298.87620478071096</v>
      </c>
      <c r="AB15" s="54">
        <v>378.4392606927654</v>
      </c>
      <c r="AC15" s="54"/>
      <c r="AD15" s="54">
        <f t="shared" si="31"/>
        <v>201.80077252461325</v>
      </c>
      <c r="AE15" s="54">
        <f>'RD T1'!E101</f>
        <v>201.83882275581342</v>
      </c>
      <c r="AF15" s="54">
        <f t="shared" si="32"/>
        <v>403.63959528042665</v>
      </c>
      <c r="AH15" t="str">
        <f t="shared" si="33"/>
        <v>32 Health and social care associate professionals</v>
      </c>
      <c r="AI15" s="54">
        <v>100.68924323457577</v>
      </c>
      <c r="AJ15" s="54">
        <v>87.75827000820081</v>
      </c>
      <c r="AK15" s="54">
        <v>87.012025656230563</v>
      </c>
      <c r="AL15" s="54">
        <v>97.463187712541767</v>
      </c>
      <c r="AM15" s="54">
        <v>60.472335754718813</v>
      </c>
      <c r="AN15" s="54"/>
      <c r="AO15" s="54">
        <f t="shared" si="34"/>
        <v>-26.53968990151175</v>
      </c>
      <c r="AP15" s="54">
        <f>'RD T1'!E130</f>
        <v>37.688045995580381</v>
      </c>
      <c r="AQ15" s="54">
        <f t="shared" si="35"/>
        <v>11.148356094068632</v>
      </c>
      <c r="AS15" t="str">
        <f t="shared" si="36"/>
        <v>32 Health and social care associate professionals</v>
      </c>
      <c r="AT15" s="54">
        <v>21.719666319342032</v>
      </c>
      <c r="AU15" s="54">
        <v>24.656265822153795</v>
      </c>
      <c r="AV15" s="54">
        <v>27.880815055717839</v>
      </c>
      <c r="AW15" s="54">
        <v>40.429817752812774</v>
      </c>
      <c r="AX15" s="54">
        <v>47.364479309286914</v>
      </c>
      <c r="AY15" s="54"/>
      <c r="AZ15" s="54">
        <f t="shared" si="37"/>
        <v>19.483664253569074</v>
      </c>
      <c r="BA15" s="54">
        <f>'RD T1'!E159</f>
        <v>24.280068819186745</v>
      </c>
      <c r="BB15" s="54">
        <f t="shared" si="38"/>
        <v>43.763733072755819</v>
      </c>
      <c r="BD15" t="str">
        <f t="shared" si="39"/>
        <v>32 Health and social care associate professionals</v>
      </c>
      <c r="BE15" s="54">
        <v>80.085427623306231</v>
      </c>
      <c r="BF15" s="54">
        <v>98.827695222657326</v>
      </c>
      <c r="BG15" s="54">
        <v>103.70870643350668</v>
      </c>
      <c r="BH15" s="54">
        <v>171.11110015368152</v>
      </c>
      <c r="BI15" s="54">
        <v>208.89861587356893</v>
      </c>
      <c r="BJ15" s="54"/>
      <c r="BK15" s="54">
        <f t="shared" si="40"/>
        <v>105.18990944006225</v>
      </c>
      <c r="BL15" s="54">
        <f>'RD T1'!E188</f>
        <v>102.98043418473348</v>
      </c>
      <c r="BM15" s="54">
        <f t="shared" si="41"/>
        <v>208.17034362479575</v>
      </c>
      <c r="BO15" t="str">
        <f t="shared" si="42"/>
        <v>32 Health and social care associate professionals</v>
      </c>
      <c r="BP15" s="54">
        <v>65.832164063194767</v>
      </c>
      <c r="BQ15" s="54">
        <v>75.02385368353616</v>
      </c>
      <c r="BR15" s="54">
        <v>72.204719962111326</v>
      </c>
      <c r="BS15" s="54">
        <v>106.88679533884894</v>
      </c>
      <c r="BT15" s="54">
        <v>92.021323597616643</v>
      </c>
      <c r="BU15" s="54"/>
      <c r="BV15" s="54">
        <f t="shared" si="43"/>
        <v>19.816603635505317</v>
      </c>
      <c r="BW15" s="54">
        <f>'RD T1'!E217</f>
        <v>51.892855019074922</v>
      </c>
      <c r="BX15" s="54">
        <f t="shared" si="44"/>
        <v>71.709458654580231</v>
      </c>
      <c r="BZ15" t="str">
        <f t="shared" si="45"/>
        <v>32 Health and social care associate professionals</v>
      </c>
      <c r="CA15" s="54">
        <v>27.443859174872475</v>
      </c>
      <c r="CB15" s="54">
        <v>26.307883071448487</v>
      </c>
      <c r="CC15" s="54">
        <v>23.657839568444032</v>
      </c>
      <c r="CD15" s="54">
        <v>31.308685605339416</v>
      </c>
      <c r="CE15" s="54">
        <v>21.232063751409434</v>
      </c>
      <c r="CF15" s="54"/>
      <c r="CG15" s="54">
        <f t="shared" si="46"/>
        <v>-2.425775817034598</v>
      </c>
      <c r="CH15" s="54">
        <f>'RD T1'!E246</f>
        <v>11.71211784568408</v>
      </c>
      <c r="CI15" s="54">
        <f t="shared" si="47"/>
        <v>9.2863420286494822</v>
      </c>
      <c r="CK15" t="str">
        <f t="shared" si="48"/>
        <v>32 Health and social care associate professionals</v>
      </c>
      <c r="CL15" s="54">
        <v>3.9138815724498368</v>
      </c>
      <c r="CM15" s="54">
        <v>4.3689090628884886</v>
      </c>
      <c r="CN15" s="54">
        <v>4.3366892885218515</v>
      </c>
      <c r="CO15" s="54">
        <v>6.6790358321363623</v>
      </c>
      <c r="CP15" s="54">
        <v>8.3920889689066165</v>
      </c>
      <c r="CQ15" s="54"/>
      <c r="CR15" s="54">
        <f t="shared" si="49"/>
        <v>4.0553996803847649</v>
      </c>
      <c r="CS15" s="54">
        <f>'RD T1'!E275</f>
        <v>2.8606166718192081</v>
      </c>
      <c r="CT15" s="54">
        <f t="shared" si="50"/>
        <v>6.9160163522039735</v>
      </c>
    </row>
    <row r="16" spans="1:98">
      <c r="A16" s="10" t="str">
        <f>name!D12</f>
        <v>33 Protective service occupations</v>
      </c>
      <c r="B16" s="54">
        <v>1.0551064599466993</v>
      </c>
      <c r="C16" s="54">
        <v>1.2472428576210379</v>
      </c>
      <c r="D16" s="54">
        <v>1.3117040507035429</v>
      </c>
      <c r="E16" s="54">
        <v>1.5981242514850242</v>
      </c>
      <c r="F16" s="54">
        <v>2.4882320683251451</v>
      </c>
      <c r="G16" s="11"/>
      <c r="H16" s="54">
        <f t="shared" si="51"/>
        <v>1.1765280176216022</v>
      </c>
      <c r="I16" s="54">
        <f>'RD T1'!E44</f>
        <v>0.66620726116196594</v>
      </c>
      <c r="J16" s="54">
        <f t="shared" si="26"/>
        <v>1.842735278783568</v>
      </c>
      <c r="L16" t="str">
        <f t="shared" si="27"/>
        <v>33 Protective service occupations</v>
      </c>
      <c r="M16" s="54">
        <v>16.542782666141328</v>
      </c>
      <c r="N16" s="54">
        <v>20.802170923820864</v>
      </c>
      <c r="O16" s="54">
        <v>22.910013296338676</v>
      </c>
      <c r="P16" s="54">
        <v>25.363514795518363</v>
      </c>
      <c r="Q16" s="54">
        <v>40.656526243341716</v>
      </c>
      <c r="R16" s="11"/>
      <c r="S16" s="54">
        <f t="shared" si="28"/>
        <v>17.74651294700304</v>
      </c>
      <c r="T16" s="54">
        <f>'RD T1'!E73</f>
        <v>9.9562254997430983</v>
      </c>
      <c r="U16" s="54">
        <f t="shared" si="29"/>
        <v>27.702738446746139</v>
      </c>
      <c r="W16" t="str">
        <f t="shared" si="30"/>
        <v>33 Protective service occupations</v>
      </c>
      <c r="X16" s="54">
        <v>68.533232069305214</v>
      </c>
      <c r="Y16" s="54">
        <v>76.836252430304199</v>
      </c>
      <c r="Z16" s="54">
        <v>85.982075183148353</v>
      </c>
      <c r="AA16" s="54">
        <v>78.423055398589682</v>
      </c>
      <c r="AB16" s="54">
        <v>101.76193997383547</v>
      </c>
      <c r="AC16" s="54"/>
      <c r="AD16" s="54">
        <f t="shared" si="31"/>
        <v>15.779864790687114</v>
      </c>
      <c r="AE16" s="54">
        <f>'RD T1'!E102</f>
        <v>36.402082298895209</v>
      </c>
      <c r="AF16" s="54">
        <f t="shared" si="32"/>
        <v>52.181947089582323</v>
      </c>
      <c r="AH16" t="str">
        <f t="shared" si="33"/>
        <v>33 Protective service occupations</v>
      </c>
      <c r="AI16" s="54">
        <v>18.769714738273997</v>
      </c>
      <c r="AJ16" s="54">
        <v>20.442347398535823</v>
      </c>
      <c r="AK16" s="54">
        <v>23.174940434744304</v>
      </c>
      <c r="AL16" s="54">
        <v>21.538873634735985</v>
      </c>
      <c r="AM16" s="54">
        <v>27.722079125457629</v>
      </c>
      <c r="AN16" s="54"/>
      <c r="AO16" s="54">
        <f t="shared" si="34"/>
        <v>4.5471386907133251</v>
      </c>
      <c r="AP16" s="54">
        <f>'RD T1'!E131</f>
        <v>8.8321287775934501</v>
      </c>
      <c r="AQ16" s="54">
        <f t="shared" si="35"/>
        <v>13.379267468306775</v>
      </c>
      <c r="AS16" t="str">
        <f t="shared" si="36"/>
        <v>33 Protective service occupations</v>
      </c>
      <c r="AT16" s="54">
        <v>17.387828736026727</v>
      </c>
      <c r="AU16" s="54">
        <v>16.164247285643437</v>
      </c>
      <c r="AV16" s="54">
        <v>17.646714969927086</v>
      </c>
      <c r="AW16" s="54">
        <v>13.726282813890069</v>
      </c>
      <c r="AX16" s="54">
        <v>14.75500661115316</v>
      </c>
      <c r="AY16" s="54"/>
      <c r="AZ16" s="54">
        <f t="shared" si="37"/>
        <v>-2.8917083587739256</v>
      </c>
      <c r="BA16" s="54">
        <f>'RD T1'!E160</f>
        <v>5.1852929053471666</v>
      </c>
      <c r="BB16" s="54">
        <f t="shared" si="38"/>
        <v>2.293584546573241</v>
      </c>
      <c r="BD16" t="str">
        <f t="shared" si="39"/>
        <v>33 Protective service occupations</v>
      </c>
      <c r="BE16" s="54">
        <v>60.427161697384932</v>
      </c>
      <c r="BF16" s="54">
        <v>56.58229748315388</v>
      </c>
      <c r="BG16" s="54">
        <v>60.920644218364053</v>
      </c>
      <c r="BH16" s="54">
        <v>48.069945502948727</v>
      </c>
      <c r="BI16" s="54">
        <v>41.702596234348512</v>
      </c>
      <c r="BJ16" s="54"/>
      <c r="BK16" s="54">
        <f t="shared" si="40"/>
        <v>-19.218047984015541</v>
      </c>
      <c r="BL16" s="54">
        <f>'RD T1'!E189</f>
        <v>11.769425485779303</v>
      </c>
      <c r="BM16" s="54">
        <f t="shared" si="41"/>
        <v>-7.4486224982362383</v>
      </c>
      <c r="BO16" t="str">
        <f t="shared" si="42"/>
        <v>33 Protective service occupations</v>
      </c>
      <c r="BP16" s="54">
        <v>67.231206676123776</v>
      </c>
      <c r="BQ16" s="54">
        <v>67.982902611430731</v>
      </c>
      <c r="BR16" s="54">
        <v>66.517401386878831</v>
      </c>
      <c r="BS16" s="54">
        <v>51.231725906982447</v>
      </c>
      <c r="BT16" s="54">
        <v>37.089111862454615</v>
      </c>
      <c r="BU16" s="54"/>
      <c r="BV16" s="54">
        <f t="shared" si="43"/>
        <v>-29.428289524424216</v>
      </c>
      <c r="BW16" s="54">
        <f>'RD T1'!E218</f>
        <v>13.659110580872461</v>
      </c>
      <c r="BX16" s="54">
        <f t="shared" si="44"/>
        <v>-15.769178943551754</v>
      </c>
      <c r="BZ16" t="str">
        <f t="shared" si="45"/>
        <v>33 Protective service occupations</v>
      </c>
      <c r="CA16" s="54">
        <v>38.1256158172067</v>
      </c>
      <c r="CB16" s="54">
        <v>37.362391354204441</v>
      </c>
      <c r="CC16" s="54">
        <v>37.383907858670774</v>
      </c>
      <c r="CD16" s="54">
        <v>29.633128883084115</v>
      </c>
      <c r="CE16" s="54">
        <v>24.768385843027239</v>
      </c>
      <c r="CF16" s="54"/>
      <c r="CG16" s="54">
        <f t="shared" si="46"/>
        <v>-12.615522015643535</v>
      </c>
      <c r="CH16" s="54">
        <f>'RD T1'!E247</f>
        <v>9.8181060953289094</v>
      </c>
      <c r="CI16" s="54">
        <f t="shared" si="47"/>
        <v>-2.7974159203146254</v>
      </c>
      <c r="CK16" t="str">
        <f t="shared" si="48"/>
        <v>33 Protective service occupations</v>
      </c>
      <c r="CL16" s="54">
        <v>6.4607333857187577</v>
      </c>
      <c r="CM16" s="54">
        <v>5.4179271216089893</v>
      </c>
      <c r="CN16" s="54">
        <v>5.0095329307529548</v>
      </c>
      <c r="CO16" s="54">
        <v>3.6283199612786436</v>
      </c>
      <c r="CP16" s="54">
        <v>3.0972502531008241</v>
      </c>
      <c r="CQ16" s="54"/>
      <c r="CR16" s="54">
        <f t="shared" si="49"/>
        <v>-1.9122826776521307</v>
      </c>
      <c r="CS16" s="54">
        <f>'RD T1'!E276</f>
        <v>0.76856912764039531</v>
      </c>
      <c r="CT16" s="54">
        <f t="shared" si="50"/>
        <v>-1.1437135500117352</v>
      </c>
    </row>
    <row r="17" spans="1:98">
      <c r="A17" s="10" t="str">
        <f>name!D13</f>
        <v>34 Culture, media and sports occupations</v>
      </c>
      <c r="B17" s="54">
        <v>5.8796468455785487</v>
      </c>
      <c r="C17" s="54">
        <v>8.1326461293282861</v>
      </c>
      <c r="D17" s="54">
        <v>8.6094888192194095</v>
      </c>
      <c r="E17" s="54">
        <v>10.323379612848651</v>
      </c>
      <c r="F17" s="54">
        <v>14.501616932847069</v>
      </c>
      <c r="G17" s="11"/>
      <c r="H17" s="54">
        <f t="shared" si="51"/>
        <v>5.8921281136276598</v>
      </c>
      <c r="I17" s="54">
        <f>'RD T1'!E45</f>
        <v>6.1935332129080818</v>
      </c>
      <c r="J17" s="54">
        <f t="shared" si="26"/>
        <v>12.085661326535742</v>
      </c>
      <c r="L17" t="str">
        <f t="shared" si="27"/>
        <v>34 Culture, media and sports occupations</v>
      </c>
      <c r="M17" s="54">
        <v>109.73979781996046</v>
      </c>
      <c r="N17" s="54">
        <v>130.66059263462901</v>
      </c>
      <c r="O17" s="54">
        <v>153.79273212253361</v>
      </c>
      <c r="P17" s="54">
        <v>176.14131970720311</v>
      </c>
      <c r="Q17" s="54">
        <v>245.9963602611904</v>
      </c>
      <c r="R17" s="11"/>
      <c r="S17" s="54">
        <f t="shared" si="28"/>
        <v>92.203628138656796</v>
      </c>
      <c r="T17" s="54">
        <f>'RD T1'!E74</f>
        <v>100.39343729242107</v>
      </c>
      <c r="U17" s="54">
        <f t="shared" si="29"/>
        <v>192.59706543107785</v>
      </c>
      <c r="W17" t="str">
        <f t="shared" si="30"/>
        <v>34 Culture, media and sports occupations</v>
      </c>
      <c r="X17" s="54">
        <v>247.03964223706768</v>
      </c>
      <c r="Y17" s="54">
        <v>241.28402948012405</v>
      </c>
      <c r="Z17" s="54">
        <v>263.4924970364458</v>
      </c>
      <c r="AA17" s="54">
        <v>234.07758545689882</v>
      </c>
      <c r="AB17" s="54">
        <v>237.77128725661876</v>
      </c>
      <c r="AC17" s="54"/>
      <c r="AD17" s="54">
        <f t="shared" si="31"/>
        <v>-25.721209779827035</v>
      </c>
      <c r="AE17" s="54">
        <f>'RD T1'!E103</f>
        <v>116.59777177020143</v>
      </c>
      <c r="AF17" s="54">
        <f t="shared" si="32"/>
        <v>90.876561990374398</v>
      </c>
      <c r="AH17" t="str">
        <f t="shared" si="33"/>
        <v>34 Culture, media and sports occupations</v>
      </c>
      <c r="AI17" s="54">
        <v>31.925295219984392</v>
      </c>
      <c r="AJ17" s="54">
        <v>32.121783305850727</v>
      </c>
      <c r="AK17" s="54">
        <v>37.66042712307538</v>
      </c>
      <c r="AL17" s="54">
        <v>34.037124057757701</v>
      </c>
      <c r="AM17" s="54">
        <v>40.783563796876074</v>
      </c>
      <c r="AN17" s="54"/>
      <c r="AO17" s="54">
        <f t="shared" si="34"/>
        <v>3.123136673800694</v>
      </c>
      <c r="AP17" s="54">
        <f>'RD T1'!E132</f>
        <v>17.818691316990577</v>
      </c>
      <c r="AQ17" s="54">
        <f t="shared" si="35"/>
        <v>20.941827990791271</v>
      </c>
      <c r="AS17" t="str">
        <f t="shared" si="36"/>
        <v>34 Culture, media and sports occupations</v>
      </c>
      <c r="AT17" s="54">
        <v>39.231146537686065</v>
      </c>
      <c r="AU17" s="54">
        <v>36.261127909704683</v>
      </c>
      <c r="AV17" s="54">
        <v>39.044078353658499</v>
      </c>
      <c r="AW17" s="54">
        <v>32.735480556444799</v>
      </c>
      <c r="AX17" s="54">
        <v>31.674736462160066</v>
      </c>
      <c r="AY17" s="54"/>
      <c r="AZ17" s="54">
        <f t="shared" si="37"/>
        <v>-7.3693418914984328</v>
      </c>
      <c r="BA17" s="54">
        <f>'RD T1'!E161</f>
        <v>15.484296507377628</v>
      </c>
      <c r="BB17" s="54">
        <f t="shared" si="38"/>
        <v>8.1149546158791956</v>
      </c>
      <c r="BD17" t="str">
        <f t="shared" si="39"/>
        <v>34 Culture, media and sports occupations</v>
      </c>
      <c r="BE17" s="54">
        <v>89.905371887386565</v>
      </c>
      <c r="BF17" s="54">
        <v>83.818522084108082</v>
      </c>
      <c r="BG17" s="54">
        <v>89.206517663312439</v>
      </c>
      <c r="BH17" s="54">
        <v>70.533063567491894</v>
      </c>
      <c r="BI17" s="54">
        <v>66.731645424225079</v>
      </c>
      <c r="BJ17" s="54"/>
      <c r="BK17" s="54">
        <f t="shared" si="40"/>
        <v>-22.474872239087361</v>
      </c>
      <c r="BL17" s="54">
        <f>'RD T1'!E190</f>
        <v>26.450767081697464</v>
      </c>
      <c r="BM17" s="54">
        <f t="shared" si="41"/>
        <v>3.9758948426101028</v>
      </c>
      <c r="BO17" t="str">
        <f t="shared" si="42"/>
        <v>34 Culture, media and sports occupations</v>
      </c>
      <c r="BP17" s="54">
        <v>50.287987215883888</v>
      </c>
      <c r="BQ17" s="54">
        <v>43.460020271584384</v>
      </c>
      <c r="BR17" s="54">
        <v>40.744987437033238</v>
      </c>
      <c r="BS17" s="54">
        <v>28.289548055003291</v>
      </c>
      <c r="BT17" s="54">
        <v>16.270171753873104</v>
      </c>
      <c r="BU17" s="54"/>
      <c r="BV17" s="54">
        <f t="shared" si="43"/>
        <v>-24.474815683160134</v>
      </c>
      <c r="BW17" s="54">
        <f>'RD T1'!E219</f>
        <v>9.2673865605507828</v>
      </c>
      <c r="BX17" s="54">
        <f t="shared" si="44"/>
        <v>-15.207429122609351</v>
      </c>
      <c r="BZ17" t="str">
        <f t="shared" si="45"/>
        <v>34 Culture, media and sports occupations</v>
      </c>
      <c r="CA17" s="54">
        <v>40.94810053944164</v>
      </c>
      <c r="CB17" s="54">
        <v>37.88622341673603</v>
      </c>
      <c r="CC17" s="54">
        <v>36.043960252654635</v>
      </c>
      <c r="CD17" s="54">
        <v>25.038083859500514</v>
      </c>
      <c r="CE17" s="54">
        <v>14.712734183956155</v>
      </c>
      <c r="CF17" s="54"/>
      <c r="CG17" s="54">
        <f t="shared" si="46"/>
        <v>-21.331226068698481</v>
      </c>
      <c r="CH17" s="54">
        <f>'RD T1'!E248</f>
        <v>7.8459942764677226</v>
      </c>
      <c r="CI17" s="54">
        <f t="shared" si="47"/>
        <v>-13.485231792230758</v>
      </c>
      <c r="CK17" t="str">
        <f t="shared" si="48"/>
        <v>34 Culture, media and sports occupations</v>
      </c>
      <c r="CL17" s="54">
        <v>12.412862979368422</v>
      </c>
      <c r="CM17" s="54">
        <v>13.753355249151827</v>
      </c>
      <c r="CN17" s="54">
        <v>12.373648742971801</v>
      </c>
      <c r="CO17" s="54">
        <v>11.03887552646451</v>
      </c>
      <c r="CP17" s="54">
        <v>10.174900179019456</v>
      </c>
      <c r="CQ17" s="54"/>
      <c r="CR17" s="54">
        <f t="shared" si="49"/>
        <v>-2.1987485639523445</v>
      </c>
      <c r="CS17" s="54">
        <f>'RD T1'!E277</f>
        <v>3.5630714833570432</v>
      </c>
      <c r="CT17" s="54">
        <f t="shared" si="50"/>
        <v>1.3643229194046986</v>
      </c>
    </row>
    <row r="18" spans="1:98">
      <c r="A18" s="10" t="str">
        <f>name!D14</f>
        <v>35 Business and public service associate professionals</v>
      </c>
      <c r="B18" s="54">
        <v>22.500028188667084</v>
      </c>
      <c r="C18" s="54">
        <v>29.338866803429223</v>
      </c>
      <c r="D18" s="54">
        <v>30.69451562432964</v>
      </c>
      <c r="E18" s="54">
        <v>41.496934500255087</v>
      </c>
      <c r="F18" s="54">
        <v>63.575558357993273</v>
      </c>
      <c r="G18" s="11"/>
      <c r="H18" s="54">
        <f t="shared" si="51"/>
        <v>32.881042733663634</v>
      </c>
      <c r="I18" s="54">
        <f>'RD T1'!E46</f>
        <v>22.826759051646945</v>
      </c>
      <c r="J18" s="54">
        <f t="shared" si="26"/>
        <v>55.707801785310579</v>
      </c>
      <c r="L18" t="str">
        <f t="shared" si="27"/>
        <v>35 Business and public service associate professionals</v>
      </c>
      <c r="M18" s="54">
        <v>236.83525457308565</v>
      </c>
      <c r="N18" s="54">
        <v>308.72749953036657</v>
      </c>
      <c r="O18" s="54">
        <v>321.43781420020179</v>
      </c>
      <c r="P18" s="54">
        <v>416.25728239977195</v>
      </c>
      <c r="Q18" s="54">
        <v>584.9217363573166</v>
      </c>
      <c r="R18" s="11"/>
      <c r="S18" s="54">
        <f t="shared" si="28"/>
        <v>263.48392215711482</v>
      </c>
      <c r="T18" s="54">
        <f>'RD T1'!E75</f>
        <v>227.57036761329982</v>
      </c>
      <c r="U18" s="54">
        <f t="shared" si="29"/>
        <v>491.05428977041464</v>
      </c>
      <c r="W18" t="str">
        <f t="shared" si="30"/>
        <v>35 Business and public service associate professionals</v>
      </c>
      <c r="X18" s="54">
        <v>507.28972919504895</v>
      </c>
      <c r="Y18" s="54">
        <v>539.95972842018523</v>
      </c>
      <c r="Z18" s="54">
        <v>557.73036014366437</v>
      </c>
      <c r="AA18" s="54">
        <v>562.63676334530658</v>
      </c>
      <c r="AB18" s="54">
        <v>576.77389697047931</v>
      </c>
      <c r="AC18" s="54"/>
      <c r="AD18" s="54">
        <f t="shared" si="31"/>
        <v>19.043536826814943</v>
      </c>
      <c r="AE18" s="54">
        <f>'RD T1'!E104</f>
        <v>290.13816251445741</v>
      </c>
      <c r="AF18" s="54">
        <f t="shared" si="32"/>
        <v>309.18169934127235</v>
      </c>
      <c r="AH18" t="str">
        <f t="shared" si="33"/>
        <v>35 Business and public service associate professionals</v>
      </c>
      <c r="AI18" s="54">
        <v>128.00764256898972</v>
      </c>
      <c r="AJ18" s="54">
        <v>135.73616934665739</v>
      </c>
      <c r="AK18" s="54">
        <v>149.71673935422331</v>
      </c>
      <c r="AL18" s="54">
        <v>153.20107967461476</v>
      </c>
      <c r="AM18" s="54">
        <v>167.79003326635447</v>
      </c>
      <c r="AN18" s="54"/>
      <c r="AO18" s="54">
        <f t="shared" si="34"/>
        <v>18.073293912131163</v>
      </c>
      <c r="AP18" s="54">
        <f>'RD T1'!E133</f>
        <v>77.313825962566398</v>
      </c>
      <c r="AQ18" s="54">
        <f t="shared" si="35"/>
        <v>95.387119874697561</v>
      </c>
      <c r="AS18" t="str">
        <f t="shared" si="36"/>
        <v>35 Business and public service associate professionals</v>
      </c>
      <c r="AT18" s="54">
        <v>117.32730236083681</v>
      </c>
      <c r="AU18" s="54">
        <v>122.79854534186748</v>
      </c>
      <c r="AV18" s="54">
        <v>131.73566917883977</v>
      </c>
      <c r="AW18" s="54">
        <v>132.64078018549719</v>
      </c>
      <c r="AX18" s="54">
        <v>142.71285249460033</v>
      </c>
      <c r="AY18" s="54"/>
      <c r="AZ18" s="54">
        <f t="shared" si="37"/>
        <v>10.977183315760556</v>
      </c>
      <c r="BA18" s="54">
        <f>'RD T1'!E162</f>
        <v>65.428402707130303</v>
      </c>
      <c r="BB18" s="54">
        <f t="shared" si="38"/>
        <v>76.405586022890859</v>
      </c>
      <c r="BD18" t="str">
        <f t="shared" si="39"/>
        <v>35 Business and public service associate professionals</v>
      </c>
      <c r="BE18" s="54">
        <v>315.85436783179841</v>
      </c>
      <c r="BF18" s="54">
        <v>325.25096977830026</v>
      </c>
      <c r="BG18" s="54">
        <v>343.49978057057399</v>
      </c>
      <c r="BH18" s="54">
        <v>318.73253521455445</v>
      </c>
      <c r="BI18" s="54">
        <v>302.94095036525556</v>
      </c>
      <c r="BJ18" s="54"/>
      <c r="BK18" s="54">
        <f t="shared" si="40"/>
        <v>-40.558830205318429</v>
      </c>
      <c r="BL18" s="54">
        <f>'RD T1'!E191</f>
        <v>132.5851924021234</v>
      </c>
      <c r="BM18" s="54">
        <f t="shared" si="41"/>
        <v>92.026362196804968</v>
      </c>
      <c r="BO18" t="str">
        <f t="shared" si="42"/>
        <v>35 Business and public service associate professionals</v>
      </c>
      <c r="BP18" s="54">
        <v>265.15122555195433</v>
      </c>
      <c r="BQ18" s="54">
        <v>269.40736122492194</v>
      </c>
      <c r="BR18" s="54">
        <v>262.92615540247124</v>
      </c>
      <c r="BS18" s="54">
        <v>235.54814705679422</v>
      </c>
      <c r="BT18" s="54">
        <v>187.67745381466992</v>
      </c>
      <c r="BU18" s="54"/>
      <c r="BV18" s="54">
        <f t="shared" si="43"/>
        <v>-75.248701587801321</v>
      </c>
      <c r="BW18" s="54">
        <f>'RD T1'!E220</f>
        <v>87.014211385192127</v>
      </c>
      <c r="BX18" s="54">
        <f t="shared" si="44"/>
        <v>11.765509797390806</v>
      </c>
      <c r="BZ18" t="str">
        <f t="shared" si="45"/>
        <v>35 Business and public service associate professionals</v>
      </c>
      <c r="CA18" s="54">
        <v>166.44570386747634</v>
      </c>
      <c r="CB18" s="54">
        <v>166.24089625824033</v>
      </c>
      <c r="CC18" s="54">
        <v>159.05284035969188</v>
      </c>
      <c r="CD18" s="54">
        <v>135.97058306744904</v>
      </c>
      <c r="CE18" s="54">
        <v>85.599353728968808</v>
      </c>
      <c r="CF18" s="54"/>
      <c r="CG18" s="54">
        <f t="shared" si="46"/>
        <v>-73.453486630723077</v>
      </c>
      <c r="CH18" s="54">
        <f>'RD T1'!E249</f>
        <v>42.161007782778384</v>
      </c>
      <c r="CI18" s="54">
        <f t="shared" si="47"/>
        <v>-31.292478847944693</v>
      </c>
      <c r="CK18" t="str">
        <f t="shared" si="48"/>
        <v>35 Business and public service associate professionals</v>
      </c>
      <c r="CL18" s="54">
        <v>35.479613128039418</v>
      </c>
      <c r="CM18" s="54">
        <v>36.963281407097512</v>
      </c>
      <c r="CN18" s="54">
        <v>34.317039205735298</v>
      </c>
      <c r="CO18" s="54">
        <v>28.89087771713028</v>
      </c>
      <c r="CP18" s="54">
        <v>28.949618031621242</v>
      </c>
      <c r="CQ18" s="54"/>
      <c r="CR18" s="54">
        <f t="shared" si="49"/>
        <v>-5.3674211741140567</v>
      </c>
      <c r="CS18" s="54">
        <f>'RD T1'!E278</f>
        <v>9.3797454360561101</v>
      </c>
      <c r="CT18" s="54">
        <f t="shared" si="50"/>
        <v>4.0123242619420534</v>
      </c>
    </row>
    <row r="19" spans="1:98">
      <c r="A19" s="10" t="str">
        <f>name!D15</f>
        <v>41 Administrative occupations</v>
      </c>
      <c r="B19" s="54">
        <v>12.51830786816782</v>
      </c>
      <c r="C19" s="54">
        <v>15.349043833416209</v>
      </c>
      <c r="D19" s="54">
        <v>16.431977963875749</v>
      </c>
      <c r="E19" s="54">
        <v>23.322398767031164</v>
      </c>
      <c r="F19" s="54">
        <v>37.405277818454678</v>
      </c>
      <c r="G19" s="11"/>
      <c r="H19" s="54">
        <f t="shared" si="51"/>
        <v>20.973299854578929</v>
      </c>
      <c r="I19" s="54">
        <f>'RD T1'!E47</f>
        <v>14.553525056219637</v>
      </c>
      <c r="J19" s="54">
        <f t="shared" si="26"/>
        <v>35.526824910798567</v>
      </c>
      <c r="L19" t="str">
        <f t="shared" si="27"/>
        <v>41 Administrative occupations</v>
      </c>
      <c r="M19" s="54">
        <v>140.84206858344712</v>
      </c>
      <c r="N19" s="54">
        <v>175.92392526567863</v>
      </c>
      <c r="O19" s="54">
        <v>188.58496658377874</v>
      </c>
      <c r="P19" s="54">
        <v>266.61629599465005</v>
      </c>
      <c r="Q19" s="54">
        <v>401.72096954440167</v>
      </c>
      <c r="R19" s="11"/>
      <c r="S19" s="54">
        <f t="shared" si="28"/>
        <v>213.13600296062293</v>
      </c>
      <c r="T19" s="54">
        <f>'RD T1'!E76</f>
        <v>164.74926114387148</v>
      </c>
      <c r="U19" s="54">
        <f t="shared" si="29"/>
        <v>377.88526410449441</v>
      </c>
      <c r="W19" t="str">
        <f t="shared" si="30"/>
        <v>41 Administrative occupations</v>
      </c>
      <c r="X19" s="54">
        <v>475.12760984255902</v>
      </c>
      <c r="Y19" s="54">
        <v>491.93934666222475</v>
      </c>
      <c r="Z19" s="54">
        <v>537.48557519818246</v>
      </c>
      <c r="AA19" s="54">
        <v>629.72767431728334</v>
      </c>
      <c r="AB19" s="54">
        <v>744.2094540117422</v>
      </c>
      <c r="AC19" s="54"/>
      <c r="AD19" s="54">
        <f t="shared" si="31"/>
        <v>206.72387881355974</v>
      </c>
      <c r="AE19" s="54">
        <f>'RD T1'!E105</f>
        <v>372.99222758235516</v>
      </c>
      <c r="AF19" s="54">
        <f t="shared" si="32"/>
        <v>579.71610639591495</v>
      </c>
      <c r="AH19" t="str">
        <f t="shared" si="33"/>
        <v>41 Administrative occupations</v>
      </c>
      <c r="AI19" s="54">
        <v>166.54934767791028</v>
      </c>
      <c r="AJ19" s="54">
        <v>173.85337982407054</v>
      </c>
      <c r="AK19" s="54">
        <v>191.05860248330478</v>
      </c>
      <c r="AL19" s="54">
        <v>215.01643901564719</v>
      </c>
      <c r="AM19" s="54">
        <v>250.35997515494807</v>
      </c>
      <c r="AN19" s="54"/>
      <c r="AO19" s="54">
        <f t="shared" si="34"/>
        <v>59.301372671643293</v>
      </c>
      <c r="AP19" s="54">
        <f>'RD T1'!E134</f>
        <v>133.87550789712424</v>
      </c>
      <c r="AQ19" s="54">
        <f t="shared" si="35"/>
        <v>193.17688056876753</v>
      </c>
      <c r="AS19" t="str">
        <f t="shared" si="36"/>
        <v>41 Administrative occupations</v>
      </c>
      <c r="AT19" s="54">
        <v>161.90522248188344</v>
      </c>
      <c r="AU19" s="54">
        <v>166.22707998669085</v>
      </c>
      <c r="AV19" s="54">
        <v>182.71226070227547</v>
      </c>
      <c r="AW19" s="54">
        <v>196.39322045037451</v>
      </c>
      <c r="AX19" s="54">
        <v>224.55972946955333</v>
      </c>
      <c r="AY19" s="54"/>
      <c r="AZ19" s="54">
        <f t="shared" si="37"/>
        <v>41.84746876727786</v>
      </c>
      <c r="BA19" s="54">
        <f>'RD T1'!E163</f>
        <v>114.98145737099625</v>
      </c>
      <c r="BB19" s="54">
        <f t="shared" si="38"/>
        <v>156.82892613827411</v>
      </c>
      <c r="BD19" t="str">
        <f t="shared" si="39"/>
        <v>41 Administrative occupations</v>
      </c>
      <c r="BE19" s="54">
        <v>521.02198804446516</v>
      </c>
      <c r="BF19" s="54">
        <v>509.50996806099738</v>
      </c>
      <c r="BG19" s="54">
        <v>540.21053421620047</v>
      </c>
      <c r="BH19" s="54">
        <v>534.81277702229488</v>
      </c>
      <c r="BI19" s="54">
        <v>468.0742752173548</v>
      </c>
      <c r="BJ19" s="54"/>
      <c r="BK19" s="54">
        <f t="shared" si="40"/>
        <v>-72.136258998845676</v>
      </c>
      <c r="BL19" s="54">
        <f>'RD T1'!E192</f>
        <v>242.20544889820715</v>
      </c>
      <c r="BM19" s="54">
        <f t="shared" si="41"/>
        <v>170.06918989936148</v>
      </c>
      <c r="BO19" t="str">
        <f t="shared" si="42"/>
        <v>41 Administrative occupations</v>
      </c>
      <c r="BP19" s="54">
        <v>610.33427347250517</v>
      </c>
      <c r="BQ19" s="54">
        <v>572.64542390364443</v>
      </c>
      <c r="BR19" s="54">
        <v>566.2334469202267</v>
      </c>
      <c r="BS19" s="54">
        <v>531.54152030135549</v>
      </c>
      <c r="BT19" s="54">
        <v>366.55010780257834</v>
      </c>
      <c r="BU19" s="54"/>
      <c r="BV19" s="54">
        <f t="shared" si="43"/>
        <v>-199.68333911764836</v>
      </c>
      <c r="BW19" s="54">
        <f>'RD T1'!E221</f>
        <v>207.0706402648444</v>
      </c>
      <c r="BX19" s="54">
        <f t="shared" si="44"/>
        <v>7.387301147196041</v>
      </c>
      <c r="BZ19" t="str">
        <f t="shared" si="45"/>
        <v>41 Administrative occupations</v>
      </c>
      <c r="CA19" s="54">
        <v>337.82555325026277</v>
      </c>
      <c r="CB19" s="54">
        <v>294.14516774874971</v>
      </c>
      <c r="CC19" s="54">
        <v>275.4574163936079</v>
      </c>
      <c r="CD19" s="54">
        <v>202.11596502295919</v>
      </c>
      <c r="CE19" s="54">
        <v>73.445081768908238</v>
      </c>
      <c r="CF19" s="54"/>
      <c r="CG19" s="54">
        <f t="shared" si="46"/>
        <v>-202.01233462469966</v>
      </c>
      <c r="CH19" s="54">
        <f>'RD T1'!E250</f>
        <v>59.957696115311904</v>
      </c>
      <c r="CI19" s="54">
        <f t="shared" si="47"/>
        <v>-142.05463850938776</v>
      </c>
      <c r="CK19" t="str">
        <f t="shared" si="48"/>
        <v>41 Administrative occupations</v>
      </c>
      <c r="CL19" s="54">
        <v>83.185178119196337</v>
      </c>
      <c r="CM19" s="54">
        <v>72.999025003986404</v>
      </c>
      <c r="CN19" s="54">
        <v>69.584907369597047</v>
      </c>
      <c r="CO19" s="54">
        <v>56.826652993090313</v>
      </c>
      <c r="CP19" s="54">
        <v>41.675356820208648</v>
      </c>
      <c r="CQ19" s="54"/>
      <c r="CR19" s="54">
        <f t="shared" si="49"/>
        <v>-27.909550549388399</v>
      </c>
      <c r="CS19" s="54">
        <f>'RD T1'!E279</f>
        <v>16.598639178639488</v>
      </c>
      <c r="CT19" s="54">
        <f t="shared" si="50"/>
        <v>-11.310911370748912</v>
      </c>
    </row>
    <row r="20" spans="1:98">
      <c r="A20" s="10" t="str">
        <f>name!D16</f>
        <v>42 Secretarial and related occupations</v>
      </c>
      <c r="B20" s="54">
        <v>1.1576406054267396</v>
      </c>
      <c r="C20" s="54">
        <v>1.5149485160144023</v>
      </c>
      <c r="D20" s="54">
        <v>1.501904991955695</v>
      </c>
      <c r="E20" s="54">
        <v>2.4508542351325904</v>
      </c>
      <c r="F20" s="54">
        <v>4.6797537540736114</v>
      </c>
      <c r="G20" s="11"/>
      <c r="H20" s="54">
        <f t="shared" si="51"/>
        <v>3.1778487621179163</v>
      </c>
      <c r="I20" s="54">
        <f>'RD T1'!E48</f>
        <v>2.0131960885673341</v>
      </c>
      <c r="J20" s="54">
        <f t="shared" si="26"/>
        <v>5.19104485068525</v>
      </c>
      <c r="L20" t="str">
        <f t="shared" si="27"/>
        <v>42 Secretarial and related occupations</v>
      </c>
      <c r="M20" s="54">
        <v>24.999955677241484</v>
      </c>
      <c r="N20" s="54">
        <v>29.436729763598635</v>
      </c>
      <c r="O20" s="54">
        <v>30.553989639016855</v>
      </c>
      <c r="P20" s="54">
        <v>44.57884346326469</v>
      </c>
      <c r="Q20" s="54">
        <v>58.412361857157293</v>
      </c>
      <c r="R20" s="11"/>
      <c r="S20" s="54">
        <f t="shared" si="28"/>
        <v>27.858372218140438</v>
      </c>
      <c r="T20" s="54">
        <f>'RD T1'!E77</f>
        <v>28.152710367546426</v>
      </c>
      <c r="U20" s="54">
        <f t="shared" si="29"/>
        <v>56.011082585686864</v>
      </c>
      <c r="W20" t="str">
        <f t="shared" si="30"/>
        <v>42 Secretarial and related occupations</v>
      </c>
      <c r="X20" s="54">
        <v>88.097718174181281</v>
      </c>
      <c r="Y20" s="54">
        <v>88.458557541100987</v>
      </c>
      <c r="Z20" s="54">
        <v>92.615489336962213</v>
      </c>
      <c r="AA20" s="54">
        <v>116.14179847604683</v>
      </c>
      <c r="AB20" s="54">
        <v>154.9850318806235</v>
      </c>
      <c r="AC20" s="54"/>
      <c r="AD20" s="54">
        <f t="shared" si="31"/>
        <v>62.369542543661282</v>
      </c>
      <c r="AE20" s="54">
        <f>'RD T1'!E106</f>
        <v>79.271612301620408</v>
      </c>
      <c r="AF20" s="54">
        <f t="shared" si="32"/>
        <v>141.64115484528168</v>
      </c>
      <c r="AH20" t="str">
        <f t="shared" si="33"/>
        <v>42 Secretarial and related occupations</v>
      </c>
      <c r="AI20" s="54">
        <v>40.905614525463164</v>
      </c>
      <c r="AJ20" s="54">
        <v>40.271835395103679</v>
      </c>
      <c r="AK20" s="54">
        <v>43.978131164130211</v>
      </c>
      <c r="AL20" s="54">
        <v>49.28299048683968</v>
      </c>
      <c r="AM20" s="54">
        <v>52.144053802131971</v>
      </c>
      <c r="AN20" s="54"/>
      <c r="AO20" s="54">
        <f t="shared" si="34"/>
        <v>8.16592263800176</v>
      </c>
      <c r="AP20" s="54">
        <f>'RD T1'!E135</f>
        <v>30.431365418205342</v>
      </c>
      <c r="AQ20" s="54">
        <f t="shared" si="35"/>
        <v>38.597288056207105</v>
      </c>
      <c r="AS20" t="str">
        <f t="shared" si="36"/>
        <v>42 Secretarial and related occupations</v>
      </c>
      <c r="AT20" s="54">
        <v>32.810954772754563</v>
      </c>
      <c r="AU20" s="54">
        <v>30.784319334302513</v>
      </c>
      <c r="AV20" s="54">
        <v>33.310254428260365</v>
      </c>
      <c r="AW20" s="54">
        <v>35.938177431365695</v>
      </c>
      <c r="AX20" s="54">
        <v>35.298386769015721</v>
      </c>
      <c r="AY20" s="54"/>
      <c r="AZ20" s="54">
        <f t="shared" si="37"/>
        <v>1.9881323407553566</v>
      </c>
      <c r="BA20" s="54">
        <f>'RD T1'!E164</f>
        <v>20.386975901373457</v>
      </c>
      <c r="BB20" s="54">
        <f t="shared" si="38"/>
        <v>22.375108242128814</v>
      </c>
      <c r="BD20" t="str">
        <f t="shared" si="39"/>
        <v>42 Secretarial and related occupations</v>
      </c>
      <c r="BE20" s="54">
        <v>119.98185981601917</v>
      </c>
      <c r="BF20" s="54">
        <v>109.47619768988815</v>
      </c>
      <c r="BG20" s="54">
        <v>109.09605370536821</v>
      </c>
      <c r="BH20" s="54">
        <v>103.52056314196696</v>
      </c>
      <c r="BI20" s="54">
        <v>36.560881086667962</v>
      </c>
      <c r="BJ20" s="54"/>
      <c r="BK20" s="54">
        <f t="shared" si="40"/>
        <v>-72.535172618700244</v>
      </c>
      <c r="BL20" s="54">
        <f>'RD T1'!E193</f>
        <v>39.860919258390837</v>
      </c>
      <c r="BM20" s="54">
        <f t="shared" si="41"/>
        <v>-32.674253360309407</v>
      </c>
      <c r="BO20" t="str">
        <f t="shared" si="42"/>
        <v>42 Secretarial and related occupations</v>
      </c>
      <c r="BP20" s="54">
        <v>159.73268417777959</v>
      </c>
      <c r="BQ20" s="54">
        <v>131.82769162651275</v>
      </c>
      <c r="BR20" s="54">
        <v>120.61980827099188</v>
      </c>
      <c r="BS20" s="54">
        <v>86.761190001568821</v>
      </c>
      <c r="BT20" s="54">
        <v>20.362731755414369</v>
      </c>
      <c r="BU20" s="54"/>
      <c r="BV20" s="54">
        <f t="shared" si="43"/>
        <v>-100.25707651557751</v>
      </c>
      <c r="BW20" s="54">
        <f>'RD T1'!E222</f>
        <v>30.411248860592238</v>
      </c>
      <c r="BX20" s="54">
        <f t="shared" si="44"/>
        <v>-69.845827654985271</v>
      </c>
      <c r="BZ20" t="str">
        <f t="shared" si="45"/>
        <v>42 Secretarial and related occupations</v>
      </c>
      <c r="CA20" s="54">
        <v>139.93721469523689</v>
      </c>
      <c r="CB20" s="54">
        <v>124.76036858598079</v>
      </c>
      <c r="CC20" s="54">
        <v>110.79077049754743</v>
      </c>
      <c r="CD20" s="54">
        <v>60.614504436846723</v>
      </c>
      <c r="CE20" s="54">
        <v>13.570530736849497</v>
      </c>
      <c r="CF20" s="54"/>
      <c r="CG20" s="54">
        <f t="shared" si="46"/>
        <v>-97.220239760697936</v>
      </c>
      <c r="CH20" s="54">
        <f>'RD T1'!E251</f>
        <v>20.77788413906843</v>
      </c>
      <c r="CI20" s="54">
        <f t="shared" si="47"/>
        <v>-76.442355621629503</v>
      </c>
      <c r="CK20" t="str">
        <f t="shared" si="48"/>
        <v>42 Secretarial and related occupations</v>
      </c>
      <c r="CL20" s="54">
        <v>32.560568862287724</v>
      </c>
      <c r="CM20" s="54">
        <v>31.783617248694156</v>
      </c>
      <c r="CN20" s="54">
        <v>29.38039876513572</v>
      </c>
      <c r="CO20" s="54">
        <v>27.868556578598014</v>
      </c>
      <c r="CP20" s="54">
        <v>22.310254069596642</v>
      </c>
      <c r="CQ20" s="54"/>
      <c r="CR20" s="54">
        <f t="shared" si="49"/>
        <v>-7.0701446955390779</v>
      </c>
      <c r="CS20" s="54">
        <f>'RD T1'!E280</f>
        <v>10.51875091570397</v>
      </c>
      <c r="CT20" s="54">
        <f t="shared" si="50"/>
        <v>3.4486062201648924</v>
      </c>
    </row>
    <row r="21" spans="1:98">
      <c r="A21" s="10" t="str">
        <f>name!D17</f>
        <v>51 Skilled agricultural and related trades</v>
      </c>
      <c r="B21" s="54">
        <v>0.66391031201953399</v>
      </c>
      <c r="C21" s="54">
        <v>1.0014212481960663</v>
      </c>
      <c r="D21" s="54">
        <v>0.80628763819718297</v>
      </c>
      <c r="E21" s="54">
        <v>1.0166992054366184</v>
      </c>
      <c r="F21" s="54">
        <v>1.5647713484314596</v>
      </c>
      <c r="G21" s="11"/>
      <c r="H21" s="54">
        <f t="shared" si="51"/>
        <v>0.75848371023427663</v>
      </c>
      <c r="I21" s="54">
        <f>'RD T1'!E49</f>
        <v>0.8390457845574123</v>
      </c>
      <c r="J21" s="54">
        <f t="shared" si="26"/>
        <v>1.5975294947916889</v>
      </c>
      <c r="L21" t="str">
        <f t="shared" si="27"/>
        <v>51 Skilled agricultural and related trades</v>
      </c>
      <c r="M21" s="54">
        <v>4.7603381009793306</v>
      </c>
      <c r="N21" s="54">
        <v>5.6451675611123076</v>
      </c>
      <c r="O21" s="54">
        <v>4.8039475386104611</v>
      </c>
      <c r="P21" s="54">
        <v>5.9501079353633441</v>
      </c>
      <c r="Q21" s="54">
        <v>9.2532647366119054</v>
      </c>
      <c r="R21" s="11"/>
      <c r="S21" s="54">
        <f t="shared" si="28"/>
        <v>4.4493171980014443</v>
      </c>
      <c r="T21" s="54">
        <f>'RD T1'!E78</f>
        <v>4.2670191180787516</v>
      </c>
      <c r="U21" s="54">
        <f t="shared" si="29"/>
        <v>8.716336316080195</v>
      </c>
      <c r="W21" t="str">
        <f t="shared" si="30"/>
        <v>51 Skilled agricultural and related trades</v>
      </c>
      <c r="X21" s="54">
        <v>35.933767634072765</v>
      </c>
      <c r="Y21" s="54">
        <v>37.843524129509255</v>
      </c>
      <c r="Z21" s="54">
        <v>40.941479040203575</v>
      </c>
      <c r="AA21" s="54">
        <v>46.050178499446766</v>
      </c>
      <c r="AB21" s="54">
        <v>64.434887290412405</v>
      </c>
      <c r="AC21" s="54"/>
      <c r="AD21" s="54">
        <f t="shared" si="31"/>
        <v>23.49340825020883</v>
      </c>
      <c r="AE21" s="54">
        <f>'RD T1'!E107</f>
        <v>36.009285652932498</v>
      </c>
      <c r="AF21" s="54">
        <f t="shared" si="32"/>
        <v>59.502693903141328</v>
      </c>
      <c r="AH21" t="str">
        <f t="shared" si="33"/>
        <v>51 Skilled agricultural and related trades</v>
      </c>
      <c r="AI21" s="54">
        <v>16.782290209305746</v>
      </c>
      <c r="AJ21" s="54">
        <v>18.940962140869544</v>
      </c>
      <c r="AK21" s="54">
        <v>17.404452571814186</v>
      </c>
      <c r="AL21" s="54">
        <v>19.238727278536302</v>
      </c>
      <c r="AM21" s="54">
        <v>25.233363923633707</v>
      </c>
      <c r="AN21" s="54"/>
      <c r="AO21" s="54">
        <f t="shared" si="34"/>
        <v>7.8289113518195208</v>
      </c>
      <c r="AP21" s="54">
        <f>'RD T1'!E136</f>
        <v>15.591813322425665</v>
      </c>
      <c r="AQ21" s="54">
        <f t="shared" si="35"/>
        <v>23.420724674245186</v>
      </c>
      <c r="AS21" t="str">
        <f t="shared" si="36"/>
        <v>51 Skilled agricultural and related trades</v>
      </c>
      <c r="AT21" s="54">
        <v>24.392233123017629</v>
      </c>
      <c r="AU21" s="54">
        <v>26.469900542122563</v>
      </c>
      <c r="AV21" s="54">
        <v>25.09780787077905</v>
      </c>
      <c r="AW21" s="54">
        <v>27.199119153502437</v>
      </c>
      <c r="AX21" s="54">
        <v>37.070132892365571</v>
      </c>
      <c r="AY21" s="54"/>
      <c r="AZ21" s="54">
        <f t="shared" si="37"/>
        <v>11.972325021586521</v>
      </c>
      <c r="BA21" s="54">
        <f>'RD T1'!E165</f>
        <v>20.106702314172999</v>
      </c>
      <c r="BB21" s="54">
        <f t="shared" si="38"/>
        <v>32.07902733575952</v>
      </c>
      <c r="BD21" t="str">
        <f t="shared" si="39"/>
        <v>51 Skilled agricultural and related trades</v>
      </c>
      <c r="BE21" s="54">
        <v>46.150410490071543</v>
      </c>
      <c r="BF21" s="54">
        <v>45.915399769423473</v>
      </c>
      <c r="BG21" s="54">
        <v>40.525543283479607</v>
      </c>
      <c r="BH21" s="54">
        <v>37.586761608601449</v>
      </c>
      <c r="BI21" s="54">
        <v>38.865788427019417</v>
      </c>
      <c r="BJ21" s="54"/>
      <c r="BK21" s="54">
        <f t="shared" si="40"/>
        <v>-1.6597548564601894</v>
      </c>
      <c r="BL21" s="54">
        <f>'RD T1'!E194</f>
        <v>20.021958079239777</v>
      </c>
      <c r="BM21" s="54">
        <f t="shared" si="41"/>
        <v>18.362203222779588</v>
      </c>
      <c r="BO21" t="str">
        <f t="shared" si="42"/>
        <v>51 Skilled agricultural and related trades</v>
      </c>
      <c r="BP21" s="54">
        <v>72.246808972118387</v>
      </c>
      <c r="BQ21" s="54">
        <v>73.193633883476707</v>
      </c>
      <c r="BR21" s="54">
        <v>61.879574623219447</v>
      </c>
      <c r="BS21" s="54">
        <v>59.175509945031102</v>
      </c>
      <c r="BT21" s="54">
        <v>57.74752520686507</v>
      </c>
      <c r="BU21" s="54"/>
      <c r="BV21" s="54">
        <f t="shared" si="43"/>
        <v>-4.1320494163543771</v>
      </c>
      <c r="BW21" s="54">
        <f>'RD T1'!E223</f>
        <v>32.222838899782452</v>
      </c>
      <c r="BX21" s="54">
        <f t="shared" si="44"/>
        <v>28.090789483428075</v>
      </c>
      <c r="BZ21" t="str">
        <f t="shared" si="45"/>
        <v>51 Skilled agricultural and related trades</v>
      </c>
      <c r="CA21" s="54">
        <v>58.9744460299463</v>
      </c>
      <c r="CB21" s="54">
        <v>56.104903434334858</v>
      </c>
      <c r="CC21" s="54">
        <v>49.560329443156306</v>
      </c>
      <c r="CD21" s="54">
        <v>45.227206744632078</v>
      </c>
      <c r="CE21" s="54">
        <v>48.666959219388666</v>
      </c>
      <c r="CF21" s="54"/>
      <c r="CG21" s="54">
        <f t="shared" si="46"/>
        <v>-0.89337022376763997</v>
      </c>
      <c r="CH21" s="54">
        <f>'RD T1'!E252</f>
        <v>21.580990508756944</v>
      </c>
      <c r="CI21" s="54">
        <f t="shared" si="47"/>
        <v>20.687620284989304</v>
      </c>
      <c r="CK21" t="str">
        <f t="shared" si="48"/>
        <v>51 Skilled agricultural and related trades</v>
      </c>
      <c r="CL21" s="54">
        <v>38.934441208124206</v>
      </c>
      <c r="CM21" s="54">
        <v>37.152921399015852</v>
      </c>
      <c r="CN21" s="54">
        <v>30.947603636253575</v>
      </c>
      <c r="CO21" s="54">
        <v>27.993238285637666</v>
      </c>
      <c r="CP21" s="54">
        <v>15.181259665699928</v>
      </c>
      <c r="CQ21" s="54"/>
      <c r="CR21" s="54">
        <f t="shared" si="49"/>
        <v>-15.766343970553647</v>
      </c>
      <c r="CS21" s="54">
        <f>'RD T1'!E281</f>
        <v>8.6843402011841455</v>
      </c>
      <c r="CT21" s="54">
        <f t="shared" si="50"/>
        <v>-7.0820037693695017</v>
      </c>
    </row>
    <row r="22" spans="1:98">
      <c r="A22" s="10" t="str">
        <f>name!D18</f>
        <v>52 Skilled metal, electrical and electronic trades</v>
      </c>
      <c r="B22" s="54">
        <v>0.99998188340948135</v>
      </c>
      <c r="C22" s="54">
        <v>1.2313776263240315</v>
      </c>
      <c r="D22" s="54">
        <v>1.2631599169509171</v>
      </c>
      <c r="E22" s="54">
        <v>1.6667956423774497</v>
      </c>
      <c r="F22" s="54">
        <v>2.6464457792770633</v>
      </c>
      <c r="G22" s="11"/>
      <c r="H22" s="54">
        <f t="shared" si="51"/>
        <v>1.3832858623261461</v>
      </c>
      <c r="I22" s="54">
        <f>'RD T1'!E50</f>
        <v>0.89649631706715505</v>
      </c>
      <c r="J22" s="54">
        <f t="shared" si="26"/>
        <v>2.2797821793933011</v>
      </c>
      <c r="L22" t="str">
        <f t="shared" si="27"/>
        <v>52 Skilled metal, electrical and electronic trades</v>
      </c>
      <c r="M22" s="54">
        <v>18.798268171433239</v>
      </c>
      <c r="N22" s="54">
        <v>24.534890376601194</v>
      </c>
      <c r="O22" s="54">
        <v>20.874141677859804</v>
      </c>
      <c r="P22" s="54">
        <v>32.742248950201748</v>
      </c>
      <c r="Q22" s="54">
        <v>54.443725240305589</v>
      </c>
      <c r="R22" s="11"/>
      <c r="S22" s="54">
        <f t="shared" si="28"/>
        <v>33.569583562445786</v>
      </c>
      <c r="T22" s="54">
        <f>'RD T1'!E79</f>
        <v>18.796309650296219</v>
      </c>
      <c r="U22" s="54">
        <f t="shared" si="29"/>
        <v>52.365893212742009</v>
      </c>
      <c r="W22" t="str">
        <f t="shared" si="30"/>
        <v>52 Skilled metal, electrical and electronic trades</v>
      </c>
      <c r="X22" s="54">
        <v>57.226960468107528</v>
      </c>
      <c r="Y22" s="54">
        <v>62.044464623286757</v>
      </c>
      <c r="Z22" s="54">
        <v>52.842401910304368</v>
      </c>
      <c r="AA22" s="54">
        <v>62.93003204685197</v>
      </c>
      <c r="AB22" s="54">
        <v>78.878408048582813</v>
      </c>
      <c r="AC22" s="54"/>
      <c r="AD22" s="54">
        <f t="shared" si="31"/>
        <v>26.036006138278445</v>
      </c>
      <c r="AE22" s="54">
        <f>'RD T1'!E108</f>
        <v>33.626236813966855</v>
      </c>
      <c r="AF22" s="54">
        <f t="shared" si="32"/>
        <v>59.6622429522453</v>
      </c>
      <c r="AH22" t="str">
        <f t="shared" si="33"/>
        <v>52 Skilled metal, electrical and electronic trades</v>
      </c>
      <c r="AI22" s="54">
        <v>20.589942909501868</v>
      </c>
      <c r="AJ22" s="54">
        <v>21.846760246813758</v>
      </c>
      <c r="AK22" s="54">
        <v>19.850348549717005</v>
      </c>
      <c r="AL22" s="54">
        <v>23.259026384533009</v>
      </c>
      <c r="AM22" s="54">
        <v>30.693419434268787</v>
      </c>
      <c r="AN22" s="54"/>
      <c r="AO22" s="54">
        <f t="shared" si="34"/>
        <v>10.843070884551782</v>
      </c>
      <c r="AP22" s="54">
        <f>'RD T1'!E137</f>
        <v>11.833054905169762</v>
      </c>
      <c r="AQ22" s="54">
        <f t="shared" si="35"/>
        <v>22.676125789721546</v>
      </c>
      <c r="AS22" t="str">
        <f t="shared" si="36"/>
        <v>52 Skilled metal, electrical and electronic trades</v>
      </c>
      <c r="AT22" s="54">
        <v>83.119346645833303</v>
      </c>
      <c r="AU22" s="54">
        <v>85.8136345584156</v>
      </c>
      <c r="AV22" s="54">
        <v>77.419883142461117</v>
      </c>
      <c r="AW22" s="54">
        <v>84.037626398231822</v>
      </c>
      <c r="AX22" s="54">
        <v>101.69540370019892</v>
      </c>
      <c r="AY22" s="54"/>
      <c r="AZ22" s="54">
        <f t="shared" si="37"/>
        <v>24.275520557737806</v>
      </c>
      <c r="BA22" s="54">
        <f>'RD T1'!E166</f>
        <v>40.937530306785078</v>
      </c>
      <c r="BB22" s="54">
        <f t="shared" si="38"/>
        <v>65.213050864522884</v>
      </c>
      <c r="BD22" t="str">
        <f t="shared" si="39"/>
        <v>52 Skilled metal, electrical and electronic trades</v>
      </c>
      <c r="BE22" s="54">
        <v>422.1763327966089</v>
      </c>
      <c r="BF22" s="54">
        <v>432.38204908959932</v>
      </c>
      <c r="BG22" s="54">
        <v>386.23897692269026</v>
      </c>
      <c r="BH22" s="54">
        <v>374.36494245639716</v>
      </c>
      <c r="BI22" s="54">
        <v>351.36845996977218</v>
      </c>
      <c r="BJ22" s="54"/>
      <c r="BK22" s="54">
        <f t="shared" si="40"/>
        <v>-34.870516952918081</v>
      </c>
      <c r="BL22" s="54">
        <f>'RD T1'!E195</f>
        <v>128.25901967403172</v>
      </c>
      <c r="BM22" s="54">
        <f t="shared" si="41"/>
        <v>93.388502721113639</v>
      </c>
      <c r="BO22" t="str">
        <f t="shared" si="42"/>
        <v>52 Skilled metal, electrical and electronic trades</v>
      </c>
      <c r="BP22" s="54">
        <v>255.51112139093595</v>
      </c>
      <c r="BQ22" s="54">
        <v>257.39547956374321</v>
      </c>
      <c r="BR22" s="54">
        <v>218.51482078263501</v>
      </c>
      <c r="BS22" s="54">
        <v>206.99130852476111</v>
      </c>
      <c r="BT22" s="54">
        <v>169.66472452055629</v>
      </c>
      <c r="BU22" s="54"/>
      <c r="BV22" s="54">
        <f t="shared" si="43"/>
        <v>-48.850096262078722</v>
      </c>
      <c r="BW22" s="54">
        <f>'RD T1'!E224</f>
        <v>72.03842629807356</v>
      </c>
      <c r="BX22" s="54">
        <f t="shared" si="44"/>
        <v>23.188330035994838</v>
      </c>
      <c r="BZ22" t="str">
        <f t="shared" si="45"/>
        <v>52 Skilled metal, electrical and electronic trades</v>
      </c>
      <c r="CA22" s="54">
        <v>132.74551023979436</v>
      </c>
      <c r="CB22" s="54">
        <v>127.34372886980761</v>
      </c>
      <c r="CC22" s="54">
        <v>104.72369285756719</v>
      </c>
      <c r="CD22" s="54">
        <v>95.361850340061068</v>
      </c>
      <c r="CE22" s="54">
        <v>52.997258902468786</v>
      </c>
      <c r="CF22" s="54"/>
      <c r="CG22" s="54">
        <f t="shared" si="46"/>
        <v>-51.7264339550984</v>
      </c>
      <c r="CH22" s="54">
        <f>'RD T1'!E253</f>
        <v>29.156557086185629</v>
      </c>
      <c r="CI22" s="54">
        <f t="shared" si="47"/>
        <v>-22.569876868912772</v>
      </c>
      <c r="CK22" t="str">
        <f t="shared" si="48"/>
        <v>52 Skilled metal, electrical and electronic trades</v>
      </c>
      <c r="CL22" s="54">
        <v>50.990001308025754</v>
      </c>
      <c r="CM22" s="54">
        <v>51.592055311675097</v>
      </c>
      <c r="CN22" s="54">
        <v>40.251254533856056</v>
      </c>
      <c r="CO22" s="54">
        <v>35.822032353196377</v>
      </c>
      <c r="CP22" s="54">
        <v>23.087214105403341</v>
      </c>
      <c r="CQ22" s="54"/>
      <c r="CR22" s="54">
        <f t="shared" si="49"/>
        <v>-17.164040428452715</v>
      </c>
      <c r="CS22" s="54">
        <f>'RD T1'!E282</f>
        <v>10.450492931754043</v>
      </c>
      <c r="CT22" s="54">
        <f t="shared" si="50"/>
        <v>-6.7135474966986717</v>
      </c>
    </row>
    <row r="23" spans="1:98">
      <c r="A23" s="10" t="str">
        <f>name!D19</f>
        <v>53 Skilled construction and building trades</v>
      </c>
      <c r="B23" s="54">
        <v>0.54306526087863261</v>
      </c>
      <c r="C23" s="54">
        <v>0.42131235562644698</v>
      </c>
      <c r="D23" s="54">
        <v>0.32178805333276866</v>
      </c>
      <c r="E23" s="54">
        <v>0.58198126561996744</v>
      </c>
      <c r="F23" s="54">
        <v>0.74480309292836788</v>
      </c>
      <c r="G23" s="11"/>
      <c r="H23" s="54">
        <f t="shared" si="51"/>
        <v>0.42301503959559922</v>
      </c>
      <c r="I23" s="54">
        <f>'RD T1'!E51</f>
        <v>0.28171427618365263</v>
      </c>
      <c r="J23" s="54">
        <f t="shared" si="26"/>
        <v>0.7047293157792518</v>
      </c>
      <c r="L23" t="str">
        <f t="shared" si="27"/>
        <v>53 Skilled construction and building trades</v>
      </c>
      <c r="M23" s="54">
        <v>9.9051749349487359</v>
      </c>
      <c r="N23" s="54">
        <v>11.74323275617575</v>
      </c>
      <c r="O23" s="54">
        <v>9.7719794130626738</v>
      </c>
      <c r="P23" s="54">
        <v>14.289419319449449</v>
      </c>
      <c r="Q23" s="54">
        <v>22.762642176277687</v>
      </c>
      <c r="R23" s="11"/>
      <c r="S23" s="54">
        <f t="shared" si="28"/>
        <v>12.990662763215013</v>
      </c>
      <c r="T23" s="54">
        <f>'RD T1'!E80</f>
        <v>8.5858325971117662</v>
      </c>
      <c r="U23" s="54">
        <f t="shared" si="29"/>
        <v>21.576495360326781</v>
      </c>
      <c r="W23" t="str">
        <f t="shared" si="30"/>
        <v>53 Skilled construction and building trades</v>
      </c>
      <c r="X23" s="54">
        <v>34.258228416560151</v>
      </c>
      <c r="Y23" s="54">
        <v>33.354242120070388</v>
      </c>
      <c r="Z23" s="54">
        <v>29.365244092976415</v>
      </c>
      <c r="AA23" s="54">
        <v>34.20969057946747</v>
      </c>
      <c r="AB23" s="54">
        <v>39.633334739711437</v>
      </c>
      <c r="AC23" s="54"/>
      <c r="AD23" s="54">
        <f t="shared" si="31"/>
        <v>10.268090646735022</v>
      </c>
      <c r="AE23" s="54">
        <f>'RD T1'!E109</f>
        <v>19.272368631651968</v>
      </c>
      <c r="AF23" s="54">
        <f t="shared" si="32"/>
        <v>29.54045927838699</v>
      </c>
      <c r="AH23" t="str">
        <f t="shared" si="33"/>
        <v>53 Skilled construction and building trades</v>
      </c>
      <c r="AI23" s="54">
        <v>20.63515105812202</v>
      </c>
      <c r="AJ23" s="54">
        <v>22.768823507351822</v>
      </c>
      <c r="AK23" s="54">
        <v>19.941702707578372</v>
      </c>
      <c r="AL23" s="54">
        <v>23.846325814112948</v>
      </c>
      <c r="AM23" s="54">
        <v>28.923388259731265</v>
      </c>
      <c r="AN23" s="54"/>
      <c r="AO23" s="54">
        <f t="shared" si="34"/>
        <v>8.9816855521528929</v>
      </c>
      <c r="AP23" s="54">
        <f>'RD T1'!E138</f>
        <v>14.505282656374273</v>
      </c>
      <c r="AQ23" s="54">
        <f t="shared" si="35"/>
        <v>23.486968208527166</v>
      </c>
      <c r="AS23" t="str">
        <f t="shared" si="36"/>
        <v>53 Skilled construction and building trades</v>
      </c>
      <c r="AT23" s="54">
        <v>32.312597104079629</v>
      </c>
      <c r="AU23" s="54">
        <v>31.774046135194485</v>
      </c>
      <c r="AV23" s="54">
        <v>29.007572692999432</v>
      </c>
      <c r="AW23" s="54">
        <v>33.966598192339859</v>
      </c>
      <c r="AX23" s="54">
        <v>37.854464648409788</v>
      </c>
      <c r="AY23" s="54"/>
      <c r="AZ23" s="54">
        <f t="shared" si="37"/>
        <v>8.8468919554103564</v>
      </c>
      <c r="BA23" s="54">
        <f>'RD T1'!E167</f>
        <v>19.507128624948336</v>
      </c>
      <c r="BB23" s="54">
        <f t="shared" si="38"/>
        <v>28.354020580358693</v>
      </c>
      <c r="BD23" t="str">
        <f t="shared" si="39"/>
        <v>53 Skilled construction and building trades</v>
      </c>
      <c r="BE23" s="54">
        <v>314.91803950041236</v>
      </c>
      <c r="BF23" s="54">
        <v>299.23800813728633</v>
      </c>
      <c r="BG23" s="54">
        <v>262.89421429055284</v>
      </c>
      <c r="BH23" s="54">
        <v>251.80966657154178</v>
      </c>
      <c r="BI23" s="54">
        <v>219.80633270214221</v>
      </c>
      <c r="BJ23" s="54"/>
      <c r="BK23" s="54">
        <f t="shared" si="40"/>
        <v>-43.087881588410625</v>
      </c>
      <c r="BL23" s="54">
        <f>'RD T1'!E196</f>
        <v>91.833284879964282</v>
      </c>
      <c r="BM23" s="54">
        <f t="shared" si="41"/>
        <v>48.745403291553657</v>
      </c>
      <c r="BO23" t="str">
        <f t="shared" si="42"/>
        <v>53 Skilled construction and building trades</v>
      </c>
      <c r="BP23" s="54">
        <v>274.18417764752172</v>
      </c>
      <c r="BQ23" s="54">
        <v>290.61301706181524</v>
      </c>
      <c r="BR23" s="54">
        <v>244.3172280168674</v>
      </c>
      <c r="BS23" s="54">
        <v>257.73413498408348</v>
      </c>
      <c r="BT23" s="54">
        <v>250.01661654352446</v>
      </c>
      <c r="BU23" s="54"/>
      <c r="BV23" s="54">
        <f t="shared" si="43"/>
        <v>5.6993885266570601</v>
      </c>
      <c r="BW23" s="54">
        <f>'RD T1'!E225</f>
        <v>112.90709633114975</v>
      </c>
      <c r="BX23" s="54">
        <f t="shared" si="44"/>
        <v>118.60648485780681</v>
      </c>
      <c r="BZ23" t="str">
        <f t="shared" si="45"/>
        <v>53 Skilled construction and building trades</v>
      </c>
      <c r="CA23" s="54">
        <v>148.49539001150814</v>
      </c>
      <c r="CB23" s="54">
        <v>143.17871354239662</v>
      </c>
      <c r="CC23" s="54">
        <v>117.51029453189624</v>
      </c>
      <c r="CD23" s="54">
        <v>118.88950623594452</v>
      </c>
      <c r="CE23" s="54">
        <v>109.23327610354238</v>
      </c>
      <c r="CF23" s="54"/>
      <c r="CG23" s="54">
        <f t="shared" si="46"/>
        <v>-8.2770184283538555</v>
      </c>
      <c r="CH23" s="54">
        <f>'RD T1'!E254</f>
        <v>45.156617315755298</v>
      </c>
      <c r="CI23" s="54">
        <f t="shared" si="47"/>
        <v>36.879598887401443</v>
      </c>
      <c r="CK23" t="str">
        <f t="shared" si="48"/>
        <v>53 Skilled construction and building trades</v>
      </c>
      <c r="CL23" s="54">
        <v>82.975084815565708</v>
      </c>
      <c r="CM23" s="54">
        <v>74.306003439267869</v>
      </c>
      <c r="CN23" s="54">
        <v>56.482334569882347</v>
      </c>
      <c r="CO23" s="54">
        <v>39.940715059069639</v>
      </c>
      <c r="CP23" s="54">
        <v>9.7231652509124444</v>
      </c>
      <c r="CQ23" s="54"/>
      <c r="CR23" s="54">
        <f t="shared" si="49"/>
        <v>-46.759169318969903</v>
      </c>
      <c r="CS23" s="54">
        <f>'RD T1'!E283</f>
        <v>8.8426320642245297</v>
      </c>
      <c r="CT23" s="54">
        <f t="shared" si="50"/>
        <v>-37.916537254745371</v>
      </c>
    </row>
    <row r="24" spans="1:98">
      <c r="A24" s="10" t="str">
        <f>name!D20</f>
        <v>54 Textiles, printing and other skilled trades</v>
      </c>
      <c r="B24" s="54">
        <v>2.0261417991107269</v>
      </c>
      <c r="C24" s="54">
        <v>2.1857188062504309</v>
      </c>
      <c r="D24" s="54">
        <v>2.148463311311295</v>
      </c>
      <c r="E24" s="54">
        <v>3.2638162422750896</v>
      </c>
      <c r="F24" s="54">
        <v>5.0707261152536427</v>
      </c>
      <c r="G24" s="11"/>
      <c r="H24" s="54">
        <f t="shared" si="51"/>
        <v>2.9222628039423477</v>
      </c>
      <c r="I24" s="54">
        <f>'RD T1'!E52</f>
        <v>1.9288850086579763</v>
      </c>
      <c r="J24" s="54">
        <f t="shared" si="26"/>
        <v>4.851147812600324</v>
      </c>
      <c r="L24" t="str">
        <f t="shared" si="27"/>
        <v>54 Textiles, printing and other skilled trades</v>
      </c>
      <c r="M24" s="54">
        <v>17.32537990475485</v>
      </c>
      <c r="N24" s="54">
        <v>21.518988847328899</v>
      </c>
      <c r="O24" s="54">
        <v>22.095524897325006</v>
      </c>
      <c r="P24" s="54">
        <v>32.848086072569288</v>
      </c>
      <c r="Q24" s="54">
        <v>59.106520853762987</v>
      </c>
      <c r="R24" s="11"/>
      <c r="S24" s="54">
        <f t="shared" si="28"/>
        <v>37.010995956437981</v>
      </c>
      <c r="T24" s="54">
        <f>'RD T1'!E81</f>
        <v>21.688866690516161</v>
      </c>
      <c r="U24" s="54">
        <f t="shared" si="29"/>
        <v>58.699862646954145</v>
      </c>
      <c r="W24" t="str">
        <f t="shared" si="30"/>
        <v>54 Textiles, printing and other skilled trades</v>
      </c>
      <c r="X24" s="54">
        <v>52.050534791876856</v>
      </c>
      <c r="Y24" s="54">
        <v>52.591818611409288</v>
      </c>
      <c r="Z24" s="54">
        <v>51.515885097068569</v>
      </c>
      <c r="AA24" s="54">
        <v>66.54372232358412</v>
      </c>
      <c r="AB24" s="54">
        <v>87.841431556761918</v>
      </c>
      <c r="AC24" s="54"/>
      <c r="AD24" s="54">
        <f t="shared" si="31"/>
        <v>36.325546459693349</v>
      </c>
      <c r="AE24" s="54">
        <f>'RD T1'!E110</f>
        <v>40.356640508238854</v>
      </c>
      <c r="AF24" s="54">
        <f t="shared" si="32"/>
        <v>76.682186967932211</v>
      </c>
      <c r="AH24" t="str">
        <f t="shared" si="33"/>
        <v>54 Textiles, printing and other skilled trades</v>
      </c>
      <c r="AI24" s="54">
        <v>19.854524254795333</v>
      </c>
      <c r="AJ24" s="54">
        <v>19.14212429289357</v>
      </c>
      <c r="AK24" s="54">
        <v>20.159467305530779</v>
      </c>
      <c r="AL24" s="54">
        <v>22.552529541677526</v>
      </c>
      <c r="AM24" s="54">
        <v>28.703038411886155</v>
      </c>
      <c r="AN24" s="54"/>
      <c r="AO24" s="54">
        <f t="shared" si="34"/>
        <v>8.5435711063553761</v>
      </c>
      <c r="AP24" s="54">
        <f>'RD T1'!E139</f>
        <v>13.86281091852995</v>
      </c>
      <c r="AQ24" s="54">
        <f t="shared" si="35"/>
        <v>22.406382024885325</v>
      </c>
      <c r="AS24" t="str">
        <f t="shared" si="36"/>
        <v>54 Textiles, printing and other skilled trades</v>
      </c>
      <c r="AT24" s="54">
        <v>23.726055391896622</v>
      </c>
      <c r="AU24" s="54">
        <v>22.837173109794438</v>
      </c>
      <c r="AV24" s="54">
        <v>23.103836119966427</v>
      </c>
      <c r="AW24" s="54">
        <v>27.229279277741615</v>
      </c>
      <c r="AX24" s="54">
        <v>33.270463118676759</v>
      </c>
      <c r="AY24" s="54"/>
      <c r="AZ24" s="54">
        <f t="shared" si="37"/>
        <v>10.166626998710331</v>
      </c>
      <c r="BA24" s="54">
        <f>'RD T1'!E168</f>
        <v>15.756055543671454</v>
      </c>
      <c r="BB24" s="54">
        <f t="shared" si="38"/>
        <v>25.922682542381786</v>
      </c>
      <c r="BD24" t="str">
        <f t="shared" si="39"/>
        <v>54 Textiles, printing and other skilled trades</v>
      </c>
      <c r="BE24" s="54">
        <v>150.24867105663134</v>
      </c>
      <c r="BF24" s="54">
        <v>141.17325447727566</v>
      </c>
      <c r="BG24" s="54">
        <v>133.87504987213867</v>
      </c>
      <c r="BH24" s="54">
        <v>149.4781524102479</v>
      </c>
      <c r="BI24" s="54">
        <v>155.57155374039721</v>
      </c>
      <c r="BJ24" s="54"/>
      <c r="BK24" s="54">
        <f t="shared" si="40"/>
        <v>21.696503868258532</v>
      </c>
      <c r="BL24" s="54">
        <f>'RD T1'!E197</f>
        <v>61.672501029965595</v>
      </c>
      <c r="BM24" s="54">
        <f t="shared" si="41"/>
        <v>83.369004898224119</v>
      </c>
      <c r="BO24" t="str">
        <f t="shared" si="42"/>
        <v>54 Textiles, printing and other skilled trades</v>
      </c>
      <c r="BP24" s="54">
        <v>161.86144929746666</v>
      </c>
      <c r="BQ24" s="54">
        <v>138.44214555896971</v>
      </c>
      <c r="BR24" s="54">
        <v>130.03780799380579</v>
      </c>
      <c r="BS24" s="54">
        <v>121.37012413966269</v>
      </c>
      <c r="BT24" s="54">
        <v>104.24029487694069</v>
      </c>
      <c r="BU24" s="54"/>
      <c r="BV24" s="54">
        <f t="shared" si="43"/>
        <v>-25.79751311686509</v>
      </c>
      <c r="BW24" s="54">
        <f>'RD T1'!E226</f>
        <v>45.770850936431074</v>
      </c>
      <c r="BX24" s="54">
        <f t="shared" si="44"/>
        <v>19.973337819565984</v>
      </c>
      <c r="BZ24" t="str">
        <f t="shared" si="45"/>
        <v>54 Textiles, printing and other skilled trades</v>
      </c>
      <c r="CA24" s="54">
        <v>139.86615462731018</v>
      </c>
      <c r="CB24" s="54">
        <v>126.12995506183611</v>
      </c>
      <c r="CC24" s="54">
        <v>115.29775774774505</v>
      </c>
      <c r="CD24" s="54">
        <v>120.63913150659027</v>
      </c>
      <c r="CE24" s="54">
        <v>92.860172933411192</v>
      </c>
      <c r="CF24" s="54"/>
      <c r="CG24" s="54">
        <f t="shared" si="46"/>
        <v>-22.43758481433386</v>
      </c>
      <c r="CH24" s="54">
        <f>'RD T1'!E255</f>
        <v>39.871645009716971</v>
      </c>
      <c r="CI24" s="54">
        <f t="shared" si="47"/>
        <v>17.434060195383111</v>
      </c>
      <c r="CK24" t="str">
        <f t="shared" si="48"/>
        <v>54 Textiles, printing and other skilled trades</v>
      </c>
      <c r="CL24" s="54">
        <v>63.509024536995625</v>
      </c>
      <c r="CM24" s="54">
        <v>52.90060223850336</v>
      </c>
      <c r="CN24" s="54">
        <v>45.540344270906353</v>
      </c>
      <c r="CO24" s="54">
        <v>32.085203523457459</v>
      </c>
      <c r="CP24" s="54">
        <v>20.904101961690035</v>
      </c>
      <c r="CQ24" s="54"/>
      <c r="CR24" s="54">
        <f t="shared" si="49"/>
        <v>-24.636242309216318</v>
      </c>
      <c r="CS24" s="54">
        <f>'RD T1'!E284</f>
        <v>9.1299590898967224</v>
      </c>
      <c r="CT24" s="54">
        <f t="shared" si="50"/>
        <v>-15.506283219319595</v>
      </c>
    </row>
    <row r="25" spans="1:98">
      <c r="A25" s="10" t="str">
        <f>name!D21</f>
        <v>61 Caring personal service occupations</v>
      </c>
      <c r="B25" s="54">
        <v>1.5447363142950843</v>
      </c>
      <c r="C25" s="54">
        <v>1.8906938594561098</v>
      </c>
      <c r="D25" s="54">
        <v>1.8586131591877315</v>
      </c>
      <c r="E25" s="54">
        <v>2.8102993361875139</v>
      </c>
      <c r="F25" s="54">
        <v>4.6384664312458455</v>
      </c>
      <c r="G25" s="11"/>
      <c r="H25" s="54">
        <f t="shared" si="51"/>
        <v>2.7798532720581139</v>
      </c>
      <c r="I25" s="54">
        <f>'RD T1'!E53</f>
        <v>1.8200220560087634</v>
      </c>
      <c r="J25" s="54">
        <f t="shared" si="26"/>
        <v>4.5998753280668776</v>
      </c>
      <c r="L25" t="str">
        <f t="shared" si="27"/>
        <v>61 Caring personal service occupations</v>
      </c>
      <c r="M25" s="54">
        <v>70.972180976869055</v>
      </c>
      <c r="N25" s="54">
        <v>97.189150501137959</v>
      </c>
      <c r="O25" s="54">
        <v>95.2218064633756</v>
      </c>
      <c r="P25" s="54">
        <v>139.01521399321945</v>
      </c>
      <c r="Q25" s="54">
        <v>223.08761873148075</v>
      </c>
      <c r="R25" s="11"/>
      <c r="S25" s="54">
        <f t="shared" si="28"/>
        <v>127.86581226810515</v>
      </c>
      <c r="T25" s="54">
        <f>'RD T1'!E82</f>
        <v>95.76759455525135</v>
      </c>
      <c r="U25" s="54">
        <f t="shared" si="29"/>
        <v>223.63340682335649</v>
      </c>
      <c r="W25" t="str">
        <f t="shared" si="30"/>
        <v>61 Caring personal service occupations</v>
      </c>
      <c r="X25" s="54">
        <v>231.23019378498708</v>
      </c>
      <c r="Y25" s="54">
        <v>258.76486588357005</v>
      </c>
      <c r="Z25" s="54">
        <v>262.76753795456767</v>
      </c>
      <c r="AA25" s="54">
        <v>304.58504135534122</v>
      </c>
      <c r="AB25" s="54">
        <v>371.83216845023162</v>
      </c>
      <c r="AC25" s="54"/>
      <c r="AD25" s="54">
        <f t="shared" si="31"/>
        <v>109.06463049566395</v>
      </c>
      <c r="AE25" s="54">
        <f>'RD T1'!E111</f>
        <v>212.24259876649364</v>
      </c>
      <c r="AF25" s="54">
        <f t="shared" si="32"/>
        <v>321.30722926215759</v>
      </c>
      <c r="AH25" t="str">
        <f t="shared" si="33"/>
        <v>61 Caring personal service occupations</v>
      </c>
      <c r="AI25" s="54">
        <v>210.15284418101979</v>
      </c>
      <c r="AJ25" s="54">
        <v>207.80417106962952</v>
      </c>
      <c r="AK25" s="54">
        <v>212.18555593047594</v>
      </c>
      <c r="AL25" s="54">
        <v>209.51253244757075</v>
      </c>
      <c r="AM25" s="54">
        <v>219.42317398249233</v>
      </c>
      <c r="AN25" s="54"/>
      <c r="AO25" s="54">
        <f t="shared" si="34"/>
        <v>7.2376180520163871</v>
      </c>
      <c r="AP25" s="54">
        <f>'RD T1'!E140</f>
        <v>126.63391295160149</v>
      </c>
      <c r="AQ25" s="54">
        <f t="shared" si="35"/>
        <v>133.87153100361786</v>
      </c>
      <c r="AS25" t="str">
        <f t="shared" si="36"/>
        <v>61 Caring personal service occupations</v>
      </c>
      <c r="AT25" s="54">
        <v>111.32069019222583</v>
      </c>
      <c r="AU25" s="54">
        <v>120.19450151899568</v>
      </c>
      <c r="AV25" s="54">
        <v>123.37819099082368</v>
      </c>
      <c r="AW25" s="54">
        <v>125.96081299485601</v>
      </c>
      <c r="AX25" s="54">
        <v>138.66316805893877</v>
      </c>
      <c r="AY25" s="54"/>
      <c r="AZ25" s="54">
        <f t="shared" si="37"/>
        <v>15.284977068115083</v>
      </c>
      <c r="BA25" s="54">
        <f>'RD T1'!E169</f>
        <v>78.779390917365532</v>
      </c>
      <c r="BB25" s="54">
        <f t="shared" si="38"/>
        <v>94.064367985480615</v>
      </c>
      <c r="BD25" t="str">
        <f t="shared" si="39"/>
        <v>61 Caring personal service occupations</v>
      </c>
      <c r="BE25" s="54">
        <v>666.70222652084658</v>
      </c>
      <c r="BF25" s="54">
        <v>741.26487837656634</v>
      </c>
      <c r="BG25" s="54">
        <v>733.0990844039859</v>
      </c>
      <c r="BH25" s="54">
        <v>783.27966924518944</v>
      </c>
      <c r="BI25" s="54">
        <v>889.05638720983563</v>
      </c>
      <c r="BJ25" s="54"/>
      <c r="BK25" s="54">
        <f t="shared" si="40"/>
        <v>155.95730280584974</v>
      </c>
      <c r="BL25" s="54">
        <f>'RD T1'!E198</f>
        <v>454.76809476934812</v>
      </c>
      <c r="BM25" s="54">
        <f t="shared" si="41"/>
        <v>610.7253975751978</v>
      </c>
      <c r="BO25" t="str">
        <f t="shared" si="42"/>
        <v>61 Caring personal service occupations</v>
      </c>
      <c r="BP25" s="54">
        <v>548.29498570949556</v>
      </c>
      <c r="BQ25" s="54">
        <v>542.5451534806283</v>
      </c>
      <c r="BR25" s="54">
        <v>489.52334376807897</v>
      </c>
      <c r="BS25" s="54">
        <v>468.52941404696594</v>
      </c>
      <c r="BT25" s="54">
        <v>373.28017493812598</v>
      </c>
      <c r="BU25" s="54"/>
      <c r="BV25" s="54">
        <f t="shared" si="43"/>
        <v>-116.24316882995299</v>
      </c>
      <c r="BW25" s="54">
        <f>'RD T1'!E227</f>
        <v>215.55336902105768</v>
      </c>
      <c r="BX25" s="54">
        <f t="shared" si="44"/>
        <v>99.310200191104684</v>
      </c>
      <c r="BZ25" t="str">
        <f t="shared" si="45"/>
        <v>61 Caring personal service occupations</v>
      </c>
      <c r="CA25" s="54">
        <v>163.75190574947413</v>
      </c>
      <c r="CB25" s="54">
        <v>97.691350253350393</v>
      </c>
      <c r="CC25" s="54">
        <v>82.037160606433673</v>
      </c>
      <c r="CD25" s="54">
        <v>62.220492444762748</v>
      </c>
      <c r="CE25" s="54">
        <v>51.313631520522478</v>
      </c>
      <c r="CF25" s="54"/>
      <c r="CG25" s="54">
        <f t="shared" si="46"/>
        <v>-30.723529085911196</v>
      </c>
      <c r="CH25" s="54">
        <f>'RD T1'!E256</f>
        <v>19.382603273462145</v>
      </c>
      <c r="CI25" s="54">
        <f t="shared" si="47"/>
        <v>-11.340925812449051</v>
      </c>
      <c r="CK25" t="str">
        <f t="shared" si="48"/>
        <v>61 Caring personal service occupations</v>
      </c>
      <c r="CL25" s="54">
        <v>26.277050774760941</v>
      </c>
      <c r="CM25" s="54">
        <v>22.460522848004281</v>
      </c>
      <c r="CN25" s="54">
        <v>19.76270821540502</v>
      </c>
      <c r="CO25" s="54">
        <v>21.086415204716172</v>
      </c>
      <c r="CP25" s="54">
        <v>20.756231352869818</v>
      </c>
      <c r="CQ25" s="54"/>
      <c r="CR25" s="54">
        <f t="shared" si="49"/>
        <v>0.99352313746479837</v>
      </c>
      <c r="CS25" s="54">
        <f>'RD T1'!E285</f>
        <v>5.9189997388285454</v>
      </c>
      <c r="CT25" s="54">
        <f t="shared" si="50"/>
        <v>6.9125228762933437</v>
      </c>
    </row>
    <row r="26" spans="1:98">
      <c r="A26" s="10" t="str">
        <f>name!D22</f>
        <v>62 Leisure, travel and related personal service occupations</v>
      </c>
      <c r="B26" s="54">
        <v>0.67924593688896662</v>
      </c>
      <c r="C26" s="54">
        <v>1.032408353757198</v>
      </c>
      <c r="D26" s="54">
        <v>1.058285088329779</v>
      </c>
      <c r="E26" s="54">
        <v>1.4251962854374394</v>
      </c>
      <c r="F26" s="54">
        <v>2.3146242792821807</v>
      </c>
      <c r="G26" s="11"/>
      <c r="H26" s="54">
        <f t="shared" si="51"/>
        <v>1.2563391909524018</v>
      </c>
      <c r="I26" s="54">
        <f>'RD T1'!E54</f>
        <v>0.94637452810846023</v>
      </c>
      <c r="J26" s="54">
        <f t="shared" si="26"/>
        <v>2.2027137190608621</v>
      </c>
      <c r="L26" t="str">
        <f t="shared" si="27"/>
        <v>62 Leisure, travel and related personal service occupations</v>
      </c>
      <c r="M26" s="54">
        <v>13.791677806253308</v>
      </c>
      <c r="N26" s="54">
        <v>18.395550123638372</v>
      </c>
      <c r="O26" s="54">
        <v>16.691699360707265</v>
      </c>
      <c r="P26" s="54">
        <v>20.590541267682635</v>
      </c>
      <c r="Q26" s="54">
        <v>32.470393085593336</v>
      </c>
      <c r="R26" s="11"/>
      <c r="S26" s="54">
        <f t="shared" si="28"/>
        <v>15.778693724886072</v>
      </c>
      <c r="T26" s="54">
        <f>'RD T1'!E83</f>
        <v>13.4850708330875</v>
      </c>
      <c r="U26" s="54">
        <f t="shared" si="29"/>
        <v>29.263764557973573</v>
      </c>
      <c r="W26" t="str">
        <f t="shared" si="30"/>
        <v>62 Leisure, travel and related personal service occupations</v>
      </c>
      <c r="X26" s="54">
        <v>61.252775911821317</v>
      </c>
      <c r="Y26" s="54">
        <v>74.835825276478985</v>
      </c>
      <c r="Z26" s="54">
        <v>71.287493676036505</v>
      </c>
      <c r="AA26" s="54">
        <v>81.979706073372796</v>
      </c>
      <c r="AB26" s="54">
        <v>110.41350145610029</v>
      </c>
      <c r="AC26" s="54"/>
      <c r="AD26" s="54">
        <f t="shared" si="31"/>
        <v>39.126007780063787</v>
      </c>
      <c r="AE26" s="54">
        <f>'RD T1'!E112</f>
        <v>55.965013483822062</v>
      </c>
      <c r="AF26" s="54">
        <f t="shared" si="32"/>
        <v>95.09102126388585</v>
      </c>
      <c r="AH26" t="str">
        <f t="shared" si="33"/>
        <v>62 Leisure, travel and related personal service occupations</v>
      </c>
      <c r="AI26" s="54">
        <v>36.988579307208404</v>
      </c>
      <c r="AJ26" s="54">
        <v>45.59745707552625</v>
      </c>
      <c r="AK26" s="54">
        <v>44.562207325842607</v>
      </c>
      <c r="AL26" s="54">
        <v>47.300674068786243</v>
      </c>
      <c r="AM26" s="54">
        <v>62.687201700256871</v>
      </c>
      <c r="AN26" s="54"/>
      <c r="AO26" s="54">
        <f t="shared" si="34"/>
        <v>18.124994374414264</v>
      </c>
      <c r="AP26" s="54">
        <f>'RD T1'!E141</f>
        <v>32.814614657220915</v>
      </c>
      <c r="AQ26" s="54">
        <f t="shared" si="35"/>
        <v>50.939609031635179</v>
      </c>
      <c r="AS26" t="str">
        <f t="shared" si="36"/>
        <v>62 Leisure, travel and related personal service occupations</v>
      </c>
      <c r="AT26" s="54">
        <v>43.126524696107055</v>
      </c>
      <c r="AU26" s="54">
        <v>53.921586853305783</v>
      </c>
      <c r="AV26" s="54">
        <v>56.802439030312875</v>
      </c>
      <c r="AW26" s="54">
        <v>61.101609327605416</v>
      </c>
      <c r="AX26" s="54">
        <v>84.987540823422137</v>
      </c>
      <c r="AY26" s="54"/>
      <c r="AZ26" s="54">
        <f t="shared" si="37"/>
        <v>28.185101793109261</v>
      </c>
      <c r="BA26" s="54">
        <f>'RD T1'!E170</f>
        <v>43.515931013315395</v>
      </c>
      <c r="BB26" s="54">
        <f t="shared" si="38"/>
        <v>71.701032806424649</v>
      </c>
      <c r="BD26" t="str">
        <f t="shared" si="39"/>
        <v>62 Leisure, travel and related personal service occupations</v>
      </c>
      <c r="BE26" s="54">
        <v>159.47843939616385</v>
      </c>
      <c r="BF26" s="54">
        <v>166.5831838107338</v>
      </c>
      <c r="BG26" s="54">
        <v>156.16675746179777</v>
      </c>
      <c r="BH26" s="54">
        <v>142.2708385578488</v>
      </c>
      <c r="BI26" s="54">
        <v>129.77405753013383</v>
      </c>
      <c r="BJ26" s="54"/>
      <c r="BK26" s="54">
        <f t="shared" si="40"/>
        <v>-26.392699931663941</v>
      </c>
      <c r="BL26" s="54">
        <f>'RD T1'!E199</f>
        <v>63.686700629673773</v>
      </c>
      <c r="BM26" s="54">
        <f t="shared" si="41"/>
        <v>37.294000698009832</v>
      </c>
      <c r="BO26" t="str">
        <f t="shared" si="42"/>
        <v>62 Leisure, travel and related personal service occupations</v>
      </c>
      <c r="BP26" s="54">
        <v>164.76168676477675</v>
      </c>
      <c r="BQ26" s="54">
        <v>169.15527951269956</v>
      </c>
      <c r="BR26" s="54">
        <v>149.50623850725597</v>
      </c>
      <c r="BS26" s="54">
        <v>126.73245566998868</v>
      </c>
      <c r="BT26" s="54">
        <v>98.57698371485472</v>
      </c>
      <c r="BU26" s="54"/>
      <c r="BV26" s="54">
        <f t="shared" si="43"/>
        <v>-50.929254792401252</v>
      </c>
      <c r="BW26" s="54">
        <f>'RD T1'!E228</f>
        <v>55.958034142745184</v>
      </c>
      <c r="BX26" s="54">
        <f t="shared" si="44"/>
        <v>5.0287793503439318</v>
      </c>
      <c r="BZ26" t="str">
        <f t="shared" si="45"/>
        <v>62 Leisure, travel and related personal service occupations</v>
      </c>
      <c r="CA26" s="54">
        <v>104.70792647728176</v>
      </c>
      <c r="CB26" s="54">
        <v>112.41052887172857</v>
      </c>
      <c r="CC26" s="54">
        <v>99.16459056316657</v>
      </c>
      <c r="CD26" s="54">
        <v>88.988125702909187</v>
      </c>
      <c r="CE26" s="54">
        <v>67.905933004272526</v>
      </c>
      <c r="CF26" s="54"/>
      <c r="CG26" s="54">
        <f t="shared" si="46"/>
        <v>-31.258657558894043</v>
      </c>
      <c r="CH26" s="54">
        <f>'RD T1'!E257</f>
        <v>34.136715985250049</v>
      </c>
      <c r="CI26" s="54">
        <f t="shared" si="47"/>
        <v>2.8780584263560058</v>
      </c>
      <c r="CK26" t="str">
        <f t="shared" si="48"/>
        <v>62 Leisure, travel and related personal service occupations</v>
      </c>
      <c r="CL26" s="54">
        <v>42.603050241405818</v>
      </c>
      <c r="CM26" s="54">
        <v>38.363606961207928</v>
      </c>
      <c r="CN26" s="54">
        <v>32.427965666919782</v>
      </c>
      <c r="CO26" s="54">
        <v>21.747224087700189</v>
      </c>
      <c r="CP26" s="54">
        <v>13.664636134806933</v>
      </c>
      <c r="CQ26" s="54"/>
      <c r="CR26" s="54">
        <f t="shared" si="49"/>
        <v>-18.763329532112849</v>
      </c>
      <c r="CS26" s="54">
        <f>'RD T1'!E286</f>
        <v>6.345963424387711</v>
      </c>
      <c r="CT26" s="54">
        <f t="shared" si="50"/>
        <v>-12.417366107725137</v>
      </c>
    </row>
    <row r="27" spans="1:98">
      <c r="A27" s="10" t="str">
        <f>name!D23</f>
        <v>63 Community and civil enforcement occupations</v>
      </c>
      <c r="B27" s="54">
        <v>6.5002132938384569E-2</v>
      </c>
      <c r="C27" s="54">
        <v>7.1781570418431917E-2</v>
      </c>
      <c r="D27" s="54">
        <v>7.7228727823100085E-2</v>
      </c>
      <c r="E27" s="54">
        <v>9.3204767006247441E-2</v>
      </c>
      <c r="F27" s="54">
        <v>0.1492141206360455</v>
      </c>
      <c r="G27" s="11"/>
      <c r="H27" s="54">
        <f t="shared" si="51"/>
        <v>7.1985392812945415E-2</v>
      </c>
      <c r="I27" s="54">
        <f>'RD T1'!E55</f>
        <v>6.2518935618483595E-2</v>
      </c>
      <c r="J27" s="54">
        <f t="shared" si="26"/>
        <v>0.13450432843142901</v>
      </c>
      <c r="L27" t="str">
        <f t="shared" si="27"/>
        <v>63 Community and civil enforcement occupations</v>
      </c>
      <c r="M27" s="54">
        <v>1.0963939096588162</v>
      </c>
      <c r="N27" s="54">
        <v>1.1380439689057111</v>
      </c>
      <c r="O27" s="54">
        <v>1.5143361664363337</v>
      </c>
      <c r="P27" s="54">
        <v>1.4494805170121803</v>
      </c>
      <c r="Q27" s="54">
        <v>2.4686918573373382</v>
      </c>
      <c r="R27" s="11"/>
      <c r="S27" s="54">
        <f t="shared" si="28"/>
        <v>0.95435569090100447</v>
      </c>
      <c r="T27" s="54">
        <f>'RD T1'!E84</f>
        <v>0.98918266711452574</v>
      </c>
      <c r="U27" s="54">
        <f t="shared" si="29"/>
        <v>1.9435383580155303</v>
      </c>
      <c r="W27" t="str">
        <f t="shared" si="30"/>
        <v>63 Community and civil enforcement occupations</v>
      </c>
      <c r="X27" s="54">
        <v>4.729909629379784</v>
      </c>
      <c r="Y27" s="54">
        <v>4.9079888646304095</v>
      </c>
      <c r="Z27" s="54">
        <v>5.501617032527812</v>
      </c>
      <c r="AA27" s="54">
        <v>5.5725399721260134</v>
      </c>
      <c r="AB27" s="54">
        <v>6.9296044283107658</v>
      </c>
      <c r="AC27" s="54"/>
      <c r="AD27" s="54">
        <f t="shared" si="31"/>
        <v>1.4279873957829539</v>
      </c>
      <c r="AE27" s="54">
        <f>'RD T1'!E113</f>
        <v>3.9520910765054231</v>
      </c>
      <c r="AF27" s="54">
        <f t="shared" si="32"/>
        <v>5.3800784722883765</v>
      </c>
      <c r="AH27" t="str">
        <f t="shared" si="33"/>
        <v>63 Community and civil enforcement occupations</v>
      </c>
      <c r="AI27" s="54">
        <v>1.3598953532265574</v>
      </c>
      <c r="AJ27" s="54">
        <v>1.2925887098919875</v>
      </c>
      <c r="AK27" s="54">
        <v>1.7151310309745893</v>
      </c>
      <c r="AL27" s="54">
        <v>1.330213819544328</v>
      </c>
      <c r="AM27" s="54">
        <v>1.6353727341219537</v>
      </c>
      <c r="AN27" s="54"/>
      <c r="AO27" s="54">
        <f t="shared" si="34"/>
        <v>-7.975829685263558E-2</v>
      </c>
      <c r="AP27" s="54">
        <f>'RD T1'!E142</f>
        <v>0.88834131579399611</v>
      </c>
      <c r="AQ27" s="54">
        <f t="shared" si="35"/>
        <v>0.80858301894136053</v>
      </c>
      <c r="AS27" t="str">
        <f t="shared" si="36"/>
        <v>63 Community and civil enforcement occupations</v>
      </c>
      <c r="AT27" s="54">
        <v>1.3478621658407406</v>
      </c>
      <c r="AU27" s="54">
        <v>1.1705910401584458</v>
      </c>
      <c r="AV27" s="54">
        <v>1.4802553424398088</v>
      </c>
      <c r="AW27" s="54">
        <v>1.0584934009719615</v>
      </c>
      <c r="AX27" s="54">
        <v>1.1366270095308024</v>
      </c>
      <c r="AY27" s="54"/>
      <c r="AZ27" s="54">
        <f t="shared" si="37"/>
        <v>-0.34362833290900641</v>
      </c>
      <c r="BA27" s="54">
        <f>'RD T1'!E171</f>
        <v>0.69831754528729606</v>
      </c>
      <c r="BB27" s="54">
        <f t="shared" si="38"/>
        <v>0.35468921237828965</v>
      </c>
      <c r="BD27" t="str">
        <f t="shared" si="39"/>
        <v>63 Community and civil enforcement occupations</v>
      </c>
      <c r="BE27" s="54">
        <v>5.0847142376319763</v>
      </c>
      <c r="BF27" s="54">
        <v>3.5662729739778865</v>
      </c>
      <c r="BG27" s="54">
        <v>5.1168184109386718</v>
      </c>
      <c r="BH27" s="54">
        <v>3.1497814584811517</v>
      </c>
      <c r="BI27" s="54">
        <v>3.4339538816269504</v>
      </c>
      <c r="BJ27" s="54"/>
      <c r="BK27" s="54">
        <f t="shared" si="40"/>
        <v>-1.6828645293117215</v>
      </c>
      <c r="BL27" s="54">
        <f>'RD T1'!E200</f>
        <v>1.2946184424687632</v>
      </c>
      <c r="BM27" s="54">
        <f t="shared" si="41"/>
        <v>-0.38824608684295825</v>
      </c>
      <c r="BO27" t="str">
        <f t="shared" si="42"/>
        <v>63 Community and civil enforcement occupations</v>
      </c>
      <c r="BP27" s="54">
        <v>7.088002639089285</v>
      </c>
      <c r="BQ27" s="54">
        <v>6.0649749995646909</v>
      </c>
      <c r="BR27" s="54">
        <v>7.4406536550202595</v>
      </c>
      <c r="BS27" s="54">
        <v>5.079225031582812</v>
      </c>
      <c r="BT27" s="54">
        <v>4.9207187478068288</v>
      </c>
      <c r="BU27" s="54"/>
      <c r="BV27" s="54">
        <f t="shared" si="43"/>
        <v>-2.5199349072134307</v>
      </c>
      <c r="BW27" s="54">
        <f>'RD T1'!E229</f>
        <v>2.2242421079234145</v>
      </c>
      <c r="BX27" s="54">
        <f t="shared" si="44"/>
        <v>-0.29569279929001624</v>
      </c>
      <c r="BZ27" t="str">
        <f t="shared" si="45"/>
        <v>63 Community and civil enforcement occupations</v>
      </c>
      <c r="CA27" s="54">
        <v>5.9870784883920081</v>
      </c>
      <c r="CB27" s="54">
        <v>5.2813824174591737</v>
      </c>
      <c r="CC27" s="54">
        <v>6.4052647204224762</v>
      </c>
      <c r="CD27" s="54">
        <v>4.5580043976957993</v>
      </c>
      <c r="CE27" s="54">
        <v>3.9734101096889849</v>
      </c>
      <c r="CF27" s="54"/>
      <c r="CG27" s="54">
        <f t="shared" si="46"/>
        <v>-2.4318546107334913</v>
      </c>
      <c r="CH27" s="54">
        <f>'RD T1'!E258</f>
        <v>1.8073769223752287</v>
      </c>
      <c r="CI27" s="54">
        <f t="shared" si="47"/>
        <v>-0.62447768835826256</v>
      </c>
      <c r="CK27" t="str">
        <f t="shared" si="48"/>
        <v>63 Community and civil enforcement occupations</v>
      </c>
      <c r="CL27" s="54">
        <v>2.0813660682261936</v>
      </c>
      <c r="CM27" s="54">
        <v>1.3817958351764097</v>
      </c>
      <c r="CN27" s="54">
        <v>1.7516448788079122</v>
      </c>
      <c r="CO27" s="54">
        <v>0.71102530612868031</v>
      </c>
      <c r="CP27" s="54">
        <v>0.46386324293381798</v>
      </c>
      <c r="CQ27" s="54"/>
      <c r="CR27" s="54">
        <f t="shared" si="49"/>
        <v>-1.2877816358740941</v>
      </c>
      <c r="CS27" s="54">
        <f>'RD T1'!E287</f>
        <v>0.18629320286975179</v>
      </c>
      <c r="CT27" s="54">
        <f t="shared" si="50"/>
        <v>-1.1014884330043424</v>
      </c>
    </row>
    <row r="28" spans="1:98">
      <c r="A28" s="10" t="str">
        <f>name!D24</f>
        <v>71 Sales occupations</v>
      </c>
      <c r="B28" s="54">
        <v>4.8088115697498388</v>
      </c>
      <c r="C28" s="54">
        <v>5.555071832182751</v>
      </c>
      <c r="D28" s="54">
        <v>4.9807705608553157</v>
      </c>
      <c r="E28" s="54">
        <v>6.5121506793389345</v>
      </c>
      <c r="F28" s="54">
        <v>9.718999190941128</v>
      </c>
      <c r="G28" s="11"/>
      <c r="H28" s="54">
        <f t="shared" si="51"/>
        <v>4.7382286300858123</v>
      </c>
      <c r="I28" s="54">
        <f>'RD T1'!E56</f>
        <v>3.5323949853089545</v>
      </c>
      <c r="J28" s="54">
        <f t="shared" si="26"/>
        <v>8.2706236153947668</v>
      </c>
      <c r="L28" t="str">
        <f t="shared" si="27"/>
        <v>71 Sales occupations</v>
      </c>
      <c r="M28" s="54">
        <v>59.820931240333991</v>
      </c>
      <c r="N28" s="54">
        <v>72.340889731923795</v>
      </c>
      <c r="O28" s="54">
        <v>74.229667802676488</v>
      </c>
      <c r="P28" s="54">
        <v>103.89956884899919</v>
      </c>
      <c r="Q28" s="54">
        <v>178.68615531399658</v>
      </c>
      <c r="R28" s="11"/>
      <c r="S28" s="54">
        <f t="shared" si="28"/>
        <v>104.45648751132009</v>
      </c>
      <c r="T28" s="54">
        <f>'RD T1'!E85</f>
        <v>60.896832487393908</v>
      </c>
      <c r="U28" s="54">
        <f t="shared" si="29"/>
        <v>165.353319998714</v>
      </c>
      <c r="W28" t="str">
        <f t="shared" si="30"/>
        <v>71 Sales occupations</v>
      </c>
      <c r="X28" s="54">
        <v>237.44054646423012</v>
      </c>
      <c r="Y28" s="54">
        <v>246.68239422415297</v>
      </c>
      <c r="Z28" s="54">
        <v>260.32686674301789</v>
      </c>
      <c r="AA28" s="54">
        <v>292.70091171205223</v>
      </c>
      <c r="AB28" s="54">
        <v>374.42227488447776</v>
      </c>
      <c r="AC28" s="54"/>
      <c r="AD28" s="54">
        <f t="shared" si="31"/>
        <v>114.09540814145987</v>
      </c>
      <c r="AE28" s="54">
        <f>'RD T1'!E114</f>
        <v>175.69469015941567</v>
      </c>
      <c r="AF28" s="54">
        <f t="shared" si="32"/>
        <v>289.79009830087557</v>
      </c>
      <c r="AH28" t="str">
        <f t="shared" si="33"/>
        <v>71 Sales occupations</v>
      </c>
      <c r="AI28" s="54">
        <v>78.952036442966076</v>
      </c>
      <c r="AJ28" s="54">
        <v>78.468687650508755</v>
      </c>
      <c r="AK28" s="54">
        <v>84.248694447228374</v>
      </c>
      <c r="AL28" s="54">
        <v>89.370201400433984</v>
      </c>
      <c r="AM28" s="54">
        <v>112.13814056552744</v>
      </c>
      <c r="AN28" s="54"/>
      <c r="AO28" s="54">
        <f t="shared" si="34"/>
        <v>27.889446118299063</v>
      </c>
      <c r="AP28" s="54">
        <f>'RD T1'!E143</f>
        <v>54.199623437420222</v>
      </c>
      <c r="AQ28" s="54">
        <f t="shared" si="35"/>
        <v>82.089069555719277</v>
      </c>
      <c r="AS28" t="str">
        <f t="shared" si="36"/>
        <v>71 Sales occupations</v>
      </c>
      <c r="AT28" s="54">
        <v>68.011352067202367</v>
      </c>
      <c r="AU28" s="54">
        <v>65.261514307223379</v>
      </c>
      <c r="AV28" s="54">
        <v>68.093105353966649</v>
      </c>
      <c r="AW28" s="54">
        <v>69.934397249593701</v>
      </c>
      <c r="AX28" s="54">
        <v>84.904800539321897</v>
      </c>
      <c r="AY28" s="54"/>
      <c r="AZ28" s="54">
        <f t="shared" si="37"/>
        <v>16.811695185355248</v>
      </c>
      <c r="BA28" s="54">
        <f>'RD T1'!E172</f>
        <v>36.196989485607787</v>
      </c>
      <c r="BB28" s="54">
        <f t="shared" si="38"/>
        <v>53.008684670963035</v>
      </c>
      <c r="BD28" t="str">
        <f t="shared" si="39"/>
        <v>71 Sales occupations</v>
      </c>
      <c r="BE28" s="54">
        <v>493.0854125883813</v>
      </c>
      <c r="BF28" s="54">
        <v>480.88762455420897</v>
      </c>
      <c r="BG28" s="54">
        <v>496.3448864387006</v>
      </c>
      <c r="BH28" s="54">
        <v>498.08775561344282</v>
      </c>
      <c r="BI28" s="54">
        <v>512.86723823978161</v>
      </c>
      <c r="BJ28" s="54"/>
      <c r="BK28" s="54">
        <f t="shared" si="40"/>
        <v>16.522351801081015</v>
      </c>
      <c r="BL28" s="54">
        <f>'RD T1'!E201</f>
        <v>229.80112972743447</v>
      </c>
      <c r="BM28" s="54">
        <f t="shared" si="41"/>
        <v>246.32348152851549</v>
      </c>
      <c r="BO28" t="str">
        <f t="shared" si="42"/>
        <v>71 Sales occupations</v>
      </c>
      <c r="BP28" s="54">
        <v>524.71064950499544</v>
      </c>
      <c r="BQ28" s="54">
        <v>475.82190511487977</v>
      </c>
      <c r="BR28" s="54">
        <v>447.6352486381474</v>
      </c>
      <c r="BS28" s="54">
        <v>424.49618889402768</v>
      </c>
      <c r="BT28" s="54">
        <v>347.08285106297035</v>
      </c>
      <c r="BU28" s="54"/>
      <c r="BV28" s="54">
        <f t="shared" si="43"/>
        <v>-100.55239757517705</v>
      </c>
      <c r="BW28" s="54">
        <f>'RD T1'!E230</f>
        <v>186.51981113701606</v>
      </c>
      <c r="BX28" s="54">
        <f t="shared" si="44"/>
        <v>85.96741356183901</v>
      </c>
      <c r="BZ28" t="str">
        <f t="shared" si="45"/>
        <v>71 Sales occupations</v>
      </c>
      <c r="CA28" s="54">
        <v>360.82792108709958</v>
      </c>
      <c r="CB28" s="54">
        <v>335.17361797424331</v>
      </c>
      <c r="CC28" s="54">
        <v>307.03662981297884</v>
      </c>
      <c r="CD28" s="54">
        <v>260.43925819290172</v>
      </c>
      <c r="CE28" s="54">
        <v>105.2204141270424</v>
      </c>
      <c r="CF28" s="54"/>
      <c r="CG28" s="54">
        <f t="shared" si="46"/>
        <v>-201.81621568593644</v>
      </c>
      <c r="CH28" s="54">
        <f>'RD T1'!E259</f>
        <v>76.563060306016922</v>
      </c>
      <c r="CI28" s="54">
        <f t="shared" si="47"/>
        <v>-125.25315537991952</v>
      </c>
      <c r="CK28" t="str">
        <f t="shared" si="48"/>
        <v>71 Sales occupations</v>
      </c>
      <c r="CL28" s="54">
        <v>164.46127824739838</v>
      </c>
      <c r="CM28" s="54">
        <v>132.04128762716297</v>
      </c>
      <c r="CN28" s="54">
        <v>112.8007692684466</v>
      </c>
      <c r="CO28" s="54">
        <v>82.538172737304691</v>
      </c>
      <c r="CP28" s="54">
        <v>51.401431599209538</v>
      </c>
      <c r="CQ28" s="54"/>
      <c r="CR28" s="54">
        <f t="shared" si="49"/>
        <v>-61.399337669237063</v>
      </c>
      <c r="CS28" s="54">
        <f>'RD T1'!E288</f>
        <v>20.137531155958303</v>
      </c>
      <c r="CT28" s="54">
        <f t="shared" si="50"/>
        <v>-41.261806513278756</v>
      </c>
    </row>
    <row r="29" spans="1:98">
      <c r="A29" s="10" t="str">
        <f>name!D25</f>
        <v>72 Customer service occupations</v>
      </c>
      <c r="B29" s="54">
        <v>1.6148365258249406</v>
      </c>
      <c r="C29" s="54">
        <v>1.9845314908335985</v>
      </c>
      <c r="D29" s="54">
        <v>2.1845738267267567</v>
      </c>
      <c r="E29" s="54">
        <v>3.4606813617783074</v>
      </c>
      <c r="F29" s="54">
        <v>5.553603295265745</v>
      </c>
      <c r="G29" s="11"/>
      <c r="H29" s="54">
        <f>F29-D29</f>
        <v>3.3690294685389883</v>
      </c>
      <c r="I29" s="54">
        <f>'RD T1'!E57</f>
        <v>1.8651806910980198</v>
      </c>
      <c r="J29" s="54">
        <f t="shared" si="26"/>
        <v>5.2342101596370085</v>
      </c>
      <c r="L29" t="str">
        <f t="shared" si="27"/>
        <v>72 Customer service occupations</v>
      </c>
      <c r="M29" s="54">
        <v>18.077936424425147</v>
      </c>
      <c r="N29" s="54">
        <v>24.203733037936146</v>
      </c>
      <c r="O29" s="54">
        <v>25.04968651436285</v>
      </c>
      <c r="P29" s="54">
        <v>36.596339310963351</v>
      </c>
      <c r="Q29" s="54">
        <v>56.923184798351194</v>
      </c>
      <c r="R29" s="11"/>
      <c r="S29" s="54">
        <f t="shared" si="28"/>
        <v>31.873498283988344</v>
      </c>
      <c r="T29" s="54">
        <f>'RD T1'!E86</f>
        <v>20.885714006228724</v>
      </c>
      <c r="U29" s="54">
        <f t="shared" si="29"/>
        <v>52.759212290217064</v>
      </c>
      <c r="W29" t="str">
        <f t="shared" si="30"/>
        <v>72 Customer service occupations</v>
      </c>
      <c r="X29" s="54">
        <v>73.095433582669258</v>
      </c>
      <c r="Y29" s="54">
        <v>82.000383741150188</v>
      </c>
      <c r="Z29" s="54">
        <v>89.094576657776344</v>
      </c>
      <c r="AA29" s="54">
        <v>106.36887511052461</v>
      </c>
      <c r="AB29" s="54">
        <v>137.29997525973533</v>
      </c>
      <c r="AC29" s="54"/>
      <c r="AD29" s="54">
        <f t="shared" si="31"/>
        <v>48.20539860195899</v>
      </c>
      <c r="AE29" s="54">
        <f>'RD T1'!E115</f>
        <v>59.505152103681127</v>
      </c>
      <c r="AF29" s="54">
        <f t="shared" si="32"/>
        <v>107.71055070564012</v>
      </c>
      <c r="AH29" t="str">
        <f t="shared" si="33"/>
        <v>72 Customer service occupations</v>
      </c>
      <c r="AI29" s="54">
        <v>21.63961334109301</v>
      </c>
      <c r="AJ29" s="54">
        <v>25.429435992330795</v>
      </c>
      <c r="AK29" s="54">
        <v>28.674981175587426</v>
      </c>
      <c r="AL29" s="54">
        <v>34.123998780044339</v>
      </c>
      <c r="AM29" s="54">
        <v>43.340049716829448</v>
      </c>
      <c r="AN29" s="54"/>
      <c r="AO29" s="54">
        <f t="shared" si="34"/>
        <v>14.665068541242022</v>
      </c>
      <c r="AP29" s="54">
        <f>'RD T1'!E144</f>
        <v>20.077895317384478</v>
      </c>
      <c r="AQ29" s="54">
        <f t="shared" si="35"/>
        <v>34.742963858626496</v>
      </c>
      <c r="AS29" t="str">
        <f t="shared" si="36"/>
        <v>72 Customer service occupations</v>
      </c>
      <c r="AT29" s="54">
        <v>31.227306601994965</v>
      </c>
      <c r="AU29" s="54">
        <v>34.112979486299373</v>
      </c>
      <c r="AV29" s="54">
        <v>35.726698840381076</v>
      </c>
      <c r="AW29" s="54">
        <v>42.367456377894015</v>
      </c>
      <c r="AX29" s="54">
        <v>49.057867444913271</v>
      </c>
      <c r="AY29" s="54"/>
      <c r="AZ29" s="54">
        <f t="shared" si="37"/>
        <v>13.331168604532195</v>
      </c>
      <c r="BA29" s="54">
        <f>'RD T1'!E173</f>
        <v>20.913235531380391</v>
      </c>
      <c r="BB29" s="54">
        <f t="shared" si="38"/>
        <v>34.244404135912589</v>
      </c>
      <c r="BD29" t="str">
        <f t="shared" si="39"/>
        <v>72 Customer service occupations</v>
      </c>
      <c r="BE29" s="54">
        <v>111.49345771365068</v>
      </c>
      <c r="BF29" s="54">
        <v>118.95495855957131</v>
      </c>
      <c r="BG29" s="54">
        <v>124.70900684025813</v>
      </c>
      <c r="BH29" s="54">
        <v>134.44965540261944</v>
      </c>
      <c r="BI29" s="54">
        <v>146.13130071179953</v>
      </c>
      <c r="BJ29" s="54"/>
      <c r="BK29" s="54">
        <f t="shared" si="40"/>
        <v>21.422293871541399</v>
      </c>
      <c r="BL29" s="54">
        <f>'RD T1'!E202</f>
        <v>58.695697225871612</v>
      </c>
      <c r="BM29" s="54">
        <f t="shared" si="41"/>
        <v>80.117991097413011</v>
      </c>
      <c r="BO29" t="str">
        <f t="shared" si="42"/>
        <v>72 Customer service occupations</v>
      </c>
      <c r="BP29" s="54">
        <v>120.43376373529532</v>
      </c>
      <c r="BQ29" s="54">
        <v>129.53199562481876</v>
      </c>
      <c r="BR29" s="54">
        <v>123.00843730380261</v>
      </c>
      <c r="BS29" s="54">
        <v>129.83590075525461</v>
      </c>
      <c r="BT29" s="54">
        <v>117.38844476340691</v>
      </c>
      <c r="BU29" s="54"/>
      <c r="BV29" s="54">
        <f t="shared" si="43"/>
        <v>-5.6199925403956996</v>
      </c>
      <c r="BW29" s="54">
        <f>'RD T1'!E231</f>
        <v>57.705151137039294</v>
      </c>
      <c r="BX29" s="54">
        <f t="shared" si="44"/>
        <v>52.085158596643595</v>
      </c>
      <c r="BZ29" t="str">
        <f t="shared" si="45"/>
        <v>72 Customer service occupations</v>
      </c>
      <c r="CA29" s="54">
        <v>63.391194664207262</v>
      </c>
      <c r="CB29" s="54">
        <v>61.337486208638879</v>
      </c>
      <c r="CC29" s="54">
        <v>59.291194040056354</v>
      </c>
      <c r="CD29" s="54">
        <v>56.636198634457365</v>
      </c>
      <c r="CE29" s="54">
        <v>49.89245611415032</v>
      </c>
      <c r="CF29" s="54"/>
      <c r="CG29" s="54">
        <f t="shared" si="46"/>
        <v>-9.3987379259060333</v>
      </c>
      <c r="CH29" s="54">
        <f>'RD T1'!E260</f>
        <v>17.861692143962465</v>
      </c>
      <c r="CI29" s="54">
        <f t="shared" si="47"/>
        <v>8.4629542180564314</v>
      </c>
      <c r="CK29" t="str">
        <f t="shared" si="48"/>
        <v>72 Customer service occupations</v>
      </c>
      <c r="CL29" s="54">
        <v>18.622176469509792</v>
      </c>
      <c r="CM29" s="54">
        <v>21.273586897860731</v>
      </c>
      <c r="CN29" s="54">
        <v>20.412994129339829</v>
      </c>
      <c r="CO29" s="54">
        <v>23.876617124373475</v>
      </c>
      <c r="CP29" s="54">
        <v>26.217425753708689</v>
      </c>
      <c r="CQ29" s="54"/>
      <c r="CR29" s="54">
        <f t="shared" si="49"/>
        <v>5.8044316243688598</v>
      </c>
      <c r="CS29" s="54">
        <f>'RD T1'!E289</f>
        <v>7.9051616219526659</v>
      </c>
      <c r="CT29" s="54">
        <f t="shared" si="50"/>
        <v>13.709593246321525</v>
      </c>
    </row>
    <row r="30" spans="1:98">
      <c r="A30" s="10" t="str">
        <f>name!D26</f>
        <v>81 Process, plant and machine operatives</v>
      </c>
      <c r="B30" s="54">
        <v>1.2111702967533533</v>
      </c>
      <c r="C30" s="54">
        <v>1.610015227683576</v>
      </c>
      <c r="D30" s="54">
        <v>1.3639641062781964</v>
      </c>
      <c r="E30" s="54">
        <v>2.2595576620928539</v>
      </c>
      <c r="F30" s="54">
        <v>4.4682650221080564</v>
      </c>
      <c r="G30" s="11"/>
      <c r="H30" s="54">
        <f t="shared" si="51"/>
        <v>3.1043009158298602</v>
      </c>
      <c r="I30" s="54">
        <f>'RD T1'!E58</f>
        <v>1.5275182701390171</v>
      </c>
      <c r="J30" s="54">
        <f t="shared" si="26"/>
        <v>4.6318191859688778</v>
      </c>
      <c r="L30" t="str">
        <f t="shared" si="27"/>
        <v>81 Process, plant and machine operatives</v>
      </c>
      <c r="M30" s="54">
        <v>8.1975338644884808</v>
      </c>
      <c r="N30" s="54">
        <v>10.829600604830937</v>
      </c>
      <c r="O30" s="54">
        <v>9.6107248223589199</v>
      </c>
      <c r="P30" s="54">
        <v>16.098722697934878</v>
      </c>
      <c r="Q30" s="54">
        <v>29.2736032624545</v>
      </c>
      <c r="R30" s="11"/>
      <c r="S30" s="54">
        <f t="shared" si="28"/>
        <v>19.662878440095582</v>
      </c>
      <c r="T30" s="54">
        <f>'RD T1'!E87</f>
        <v>10.059800452040236</v>
      </c>
      <c r="U30" s="54">
        <f t="shared" si="29"/>
        <v>29.722678892135818</v>
      </c>
      <c r="W30" t="str">
        <f t="shared" si="30"/>
        <v>81 Process, plant and machine operatives</v>
      </c>
      <c r="X30" s="54">
        <v>24.759313576389292</v>
      </c>
      <c r="Y30" s="54">
        <v>25.1675409997329</v>
      </c>
      <c r="Z30" s="54">
        <v>23.793365260196765</v>
      </c>
      <c r="AA30" s="54">
        <v>35.930830916569242</v>
      </c>
      <c r="AB30" s="54">
        <v>59.156743217026786</v>
      </c>
      <c r="AC30" s="54"/>
      <c r="AD30" s="54">
        <f t="shared" si="31"/>
        <v>35.363377956830021</v>
      </c>
      <c r="AE30" s="54">
        <f>'RD T1'!E116</f>
        <v>22.545431802944154</v>
      </c>
      <c r="AF30" s="54">
        <f t="shared" si="32"/>
        <v>57.908809759774172</v>
      </c>
      <c r="AH30" t="str">
        <f t="shared" si="33"/>
        <v>81 Process, plant and machine operatives</v>
      </c>
      <c r="AI30" s="54">
        <v>10.982189377693423</v>
      </c>
      <c r="AJ30" s="54">
        <v>11.324928031533009</v>
      </c>
      <c r="AK30" s="54">
        <v>11.146972174742556</v>
      </c>
      <c r="AL30" s="54">
        <v>15.536327367970134</v>
      </c>
      <c r="AM30" s="54">
        <v>22.96070378347526</v>
      </c>
      <c r="AN30" s="54"/>
      <c r="AO30" s="54">
        <f t="shared" si="34"/>
        <v>11.813731608732704</v>
      </c>
      <c r="AP30" s="54">
        <f>'RD T1'!E145</f>
        <v>8.5896218290404622</v>
      </c>
      <c r="AQ30" s="54">
        <f t="shared" si="35"/>
        <v>20.403353437773166</v>
      </c>
      <c r="AS30" t="str">
        <f t="shared" si="36"/>
        <v>81 Process, plant and machine operatives</v>
      </c>
      <c r="AT30" s="54">
        <v>24.530180429178682</v>
      </c>
      <c r="AU30" s="54">
        <v>24.79041176792115</v>
      </c>
      <c r="AV30" s="54">
        <v>23.882052091829671</v>
      </c>
      <c r="AW30" s="54">
        <v>30.212583274746709</v>
      </c>
      <c r="AX30" s="54">
        <v>39.840447451058864</v>
      </c>
      <c r="AY30" s="54"/>
      <c r="AZ30" s="54">
        <f t="shared" si="37"/>
        <v>15.958395359229193</v>
      </c>
      <c r="BA30" s="54">
        <f>'RD T1'!E174</f>
        <v>16.168524496821018</v>
      </c>
      <c r="BB30" s="54">
        <f t="shared" si="38"/>
        <v>32.126919856050208</v>
      </c>
      <c r="BD30" t="str">
        <f t="shared" si="39"/>
        <v>81 Process, plant and machine operatives</v>
      </c>
      <c r="BE30" s="54">
        <v>159.84121064139447</v>
      </c>
      <c r="BF30" s="54">
        <v>164.84818221579681</v>
      </c>
      <c r="BG30" s="54">
        <v>151.02693653123859</v>
      </c>
      <c r="BH30" s="54">
        <v>171.17116152898362</v>
      </c>
      <c r="BI30" s="54">
        <v>185.40285462887917</v>
      </c>
      <c r="BJ30" s="54"/>
      <c r="BK30" s="54">
        <f t="shared" si="40"/>
        <v>34.375918097640579</v>
      </c>
      <c r="BL30" s="54">
        <f>'RD T1'!E203</f>
        <v>64.409135303707743</v>
      </c>
      <c r="BM30" s="54">
        <f t="shared" si="41"/>
        <v>98.785053401348321</v>
      </c>
      <c r="BO30" t="str">
        <f t="shared" si="42"/>
        <v>81 Process, plant and machine operatives</v>
      </c>
      <c r="BP30" s="54">
        <v>210.23779026956399</v>
      </c>
      <c r="BQ30" s="54">
        <v>211.35895323033981</v>
      </c>
      <c r="BR30" s="54">
        <v>185.80870552453959</v>
      </c>
      <c r="BS30" s="54">
        <v>202.70953492462417</v>
      </c>
      <c r="BT30" s="54">
        <v>183.2656185560881</v>
      </c>
      <c r="BU30" s="54"/>
      <c r="BV30" s="54">
        <f t="shared" si="43"/>
        <v>-2.5430869684514903</v>
      </c>
      <c r="BW30" s="54">
        <f>'RD T1'!E232</f>
        <v>78.266722053171947</v>
      </c>
      <c r="BX30" s="54">
        <f t="shared" si="44"/>
        <v>75.723635084720456</v>
      </c>
      <c r="BZ30" t="str">
        <f t="shared" si="45"/>
        <v>81 Process, plant and machine operatives</v>
      </c>
      <c r="CA30" s="54">
        <v>181.27885676935972</v>
      </c>
      <c r="CB30" s="54">
        <v>170.25805321835188</v>
      </c>
      <c r="CC30" s="54">
        <v>144.1807609122682</v>
      </c>
      <c r="CD30" s="54">
        <v>135.55904915877409</v>
      </c>
      <c r="CE30" s="54">
        <v>61.151702403295126</v>
      </c>
      <c r="CF30" s="54"/>
      <c r="CG30" s="54">
        <f t="shared" si="46"/>
        <v>-83.029058508973065</v>
      </c>
      <c r="CH30" s="54">
        <f>'RD T1'!E261</f>
        <v>39.212036880575134</v>
      </c>
      <c r="CI30" s="54">
        <f t="shared" si="47"/>
        <v>-43.817021628397931</v>
      </c>
      <c r="CK30" t="str">
        <f t="shared" si="48"/>
        <v>81 Process, plant and machine operatives</v>
      </c>
      <c r="CL30" s="54">
        <v>92.275085083428053</v>
      </c>
      <c r="CM30" s="54">
        <v>71.532957360762907</v>
      </c>
      <c r="CN30" s="54">
        <v>58.905113750571765</v>
      </c>
      <c r="CO30" s="54">
        <v>29.20370125320672</v>
      </c>
      <c r="CP30" s="54">
        <v>12.868227699737369</v>
      </c>
      <c r="CQ30" s="54"/>
      <c r="CR30" s="54">
        <f t="shared" si="49"/>
        <v>-46.036886050834397</v>
      </c>
      <c r="CS30" s="54">
        <f>'RD T1'!E290</f>
        <v>6.8738787199446918</v>
      </c>
      <c r="CT30" s="54">
        <f t="shared" si="50"/>
        <v>-39.163007330889705</v>
      </c>
    </row>
    <row r="31" spans="1:98">
      <c r="A31" s="10" t="str">
        <f>name!D27</f>
        <v>82 Transport and mobile machine drivers and operatives</v>
      </c>
      <c r="B31" s="54">
        <v>2.2653209800651219</v>
      </c>
      <c r="C31" s="54">
        <v>3.4465856637749979</v>
      </c>
      <c r="D31" s="54">
        <v>3.2104799962366029</v>
      </c>
      <c r="E31" s="54">
        <v>5.1874907139482049</v>
      </c>
      <c r="F31" s="54">
        <v>9.0972734581886012</v>
      </c>
      <c r="G31" s="11"/>
      <c r="H31" s="54">
        <f t="shared" si="51"/>
        <v>5.8867934619519984</v>
      </c>
      <c r="I31" s="54">
        <f>'RD T1'!E59</f>
        <v>4.1417582258211123</v>
      </c>
      <c r="J31" s="54">
        <f t="shared" si="26"/>
        <v>10.02855168777311</v>
      </c>
      <c r="L31" t="str">
        <f t="shared" si="27"/>
        <v>82 Transport and mobile machine drivers and operatives</v>
      </c>
      <c r="M31" s="54">
        <v>15.411135928464295</v>
      </c>
      <c r="N31" s="54">
        <v>22.460220019099104</v>
      </c>
      <c r="O31" s="54">
        <v>21.895143488719459</v>
      </c>
      <c r="P31" s="54">
        <v>32.306308422404506</v>
      </c>
      <c r="Q31" s="54">
        <v>55.491982633612338</v>
      </c>
      <c r="R31" s="11"/>
      <c r="S31" s="54">
        <f t="shared" si="28"/>
        <v>33.596839144892883</v>
      </c>
      <c r="T31" s="54">
        <f>'RD T1'!E88</f>
        <v>25.188516864075211</v>
      </c>
      <c r="U31" s="54">
        <f t="shared" si="29"/>
        <v>58.785356008968094</v>
      </c>
      <c r="W31" t="str">
        <f t="shared" si="30"/>
        <v>82 Transport and mobile machine drivers and operatives</v>
      </c>
      <c r="X31" s="54">
        <v>46.727605026341671</v>
      </c>
      <c r="Y31" s="54">
        <v>59.430882536445417</v>
      </c>
      <c r="Z31" s="54">
        <v>59.511021843978419</v>
      </c>
      <c r="AA31" s="54">
        <v>72.528303783271738</v>
      </c>
      <c r="AB31" s="54">
        <v>98.212642157344362</v>
      </c>
      <c r="AC31" s="54"/>
      <c r="AD31" s="54">
        <f t="shared" si="31"/>
        <v>38.701620313365943</v>
      </c>
      <c r="AE31" s="54">
        <f>'RD T1'!E117</f>
        <v>54.897682214086792</v>
      </c>
      <c r="AF31" s="54">
        <f t="shared" si="32"/>
        <v>93.599302527452735</v>
      </c>
      <c r="AH31" t="str">
        <f t="shared" si="33"/>
        <v>82 Transport and mobile machine drivers and operatives</v>
      </c>
      <c r="AI31" s="54">
        <v>21.78467427780506</v>
      </c>
      <c r="AJ31" s="54">
        <v>27.963187835032993</v>
      </c>
      <c r="AK31" s="54">
        <v>28.357108702519792</v>
      </c>
      <c r="AL31" s="54">
        <v>34.199762564089085</v>
      </c>
      <c r="AM31" s="54">
        <v>43.474664181554374</v>
      </c>
      <c r="AN31" s="54"/>
      <c r="AO31" s="54">
        <f t="shared" si="34"/>
        <v>15.117555479034582</v>
      </c>
      <c r="AP31" s="54">
        <f>'RD T1'!E146</f>
        <v>24.755579007909198</v>
      </c>
      <c r="AQ31" s="54">
        <f t="shared" si="35"/>
        <v>39.873134486943783</v>
      </c>
      <c r="AS31" t="str">
        <f t="shared" si="36"/>
        <v>82 Transport and mobile machine drivers and operatives</v>
      </c>
      <c r="AT31" s="54">
        <v>36.939607617817153</v>
      </c>
      <c r="AU31" s="54">
        <v>44.176509564300446</v>
      </c>
      <c r="AV31" s="54">
        <v>44.889378939258876</v>
      </c>
      <c r="AW31" s="54">
        <v>51.615541754024242</v>
      </c>
      <c r="AX31" s="54">
        <v>62.85742471498525</v>
      </c>
      <c r="AY31" s="54"/>
      <c r="AZ31" s="54">
        <f t="shared" si="37"/>
        <v>17.968045775726374</v>
      </c>
      <c r="BA31" s="54">
        <f>'RD T1'!E175</f>
        <v>37.60501572185202</v>
      </c>
      <c r="BB31" s="54">
        <f t="shared" si="38"/>
        <v>55.573061497578394</v>
      </c>
      <c r="BD31" t="str">
        <f t="shared" si="39"/>
        <v>82 Transport and mobile machine drivers and operatives</v>
      </c>
      <c r="BE31" s="54">
        <v>199.01406488572931</v>
      </c>
      <c r="BF31" s="54">
        <v>224.68937943343653</v>
      </c>
      <c r="BG31" s="54">
        <v>214.60005803791523</v>
      </c>
      <c r="BH31" s="54">
        <v>230.15745115364109</v>
      </c>
      <c r="BI31" s="54">
        <v>250.01432262122057</v>
      </c>
      <c r="BJ31" s="54"/>
      <c r="BK31" s="54">
        <f t="shared" si="40"/>
        <v>35.414264583305339</v>
      </c>
      <c r="BL31" s="54">
        <f>'RD T1'!E204</f>
        <v>119.86508149690779</v>
      </c>
      <c r="BM31" s="54">
        <f t="shared" si="41"/>
        <v>155.27934608021314</v>
      </c>
      <c r="BO31" t="str">
        <f t="shared" si="42"/>
        <v>82 Transport and mobile machine drivers and operatives</v>
      </c>
      <c r="BP31" s="54">
        <v>308.42733235381479</v>
      </c>
      <c r="BQ31" s="54">
        <v>354.15918357655124</v>
      </c>
      <c r="BR31" s="54">
        <v>308.12976472745146</v>
      </c>
      <c r="BS31" s="54">
        <v>325.36738977034634</v>
      </c>
      <c r="BT31" s="54">
        <v>314.9070537920631</v>
      </c>
      <c r="BU31" s="54"/>
      <c r="BV31" s="54">
        <f t="shared" si="43"/>
        <v>6.7772890646116366</v>
      </c>
      <c r="BW31" s="54">
        <f>'RD T1'!E233</f>
        <v>173.52075787345936</v>
      </c>
      <c r="BX31" s="54">
        <f t="shared" si="44"/>
        <v>180.298046938071</v>
      </c>
      <c r="BZ31" t="str">
        <f t="shared" si="45"/>
        <v>82 Transport and mobile machine drivers and operatives</v>
      </c>
      <c r="CA31" s="54">
        <v>294.18467763629116</v>
      </c>
      <c r="CB31" s="54">
        <v>302.68872018260197</v>
      </c>
      <c r="CC31" s="54">
        <v>258.58044055330805</v>
      </c>
      <c r="CD31" s="54">
        <v>240.25352872001517</v>
      </c>
      <c r="CE31" s="54">
        <v>181.85023456615048</v>
      </c>
      <c r="CF31" s="54"/>
      <c r="CG31" s="54">
        <f t="shared" si="46"/>
        <v>-76.730205987157575</v>
      </c>
      <c r="CH31" s="54">
        <f>'RD T1'!E262</f>
        <v>101.7256288380344</v>
      </c>
      <c r="CI31" s="54">
        <f t="shared" si="47"/>
        <v>24.995422850876821</v>
      </c>
      <c r="CK31" t="str">
        <f t="shared" si="48"/>
        <v>82 Transport and mobile machine drivers and operatives</v>
      </c>
      <c r="CL31" s="54">
        <v>129.25795534954366</v>
      </c>
      <c r="CM31" s="54">
        <v>139.81277242002329</v>
      </c>
      <c r="CN31" s="54">
        <v>116.8973091149996</v>
      </c>
      <c r="CO31" s="54">
        <v>93.97782636096926</v>
      </c>
      <c r="CP31" s="54">
        <v>50.671346276715454</v>
      </c>
      <c r="CQ31" s="54"/>
      <c r="CR31" s="54">
        <f t="shared" si="49"/>
        <v>-66.225962838284147</v>
      </c>
      <c r="CS31" s="54">
        <f>'RD T1'!E291</f>
        <v>32.049561418142588</v>
      </c>
      <c r="CT31" s="54">
        <f t="shared" si="50"/>
        <v>-34.176401420141559</v>
      </c>
    </row>
    <row r="32" spans="1:98">
      <c r="A32" s="10" t="str">
        <f>name!D28</f>
        <v>91 Elementary trades and related occupations</v>
      </c>
      <c r="B32" s="54">
        <v>2.2556965149247682E-2</v>
      </c>
      <c r="C32" s="54">
        <v>2.1871422308781217E-2</v>
      </c>
      <c r="D32" s="54">
        <v>2.0467507196435832E-2</v>
      </c>
      <c r="E32" s="54">
        <v>0.10158268523980149</v>
      </c>
      <c r="F32" s="54">
        <v>0.22400206035709008</v>
      </c>
      <c r="G32" s="11"/>
      <c r="H32" s="54">
        <f t="shared" si="51"/>
        <v>0.20353455316065425</v>
      </c>
      <c r="I32" s="54">
        <f>'RD T1'!E60</f>
        <v>9.3230031365820032E-2</v>
      </c>
      <c r="J32" s="54">
        <f t="shared" si="26"/>
        <v>0.29676458452647425</v>
      </c>
      <c r="L32" t="str">
        <f t="shared" si="27"/>
        <v>91 Elementary trades and related occupations</v>
      </c>
      <c r="M32" s="54">
        <v>4.9737449008261745</v>
      </c>
      <c r="N32" s="54">
        <v>6.0172226310845733</v>
      </c>
      <c r="O32" s="54">
        <v>4.9548344625517693</v>
      </c>
      <c r="P32" s="54">
        <v>12.514491091210447</v>
      </c>
      <c r="Q32" s="54">
        <v>26.809555667452752</v>
      </c>
      <c r="R32" s="11"/>
      <c r="S32" s="54">
        <f t="shared" si="28"/>
        <v>21.854721204900983</v>
      </c>
      <c r="T32" s="54">
        <f>'RD T1'!E89</f>
        <v>9.7754945309103558</v>
      </c>
      <c r="U32" s="54">
        <f t="shared" si="29"/>
        <v>31.63021573581134</v>
      </c>
      <c r="W32" t="str">
        <f t="shared" si="30"/>
        <v>91 Elementary trades and related occupations</v>
      </c>
      <c r="X32" s="54">
        <v>18.580836249852201</v>
      </c>
      <c r="Y32" s="54">
        <v>18.571228046413403</v>
      </c>
      <c r="Z32" s="54">
        <v>16.89242608503757</v>
      </c>
      <c r="AA32" s="54">
        <v>44.570854946847902</v>
      </c>
      <c r="AB32" s="54">
        <v>66.903826066554444</v>
      </c>
      <c r="AC32" s="54"/>
      <c r="AD32" s="54">
        <f t="shared" si="31"/>
        <v>50.011399981516874</v>
      </c>
      <c r="AE32" s="54">
        <f>'RD T1'!E118</f>
        <v>33.702587382261306</v>
      </c>
      <c r="AF32" s="54">
        <f t="shared" si="32"/>
        <v>83.713987363778188</v>
      </c>
      <c r="AH32" t="str">
        <f t="shared" si="33"/>
        <v>91 Elementary trades and related occupations</v>
      </c>
      <c r="AI32" s="54">
        <v>12.504069519610773</v>
      </c>
      <c r="AJ32" s="54">
        <v>12.677345088093649</v>
      </c>
      <c r="AK32" s="54">
        <v>11.36381553558893</v>
      </c>
      <c r="AL32" s="54">
        <v>28.986397424660932</v>
      </c>
      <c r="AM32" s="54">
        <v>45.228754326726119</v>
      </c>
      <c r="AN32" s="54"/>
      <c r="AO32" s="54">
        <f t="shared" si="34"/>
        <v>33.864938791137192</v>
      </c>
      <c r="AP32" s="54">
        <f>'RD T1'!E147</f>
        <v>22.866700248663552</v>
      </c>
      <c r="AQ32" s="54">
        <f t="shared" si="35"/>
        <v>56.73163903980074</v>
      </c>
      <c r="AS32" t="str">
        <f t="shared" si="36"/>
        <v>91 Elementary trades and related occupations</v>
      </c>
      <c r="AT32" s="54">
        <v>14.059327740829932</v>
      </c>
      <c r="AU32" s="54">
        <v>13.741352238997797</v>
      </c>
      <c r="AV32" s="54">
        <v>13.964579666128117</v>
      </c>
      <c r="AW32" s="54">
        <v>33.710759204132522</v>
      </c>
      <c r="AX32" s="54">
        <v>48.308847945978826</v>
      </c>
      <c r="AY32" s="54"/>
      <c r="AZ32" s="54">
        <f t="shared" si="37"/>
        <v>34.344268279850709</v>
      </c>
      <c r="BA32" s="54">
        <f>'RD T1'!E176</f>
        <v>22.652004034627087</v>
      </c>
      <c r="BB32" s="54">
        <f t="shared" si="38"/>
        <v>56.996272314477793</v>
      </c>
      <c r="BD32" t="str">
        <f t="shared" si="39"/>
        <v>91 Elementary trades and related occupations</v>
      </c>
      <c r="BE32" s="54">
        <v>72.229719393684121</v>
      </c>
      <c r="BF32" s="54">
        <v>65.367040445922285</v>
      </c>
      <c r="BG32" s="54">
        <v>60.752114184172825</v>
      </c>
      <c r="BH32" s="54">
        <v>118.67938550238304</v>
      </c>
      <c r="BI32" s="54">
        <v>157.77357154703657</v>
      </c>
      <c r="BJ32" s="54"/>
      <c r="BK32" s="54">
        <f t="shared" si="40"/>
        <v>97.021457362863742</v>
      </c>
      <c r="BL32" s="54">
        <f>'RD T1'!E205</f>
        <v>59.40040723171014</v>
      </c>
      <c r="BM32" s="54">
        <f t="shared" si="41"/>
        <v>156.42186459457389</v>
      </c>
      <c r="BO32" t="str">
        <f t="shared" si="42"/>
        <v>91 Elementary trades and related occupations</v>
      </c>
      <c r="BP32" s="54">
        <v>122.24507225857329</v>
      </c>
      <c r="BQ32" s="54">
        <v>108.92379733520242</v>
      </c>
      <c r="BR32" s="54">
        <v>97.20641465646608</v>
      </c>
      <c r="BS32" s="54">
        <v>168.65326472546246</v>
      </c>
      <c r="BT32" s="54">
        <v>179.41082528128257</v>
      </c>
      <c r="BU32" s="54"/>
      <c r="BV32" s="54">
        <f t="shared" si="43"/>
        <v>82.204410624816489</v>
      </c>
      <c r="BW32" s="54">
        <f>'RD T1'!E234</f>
        <v>70.054235501935437</v>
      </c>
      <c r="BX32" s="54">
        <f t="shared" si="44"/>
        <v>152.25864612675193</v>
      </c>
      <c r="BZ32" t="str">
        <f t="shared" si="45"/>
        <v>91 Elementary trades and related occupations</v>
      </c>
      <c r="CA32" s="54">
        <v>153.60964663593575</v>
      </c>
      <c r="CB32" s="54">
        <v>137.70165564218431</v>
      </c>
      <c r="CC32" s="54">
        <v>117.51579728372072</v>
      </c>
      <c r="CD32" s="54">
        <v>193.60046381073613</v>
      </c>
      <c r="CE32" s="54">
        <v>173.09996587075173</v>
      </c>
      <c r="CF32" s="54"/>
      <c r="CG32" s="54">
        <f t="shared" si="46"/>
        <v>55.584168587031016</v>
      </c>
      <c r="CH32" s="54">
        <f>'RD T1'!E263</f>
        <v>75.258240995821041</v>
      </c>
      <c r="CI32" s="54">
        <f t="shared" si="47"/>
        <v>130.84240958285204</v>
      </c>
      <c r="CK32" t="str">
        <f t="shared" si="48"/>
        <v>91 Elementary trades and related occupations</v>
      </c>
      <c r="CL32" s="54">
        <v>77.683859440882117</v>
      </c>
      <c r="CM32" s="54">
        <v>65.528958232248797</v>
      </c>
      <c r="CN32" s="54">
        <v>56.601339861986546</v>
      </c>
      <c r="CO32" s="54">
        <v>89.906840537098105</v>
      </c>
      <c r="CP32" s="54">
        <v>79.902927574063881</v>
      </c>
      <c r="CQ32" s="54"/>
      <c r="CR32" s="54">
        <f t="shared" si="49"/>
        <v>23.301587712077335</v>
      </c>
      <c r="CS32" s="54">
        <f>'RD T1'!E292</f>
        <v>28.374625695659685</v>
      </c>
      <c r="CT32" s="54">
        <f t="shared" si="50"/>
        <v>51.676213407737023</v>
      </c>
    </row>
    <row r="33" spans="1:98">
      <c r="A33" s="10" t="str">
        <f>name!D29</f>
        <v>92 Elementary administration and service occupations</v>
      </c>
      <c r="B33" s="54">
        <v>1.8334795860109498</v>
      </c>
      <c r="C33" s="54">
        <v>2.3438529524261904</v>
      </c>
      <c r="D33" s="54">
        <v>2.30950263801767</v>
      </c>
      <c r="E33" s="54">
        <v>2.9685923127785436</v>
      </c>
      <c r="F33" s="54">
        <v>4.4178945237657556</v>
      </c>
      <c r="G33" s="11"/>
      <c r="H33" s="54">
        <f t="shared" ref="H33" si="52">F33-D33</f>
        <v>2.1083918857480857</v>
      </c>
      <c r="I33" s="54">
        <f>'RD T1'!E61</f>
        <v>1.9264980007880959</v>
      </c>
      <c r="J33" s="54">
        <f>SUM(H33:I33)</f>
        <v>4.0348898865361811</v>
      </c>
      <c r="L33" t="str">
        <f t="shared" ref="L33" si="53">A33</f>
        <v>92 Elementary administration and service occupations</v>
      </c>
      <c r="M33" s="54">
        <v>53.221165512753295</v>
      </c>
      <c r="N33" s="54">
        <v>74.036234285147145</v>
      </c>
      <c r="O33" s="54">
        <v>76.454924499570353</v>
      </c>
      <c r="P33" s="54">
        <v>105.31625142567908</v>
      </c>
      <c r="Q33" s="54">
        <v>184.83093434279652</v>
      </c>
      <c r="R33" s="11"/>
      <c r="S33" s="54">
        <f t="shared" ref="S33" si="54">Q33-O33</f>
        <v>108.37600984322617</v>
      </c>
      <c r="T33" s="54">
        <f>'RD T1'!E90</f>
        <v>75.628775012341904</v>
      </c>
      <c r="U33" s="54">
        <f t="shared" ref="U33" si="55">SUM(S33:T33)</f>
        <v>184.00478485556806</v>
      </c>
      <c r="W33" t="str">
        <f t="shared" ref="W33" si="56">A33</f>
        <v>92 Elementary administration and service occupations</v>
      </c>
      <c r="X33" s="54">
        <v>189.9763037024648</v>
      </c>
      <c r="Y33" s="54">
        <v>225.39719638166616</v>
      </c>
      <c r="Z33" s="54">
        <v>232.92637474681507</v>
      </c>
      <c r="AA33" s="54">
        <v>250.81814874023775</v>
      </c>
      <c r="AB33" s="54">
        <v>315.42911972267063</v>
      </c>
      <c r="AC33" s="54"/>
      <c r="AD33" s="54">
        <f t="shared" ref="AD33" si="57">AB33-Z33</f>
        <v>82.502744975855563</v>
      </c>
      <c r="AE33" s="54">
        <f>'RD T1'!E119</f>
        <v>176.85164539057962</v>
      </c>
      <c r="AF33" s="54">
        <f t="shared" ref="AF33" si="58">SUM(AD33:AE33)</f>
        <v>259.35439036643515</v>
      </c>
      <c r="AH33" t="str">
        <f t="shared" ref="AH33" si="59">L33</f>
        <v>92 Elementary administration and service occupations</v>
      </c>
      <c r="AI33" s="54">
        <v>89.652964930242547</v>
      </c>
      <c r="AJ33" s="54">
        <v>107.09497250139232</v>
      </c>
      <c r="AK33" s="54">
        <v>112.28806672279106</v>
      </c>
      <c r="AL33" s="54">
        <v>117.60516405234611</v>
      </c>
      <c r="AM33" s="54">
        <v>149.33818321788289</v>
      </c>
      <c r="AN33" s="54"/>
      <c r="AO33" s="54">
        <f t="shared" ref="AO33" si="60">AM33-AK33</f>
        <v>37.050116495091828</v>
      </c>
      <c r="AP33" s="54">
        <f>'RD T1'!E148</f>
        <v>79.467823803611836</v>
      </c>
      <c r="AQ33" s="54">
        <f t="shared" ref="AQ33" si="61">SUM(AO33:AP33)</f>
        <v>116.51794029870366</v>
      </c>
      <c r="AS33" t="str">
        <f t="shared" ref="AS33" si="62">W33</f>
        <v>92 Elementary administration and service occupations</v>
      </c>
      <c r="AT33" s="54">
        <v>82.092822495634309</v>
      </c>
      <c r="AU33" s="54">
        <v>91.909818936501964</v>
      </c>
      <c r="AV33" s="54">
        <v>99.880602977208753</v>
      </c>
      <c r="AW33" s="54">
        <v>102.12336922256443</v>
      </c>
      <c r="AX33" s="54">
        <v>129.86197497361198</v>
      </c>
      <c r="AY33" s="54"/>
      <c r="AZ33" s="54">
        <f t="shared" ref="AZ33" si="63">AX33-AV33</f>
        <v>29.981371996403226</v>
      </c>
      <c r="BA33" s="54">
        <f>'RD T1'!E177</f>
        <v>68.21916104482429</v>
      </c>
      <c r="BB33" s="54">
        <f t="shared" ref="BB33" si="64">SUM(AZ33:BA33)</f>
        <v>98.200533041227516</v>
      </c>
      <c r="BD33" t="str">
        <f t="shared" ref="BD33" si="65">AH33</f>
        <v>92 Elementary administration and service occupations</v>
      </c>
      <c r="BE33" s="54">
        <v>497.82341236134414</v>
      </c>
      <c r="BF33" s="54">
        <v>486.15856612157825</v>
      </c>
      <c r="BG33" s="54">
        <v>466.91441419684907</v>
      </c>
      <c r="BH33" s="54">
        <v>397.56868808006783</v>
      </c>
      <c r="BI33" s="54">
        <v>372.47316280201608</v>
      </c>
      <c r="BJ33" s="54"/>
      <c r="BK33" s="54">
        <f t="shared" ref="BK33" si="66">BI33-BG33</f>
        <v>-94.441251394832989</v>
      </c>
      <c r="BL33" s="54">
        <f>'RD T1'!E206</f>
        <v>195.09933466507712</v>
      </c>
      <c r="BM33" s="54">
        <f t="shared" ref="BM33" si="67">SUM(BK33:BL33)</f>
        <v>100.65808327024413</v>
      </c>
      <c r="BO33" t="str">
        <f t="shared" ref="BO33" si="68">AS33</f>
        <v>92 Elementary administration and service occupations</v>
      </c>
      <c r="BP33" s="54">
        <v>792.97029687531551</v>
      </c>
      <c r="BQ33" s="54">
        <v>825.86930755744675</v>
      </c>
      <c r="BR33" s="54">
        <v>731.24038564340549</v>
      </c>
      <c r="BS33" s="54">
        <v>676.08059705739765</v>
      </c>
      <c r="BT33" s="54">
        <v>579.16960449247222</v>
      </c>
      <c r="BU33" s="54"/>
      <c r="BV33" s="54">
        <f t="shared" ref="BV33" si="69">BT33-BR33</f>
        <v>-152.07078115093327</v>
      </c>
      <c r="BW33" s="54">
        <f>'RD T1'!E235</f>
        <v>307.4225151096615</v>
      </c>
      <c r="BX33" s="54">
        <f t="shared" ref="BX33" si="70">SUM(BV33:BW33)</f>
        <v>155.35173395872823</v>
      </c>
      <c r="BZ33" t="str">
        <f t="shared" ref="BZ33" si="71">BD33</f>
        <v>92 Elementary administration and service occupations</v>
      </c>
      <c r="CA33" s="54">
        <v>737.01130009759459</v>
      </c>
      <c r="CB33" s="54">
        <v>748.23599314722742</v>
      </c>
      <c r="CC33" s="54">
        <v>657.11372109064894</v>
      </c>
      <c r="CD33" s="54">
        <v>571.97161547885048</v>
      </c>
      <c r="CE33" s="54">
        <v>385.42239729525897</v>
      </c>
      <c r="CF33" s="54"/>
      <c r="CG33" s="54">
        <f t="shared" ref="CG33" si="72">CE33-CC33</f>
        <v>-271.69132379538996</v>
      </c>
      <c r="CH33" s="54">
        <f>'RD T1'!E264</f>
        <v>204.60645546312094</v>
      </c>
      <c r="CI33" s="54">
        <f t="shared" ref="CI33" si="73">SUM(CG33:CH33)</f>
        <v>-67.084868332269025</v>
      </c>
      <c r="CK33" t="str">
        <f t="shared" ref="CK33" si="74">BO33</f>
        <v>92 Elementary administration and service occupations</v>
      </c>
      <c r="CL33" s="54">
        <v>381.70178432753562</v>
      </c>
      <c r="CM33" s="54">
        <v>300.64598362821016</v>
      </c>
      <c r="CN33" s="54">
        <v>237.78729369722794</v>
      </c>
      <c r="CO33" s="54">
        <v>145.3221387795256</v>
      </c>
      <c r="CP33" s="54">
        <v>89.564841252347264</v>
      </c>
      <c r="CQ33" s="54"/>
      <c r="CR33" s="54">
        <f t="shared" ref="CR33" si="75">CP33-CN33</f>
        <v>-148.22245244488067</v>
      </c>
      <c r="CS33" s="54">
        <f>'RD T1'!E293</f>
        <v>37.340057895996033</v>
      </c>
      <c r="CT33" s="54">
        <f t="shared" ref="CT33" si="76">SUM(CR33:CS33)</f>
        <v>-110.88239454888463</v>
      </c>
    </row>
    <row r="34" spans="1:98">
      <c r="B34" s="11"/>
      <c r="C34" s="11"/>
      <c r="D34" s="11"/>
      <c r="E34" s="11"/>
      <c r="F34" s="11"/>
      <c r="G34" s="11"/>
      <c r="H34" s="54"/>
      <c r="I34" s="54"/>
      <c r="J34" s="54"/>
      <c r="M34" s="54"/>
      <c r="N34" s="54"/>
      <c r="O34" s="54"/>
      <c r="P34" s="54"/>
      <c r="Q34" s="54"/>
      <c r="R34" s="11"/>
      <c r="S34" s="54"/>
      <c r="T34" s="54"/>
      <c r="U34" s="54"/>
      <c r="X34" s="54"/>
      <c r="Y34" s="54"/>
      <c r="Z34" s="54"/>
      <c r="AA34" s="54"/>
      <c r="AB34" s="54"/>
      <c r="AC34" s="54"/>
      <c r="AD34" s="54"/>
      <c r="AE34" s="54"/>
      <c r="AF34" s="54"/>
      <c r="AI34" s="54"/>
      <c r="AJ34" s="54"/>
      <c r="AK34" s="54"/>
      <c r="AL34" s="54"/>
      <c r="AM34" s="54"/>
      <c r="AN34" s="54"/>
      <c r="AO34" s="54"/>
      <c r="AP34" s="54"/>
      <c r="AQ34" s="54"/>
      <c r="AT34" s="54"/>
      <c r="AU34" s="54"/>
      <c r="AV34" s="54"/>
      <c r="AW34" s="54"/>
      <c r="AX34" s="54"/>
      <c r="AY34" s="54"/>
      <c r="AZ34" s="54"/>
      <c r="BA34" s="54"/>
      <c r="BB34" s="54"/>
      <c r="BE34" s="54"/>
      <c r="BF34" s="54"/>
      <c r="BG34" s="54"/>
      <c r="BH34" s="54"/>
      <c r="BI34" s="54"/>
      <c r="BJ34" s="54"/>
      <c r="BK34" s="54"/>
      <c r="BL34" s="54"/>
      <c r="BM34" s="54"/>
      <c r="BP34" s="54"/>
      <c r="BQ34" s="54"/>
      <c r="BR34" s="54"/>
      <c r="BS34" s="54"/>
      <c r="BT34" s="54"/>
      <c r="BU34" s="54"/>
      <c r="BV34" s="54"/>
      <c r="BW34" s="54"/>
      <c r="BX34" s="54"/>
      <c r="CA34" s="54"/>
      <c r="CB34" s="54"/>
      <c r="CC34" s="54"/>
      <c r="CD34" s="54"/>
      <c r="CE34" s="54"/>
      <c r="CF34" s="54"/>
      <c r="CG34" s="54"/>
      <c r="CH34" s="54"/>
      <c r="CI34" s="54"/>
      <c r="CL34" s="54"/>
      <c r="CM34" s="54"/>
      <c r="CN34" s="54"/>
      <c r="CO34" s="54"/>
      <c r="CP34" s="54"/>
      <c r="CQ34" s="54"/>
      <c r="CR34" s="54"/>
      <c r="CS34" s="54"/>
      <c r="CT34" s="54"/>
    </row>
    <row r="35" spans="1:98">
      <c r="A35" s="208" t="str">
        <f>name!D3</f>
        <v>All occupations</v>
      </c>
      <c r="B35" s="53">
        <f>SUM(B8:B33)</f>
        <v>393.72032912482729</v>
      </c>
      <c r="C35" s="53">
        <f t="shared" ref="C35:F35" si="77">SUM(C8:C33)</f>
        <v>507.77283542055227</v>
      </c>
      <c r="D35" s="53">
        <f t="shared" si="77"/>
        <v>522.64446579351466</v>
      </c>
      <c r="E35" s="53">
        <f t="shared" si="77"/>
        <v>669.73604231822355</v>
      </c>
      <c r="F35" s="53">
        <f t="shared" si="77"/>
        <v>934.16527841035531</v>
      </c>
      <c r="G35" s="11"/>
      <c r="H35" s="53">
        <f>F35-D35</f>
        <v>411.52081261684066</v>
      </c>
      <c r="I35" s="53">
        <f>SUM(I8:I33)</f>
        <v>359.00799999166259</v>
      </c>
      <c r="J35" s="53">
        <f>SUM(H35:I35)</f>
        <v>770.52881260850324</v>
      </c>
      <c r="L35" s="21" t="str">
        <f>A35</f>
        <v>All occupations</v>
      </c>
      <c r="M35" s="53">
        <f>SUM(M8:M33)</f>
        <v>2754.1142531476712</v>
      </c>
      <c r="N35" s="53">
        <f t="shared" ref="N35:Q35" si="78">SUM(N8:N33)</f>
        <v>3602.5037901916348</v>
      </c>
      <c r="O35" s="53">
        <f t="shared" si="78"/>
        <v>3765.2929147959226</v>
      </c>
      <c r="P35" s="53">
        <f t="shared" si="78"/>
        <v>4821.7411523491646</v>
      </c>
      <c r="Q35" s="53">
        <f t="shared" si="78"/>
        <v>6789.5072514767389</v>
      </c>
      <c r="R35" s="11"/>
      <c r="S35" s="53">
        <f>Q35-O35</f>
        <v>3024.2143366808164</v>
      </c>
      <c r="T35" s="53">
        <f>SUM(T8:T33)</f>
        <v>2723.5588506415515</v>
      </c>
      <c r="U35" s="53">
        <f>SUM(S35:T35)</f>
        <v>5747.7731873223674</v>
      </c>
      <c r="W35" s="21" t="str">
        <f>A35</f>
        <v>All occupations</v>
      </c>
      <c r="X35" s="53">
        <f>SUM(X8:X33)</f>
        <v>5584.3807768145416</v>
      </c>
      <c r="Y35" s="53">
        <f t="shared" ref="Y35:AB35" si="79">SUM(Y8:Y33)</f>
        <v>6107.7777430294209</v>
      </c>
      <c r="Z35" s="53">
        <f t="shared" si="79"/>
        <v>6391.785891368233</v>
      </c>
      <c r="AA35" s="53">
        <f t="shared" si="79"/>
        <v>6786.7511547139593</v>
      </c>
      <c r="AB35" s="53">
        <f t="shared" si="79"/>
        <v>7601.5451445197614</v>
      </c>
      <c r="AC35" s="11"/>
      <c r="AD35" s="53">
        <f>AB35-Z35</f>
        <v>1209.7592531515284</v>
      </c>
      <c r="AE35" s="53">
        <f>SUM(AE8:AE33)</f>
        <v>3849.0247638436076</v>
      </c>
      <c r="AF35" s="53">
        <f>SUM(AD35:AE35)</f>
        <v>5058.784016995136</v>
      </c>
      <c r="AH35" s="21" t="str">
        <f>L35</f>
        <v>All occupations</v>
      </c>
      <c r="AI35" s="53">
        <f>SUM(AI8:AI33)</f>
        <v>1634.7622700058332</v>
      </c>
      <c r="AJ35" s="53">
        <f t="shared" ref="AJ35:AM35" si="80">SUM(AJ8:AJ33)</f>
        <v>1634.5018593060922</v>
      </c>
      <c r="AK35" s="53">
        <f t="shared" si="80"/>
        <v>1705.9422521063766</v>
      </c>
      <c r="AL35" s="53">
        <f t="shared" si="80"/>
        <v>1703.3950738873471</v>
      </c>
      <c r="AM35" s="53">
        <f t="shared" si="80"/>
        <v>1868.6764428666629</v>
      </c>
      <c r="AN35" s="11"/>
      <c r="AO35" s="53">
        <f>AM35-AK35</f>
        <v>162.73419076028631</v>
      </c>
      <c r="AP35" s="53">
        <f>SUM(AP8:AP33)</f>
        <v>951.91127612364255</v>
      </c>
      <c r="AQ35" s="53">
        <f>SUM(AO35:AP35)</f>
        <v>1114.6454668839287</v>
      </c>
      <c r="AS35" s="21" t="str">
        <f>W35</f>
        <v>All occupations</v>
      </c>
      <c r="AT35" s="53">
        <f>SUM(AT8:AT33)</f>
        <v>1538.7570902922505</v>
      </c>
      <c r="AU35" s="53">
        <f t="shared" ref="AU35:AX35" si="81">SUM(AU8:AU33)</f>
        <v>1642.6509417224727</v>
      </c>
      <c r="AV35" s="53">
        <f t="shared" si="81"/>
        <v>1728.4181700933295</v>
      </c>
      <c r="AW35" s="53">
        <f t="shared" si="81"/>
        <v>1800.6486764732165</v>
      </c>
      <c r="AX35" s="53">
        <f t="shared" si="81"/>
        <v>2039.0273807863698</v>
      </c>
      <c r="AY35" s="11"/>
      <c r="AZ35" s="53">
        <f>AX35-AV35</f>
        <v>310.60921069304027</v>
      </c>
      <c r="BA35" s="53">
        <f>SUM(BA8:BA33)</f>
        <v>989.81158676260395</v>
      </c>
      <c r="BB35" s="53">
        <f>SUM(AZ35:BA35)</f>
        <v>1300.4207974556443</v>
      </c>
      <c r="BD35" s="21" t="str">
        <f>AH35</f>
        <v>All occupations</v>
      </c>
      <c r="BE35" s="53">
        <f>SUM(BE8:BE33)</f>
        <v>5639.2616360428565</v>
      </c>
      <c r="BF35" s="53">
        <f t="shared" ref="BF35:BI35" si="82">SUM(BF8:BF33)</f>
        <v>5832.8497135580019</v>
      </c>
      <c r="BG35" s="53">
        <f t="shared" si="82"/>
        <v>5842.7949099002708</v>
      </c>
      <c r="BH35" s="53">
        <f t="shared" si="82"/>
        <v>5811.9310878060232</v>
      </c>
      <c r="BI35" s="53">
        <f t="shared" si="82"/>
        <v>5820.8764372967689</v>
      </c>
      <c r="BJ35" s="11"/>
      <c r="BK35" s="53">
        <f>BI35-BG35</f>
        <v>-21.918472603501868</v>
      </c>
      <c r="BL35" s="53">
        <f>SUM(BL8:BL33)</f>
        <v>2638.4442459049419</v>
      </c>
      <c r="BM35" s="53">
        <f>SUM(BK35:BL35)</f>
        <v>2616.52577330144</v>
      </c>
      <c r="BO35" s="21" t="str">
        <f>AS35</f>
        <v>All occupations</v>
      </c>
      <c r="BP35" s="53">
        <f>SUM(BP8:BP33)</f>
        <v>5710.2594647863698</v>
      </c>
      <c r="BQ35" s="53">
        <f t="shared" ref="BQ35:BT35" si="83">SUM(BQ8:BQ33)</f>
        <v>5758.7634162135046</v>
      </c>
      <c r="BR35" s="53">
        <f t="shared" si="83"/>
        <v>5330.1618704902939</v>
      </c>
      <c r="BS35" s="53">
        <f t="shared" si="83"/>
        <v>5134.4464820149315</v>
      </c>
      <c r="BT35" s="53">
        <f t="shared" si="83"/>
        <v>4272.5426973533722</v>
      </c>
      <c r="BU35" s="11"/>
      <c r="BV35" s="53">
        <f>BT35-BR35</f>
        <v>-1057.6191731369217</v>
      </c>
      <c r="BW35" s="53">
        <f>SUM(BW8:BW33)</f>
        <v>2190.8544959854439</v>
      </c>
      <c r="BX35" s="53">
        <f>SUM(BV35:BW35)</f>
        <v>1133.2353228485222</v>
      </c>
      <c r="BZ35" s="21" t="str">
        <f>BD35</f>
        <v>All occupations</v>
      </c>
      <c r="CA35" s="53">
        <f>SUM(CA8:CA33)</f>
        <v>3914.3609839876081</v>
      </c>
      <c r="CB35" s="53">
        <f t="shared" ref="CB35:CE35" si="84">SUM(CB8:CB33)</f>
        <v>3791.5074330667608</v>
      </c>
      <c r="CC35" s="53">
        <f t="shared" si="84"/>
        <v>3433.3407975165951</v>
      </c>
      <c r="CD35" s="53">
        <f t="shared" si="84"/>
        <v>3089.2371506087884</v>
      </c>
      <c r="CE35" s="53">
        <f t="shared" si="84"/>
        <v>2049.7111319645287</v>
      </c>
      <c r="CF35" s="11"/>
      <c r="CG35" s="53">
        <f>CE35-CC35</f>
        <v>-1383.6296655520664</v>
      </c>
      <c r="CH35" s="53">
        <f>SUM(CH8:CH33)</f>
        <v>1077.0267516327663</v>
      </c>
      <c r="CI35" s="53">
        <f>SUM(CG35:CH35)</f>
        <v>-306.60291391930014</v>
      </c>
      <c r="CK35" s="21" t="str">
        <f>BO35</f>
        <v>All occupations</v>
      </c>
      <c r="CL35" s="53">
        <f>SUM(CL8:CL33)</f>
        <v>1486.5551957958032</v>
      </c>
      <c r="CM35" s="53">
        <f t="shared" ref="CM35:CO35" si="85">SUM(CM8:CM33)</f>
        <v>1334.4322674854263</v>
      </c>
      <c r="CN35" s="53">
        <f>SUM(CN8:CN33)</f>
        <v>1139.299727930676</v>
      </c>
      <c r="CO35" s="53">
        <f t="shared" si="85"/>
        <v>936.86117983907172</v>
      </c>
      <c r="CP35" s="53">
        <f>SUM(CP8:CP33)</f>
        <v>694.03923533797217</v>
      </c>
      <c r="CQ35" s="11"/>
      <c r="CR35" s="53">
        <f>CP35-CN35</f>
        <v>-445.26049259270383</v>
      </c>
      <c r="CS35" s="53">
        <f>SUM(CS8:CS33)</f>
        <v>280.85669409700057</v>
      </c>
      <c r="CT35" s="53">
        <f>SUM(CR35:CS35)</f>
        <v>-164.40379849570326</v>
      </c>
    </row>
    <row r="38" spans="1:98" ht="52.5" customHeight="1">
      <c r="A38" s="373" t="str">
        <f>CONCATENATE(A$1," (Continued)")</f>
        <v>Basic Table 2  Employment Change by Occupation and Replacement Demand, RQF8 Doctorate, 2015-2035, England (Continued)</v>
      </c>
      <c r="B38" s="373"/>
      <c r="C38" s="373"/>
      <c r="D38" s="373"/>
      <c r="E38" s="373"/>
      <c r="F38" s="373"/>
      <c r="G38" s="373"/>
      <c r="H38" s="373"/>
      <c r="I38" s="373"/>
      <c r="J38" s="373"/>
      <c r="L38" s="373" t="str">
        <f>CONCATENATE(L$1," (Continued)")</f>
        <v>Basic Table 2.1  Employment Change by Occupation and Replacement Demand, RQF7 Other higher degree, 2015-2035, England (Continued)</v>
      </c>
      <c r="M38" s="373"/>
      <c r="N38" s="373"/>
      <c r="O38" s="373"/>
      <c r="P38" s="373"/>
      <c r="Q38" s="373"/>
      <c r="R38" s="373"/>
      <c r="S38" s="373"/>
      <c r="T38" s="373"/>
      <c r="U38" s="373"/>
      <c r="W38" s="373" t="str">
        <f>CONCATENATE(W$1," (Continued)")</f>
        <v>Basic Table 2.2  Employment Change by Occupation and Replacement Demand, RQF6 First degree, 2015-2035, England (Continued)</v>
      </c>
      <c r="X38" s="373"/>
      <c r="Y38" s="373"/>
      <c r="Z38" s="373"/>
      <c r="AA38" s="373"/>
      <c r="AB38" s="373"/>
      <c r="AC38" s="373"/>
      <c r="AD38" s="373"/>
      <c r="AE38" s="373"/>
      <c r="AF38" s="373"/>
      <c r="AH38" s="373" t="str">
        <f>CONCATENATE(AH$1," (Continued)")</f>
        <v>Basic Table 2.3  Employment Change by Occupation and Replacement Demand, RQF5 Foundation degree;Nursing;Teaching, 2015-2035, England (Continued)</v>
      </c>
      <c r="AI38" s="373"/>
      <c r="AJ38" s="373"/>
      <c r="AK38" s="373"/>
      <c r="AL38" s="373"/>
      <c r="AM38" s="373"/>
      <c r="AN38" s="373"/>
      <c r="AO38" s="373"/>
      <c r="AP38" s="373"/>
      <c r="AQ38" s="373"/>
      <c r="AS38" s="373" t="str">
        <f>CONCATENATE(AS$1," (Continued)")</f>
        <v>Basic Table 2.4  Employment Change by Occupation and Replacement Demand, RQF4 HE below degree level, 2015-2035, England (Continued)</v>
      </c>
      <c r="AT38" s="373"/>
      <c r="AU38" s="373"/>
      <c r="AV38" s="373"/>
      <c r="AW38" s="373"/>
      <c r="AX38" s="373"/>
      <c r="AY38" s="373"/>
      <c r="AZ38" s="373"/>
      <c r="BA38" s="373"/>
      <c r="BB38" s="373"/>
      <c r="BD38" s="373" t="str">
        <f>CONCATENATE(BD$1," (Continued)")</f>
        <v>Basic Table 2.5  Employment Change by Occupation and Replacement Demand, RQF3 A level &amp; equivalent, 2015-2035, England (Continued)</v>
      </c>
      <c r="BE38" s="373"/>
      <c r="BF38" s="373"/>
      <c r="BG38" s="373"/>
      <c r="BH38" s="373"/>
      <c r="BI38" s="373"/>
      <c r="BJ38" s="373"/>
      <c r="BK38" s="373"/>
      <c r="BL38" s="373"/>
      <c r="BM38" s="373"/>
      <c r="BO38" s="373" t="str">
        <f>CONCATENATE(BO$1," (Continued)")</f>
        <v>Basic Table 2.6  Employment Change by Occupation and Replacement Demand, RQF2 GCSE(A-C) &amp; equivalent, 2015-2035, England (Continued)</v>
      </c>
      <c r="BP38" s="373"/>
      <c r="BQ38" s="373"/>
      <c r="BR38" s="373"/>
      <c r="BS38" s="373"/>
      <c r="BT38" s="373"/>
      <c r="BU38" s="373"/>
      <c r="BV38" s="373"/>
      <c r="BW38" s="373"/>
      <c r="BX38" s="373"/>
      <c r="BZ38" s="373" t="str">
        <f>CONCATENATE(BZ$1," (Continued)")</f>
        <v>Basic Table 2.7  Employment Change by Occupation and Replacement Demand, RQF1 GCSE(below grade C) &amp; equivalent, 2015-2035, England (Continued)</v>
      </c>
      <c r="CA38" s="373"/>
      <c r="CB38" s="373"/>
      <c r="CC38" s="373"/>
      <c r="CD38" s="373"/>
      <c r="CE38" s="373"/>
      <c r="CF38" s="373"/>
      <c r="CG38" s="373"/>
      <c r="CH38" s="373"/>
      <c r="CI38" s="373"/>
      <c r="CK38" s="373" t="str">
        <f>CONCATENATE(CK$1," (Continued)")</f>
        <v>Basic Table 2.8  Employment Change by Occupation and Replacement Demand, No Qualification, 2015-2035, England (Continued)</v>
      </c>
      <c r="CL38" s="373"/>
      <c r="CM38" s="373"/>
      <c r="CN38" s="373"/>
      <c r="CO38" s="373"/>
      <c r="CP38" s="373"/>
      <c r="CQ38" s="373"/>
      <c r="CR38" s="373"/>
      <c r="CS38" s="373"/>
      <c r="CT38" s="373"/>
    </row>
    <row r="39" spans="1:98" ht="12.75" customHeight="1"/>
    <row r="40" spans="1:98" ht="12.75" customHeight="1">
      <c r="F40" s="15" t="s">
        <v>123</v>
      </c>
      <c r="J40" s="15" t="s">
        <v>123</v>
      </c>
      <c r="Q40" s="15" t="s">
        <v>123</v>
      </c>
      <c r="U40" s="15" t="s">
        <v>123</v>
      </c>
      <c r="AB40" s="15" t="s">
        <v>123</v>
      </c>
      <c r="AF40" s="15" t="s">
        <v>123</v>
      </c>
      <c r="AM40" s="15" t="s">
        <v>123</v>
      </c>
      <c r="AQ40" s="15" t="s">
        <v>123</v>
      </c>
      <c r="AX40" s="15" t="s">
        <v>123</v>
      </c>
      <c r="BB40" s="15" t="s">
        <v>123</v>
      </c>
      <c r="BI40" s="15" t="s">
        <v>123</v>
      </c>
      <c r="BM40" s="15" t="s">
        <v>123</v>
      </c>
      <c r="BT40" s="15" t="s">
        <v>123</v>
      </c>
      <c r="BX40" s="15" t="s">
        <v>123</v>
      </c>
      <c r="CE40" s="15" t="s">
        <v>123</v>
      </c>
      <c r="CI40" s="15" t="s">
        <v>123</v>
      </c>
      <c r="CP40" s="15" t="s">
        <v>123</v>
      </c>
      <c r="CT40" s="15" t="s">
        <v>123</v>
      </c>
    </row>
    <row r="41" spans="1:98" ht="12.75" customHeight="1">
      <c r="A41" s="28"/>
      <c r="B41" s="28"/>
      <c r="C41" s="28"/>
      <c r="D41" s="28"/>
      <c r="E41" s="28"/>
      <c r="F41" s="28"/>
      <c r="H41" s="23" t="str">
        <f>$H$4</f>
        <v>2020-2035</v>
      </c>
      <c r="I41" s="28"/>
      <c r="J41" s="28"/>
      <c r="L41" s="28"/>
      <c r="M41" s="28"/>
      <c r="N41" s="28"/>
      <c r="O41" s="28"/>
      <c r="P41" s="28"/>
      <c r="Q41" s="28"/>
      <c r="S41" s="23" t="str">
        <f>$H$4</f>
        <v>2020-2035</v>
      </c>
      <c r="T41" s="28"/>
      <c r="U41" s="28"/>
      <c r="W41" s="28"/>
      <c r="X41" s="28"/>
      <c r="Y41" s="28"/>
      <c r="Z41" s="28"/>
      <c r="AA41" s="28"/>
      <c r="AB41" s="28"/>
      <c r="AD41" s="23" t="str">
        <f>$H$4</f>
        <v>2020-2035</v>
      </c>
      <c r="AE41" s="28"/>
      <c r="AF41" s="28"/>
      <c r="AH41" s="28"/>
      <c r="AI41" s="28"/>
      <c r="AJ41" s="28"/>
      <c r="AK41" s="28"/>
      <c r="AL41" s="28"/>
      <c r="AM41" s="28"/>
      <c r="AO41" s="23" t="str">
        <f>$H$4</f>
        <v>2020-2035</v>
      </c>
      <c r="AP41" s="28"/>
      <c r="AQ41" s="28"/>
      <c r="AS41" s="28"/>
      <c r="AT41" s="28"/>
      <c r="AU41" s="28"/>
      <c r="AV41" s="28"/>
      <c r="AW41" s="28"/>
      <c r="AX41" s="28"/>
      <c r="AZ41" s="23" t="str">
        <f>$H$4</f>
        <v>2020-2035</v>
      </c>
      <c r="BA41" s="28"/>
      <c r="BB41" s="28"/>
      <c r="BD41" s="28"/>
      <c r="BE41" s="28"/>
      <c r="BF41" s="28"/>
      <c r="BG41" s="28"/>
      <c r="BH41" s="28"/>
      <c r="BI41" s="28"/>
      <c r="BK41" s="23" t="str">
        <f>$H$4</f>
        <v>2020-2035</v>
      </c>
      <c r="BL41" s="28"/>
      <c r="BM41" s="28"/>
      <c r="BO41" s="28"/>
      <c r="BP41" s="28"/>
      <c r="BQ41" s="28"/>
      <c r="BR41" s="28"/>
      <c r="BS41" s="28"/>
      <c r="BT41" s="28"/>
      <c r="BV41" s="23" t="str">
        <f>$H$4</f>
        <v>2020-2035</v>
      </c>
      <c r="BW41" s="28"/>
      <c r="BX41" s="28"/>
      <c r="BZ41" s="28"/>
      <c r="CA41" s="28"/>
      <c r="CB41" s="28"/>
      <c r="CC41" s="28"/>
      <c r="CD41" s="28"/>
      <c r="CE41" s="28"/>
      <c r="CG41" s="23" t="str">
        <f>$H$4</f>
        <v>2020-2035</v>
      </c>
      <c r="CH41" s="28"/>
      <c r="CI41" s="28"/>
      <c r="CK41" s="28"/>
      <c r="CL41" s="28"/>
      <c r="CM41" s="28"/>
      <c r="CN41" s="28"/>
      <c r="CO41" s="28"/>
      <c r="CP41" s="28"/>
      <c r="CR41" s="23" t="str">
        <f>$H$4</f>
        <v>2020-2035</v>
      </c>
      <c r="CS41" s="28"/>
      <c r="CT41" s="28"/>
    </row>
    <row r="42" spans="1:98" ht="12.75" customHeight="1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>
      <c r="A43" s="31" t="s">
        <v>124</v>
      </c>
      <c r="B43" s="27">
        <f>B$6</f>
        <v>2015</v>
      </c>
      <c r="C43" s="27">
        <f>C$6</f>
        <v>2019</v>
      </c>
      <c r="D43" s="27">
        <f>D$6</f>
        <v>2020</v>
      </c>
      <c r="E43" s="27">
        <f>E$6</f>
        <v>2025</v>
      </c>
      <c r="F43" s="27">
        <f>F$6</f>
        <v>2035</v>
      </c>
      <c r="H43" s="50" t="str">
        <f t="shared" si="86"/>
        <v>Change</v>
      </c>
      <c r="I43" s="50" t="str">
        <f t="shared" si="86"/>
        <v>Demand</v>
      </c>
      <c r="J43" s="50" t="str">
        <f t="shared" si="86"/>
        <v>Requirement</v>
      </c>
      <c r="L43" s="31" t="s">
        <v>124</v>
      </c>
      <c r="M43" s="27">
        <f>M$6</f>
        <v>2015</v>
      </c>
      <c r="N43" s="27">
        <f>N$6</f>
        <v>2019</v>
      </c>
      <c r="O43" s="27">
        <f>O$6</f>
        <v>2020</v>
      </c>
      <c r="P43" s="27">
        <f>P$6</f>
        <v>2025</v>
      </c>
      <c r="Q43" s="27">
        <f>Q$6</f>
        <v>2035</v>
      </c>
      <c r="S43" s="50" t="str">
        <f t="shared" si="87"/>
        <v>Change</v>
      </c>
      <c r="T43" s="50" t="str">
        <f t="shared" si="87"/>
        <v>Demand</v>
      </c>
      <c r="U43" s="50" t="str">
        <f t="shared" si="87"/>
        <v>Requirement</v>
      </c>
      <c r="W43" s="31" t="s">
        <v>124</v>
      </c>
      <c r="X43" s="27">
        <f>X$6</f>
        <v>2015</v>
      </c>
      <c r="Y43" s="27">
        <f>Y$6</f>
        <v>2019</v>
      </c>
      <c r="Z43" s="27">
        <f>Z$6</f>
        <v>2020</v>
      </c>
      <c r="AA43" s="27">
        <f>AA$6</f>
        <v>2025</v>
      </c>
      <c r="AB43" s="27">
        <f>AB$6</f>
        <v>2035</v>
      </c>
      <c r="AD43" s="50" t="str">
        <f t="shared" si="88"/>
        <v>Change</v>
      </c>
      <c r="AE43" s="50" t="str">
        <f t="shared" si="88"/>
        <v>Demand</v>
      </c>
      <c r="AF43" s="50" t="str">
        <f t="shared" si="88"/>
        <v>Requirement</v>
      </c>
      <c r="AH43" s="31" t="s">
        <v>124</v>
      </c>
      <c r="AI43" s="27">
        <f>AI$6</f>
        <v>2015</v>
      </c>
      <c r="AJ43" s="27">
        <f>AJ$6</f>
        <v>2019</v>
      </c>
      <c r="AK43" s="27">
        <f>AK$6</f>
        <v>2020</v>
      </c>
      <c r="AL43" s="27">
        <f>AL$6</f>
        <v>2025</v>
      </c>
      <c r="AM43" s="27">
        <f>AM$6</f>
        <v>2035</v>
      </c>
      <c r="AO43" s="50" t="str">
        <f t="shared" si="89"/>
        <v>Change</v>
      </c>
      <c r="AP43" s="50" t="str">
        <f t="shared" si="89"/>
        <v>Demand</v>
      </c>
      <c r="AQ43" s="50" t="str">
        <f t="shared" si="89"/>
        <v>Requirement</v>
      </c>
      <c r="AS43" s="31" t="s">
        <v>124</v>
      </c>
      <c r="AT43" s="27">
        <f>AT$6</f>
        <v>2015</v>
      </c>
      <c r="AU43" s="27">
        <f>AU$6</f>
        <v>2019</v>
      </c>
      <c r="AV43" s="27">
        <f>AV$6</f>
        <v>2020</v>
      </c>
      <c r="AW43" s="27">
        <f>AW$6</f>
        <v>2025</v>
      </c>
      <c r="AX43" s="27">
        <f>AX$6</f>
        <v>2035</v>
      </c>
      <c r="AZ43" s="50" t="str">
        <f t="shared" si="90"/>
        <v>Change</v>
      </c>
      <c r="BA43" s="50" t="str">
        <f t="shared" si="90"/>
        <v>Demand</v>
      </c>
      <c r="BB43" s="50" t="str">
        <f t="shared" si="90"/>
        <v>Requirement</v>
      </c>
      <c r="BD43" s="31" t="s">
        <v>124</v>
      </c>
      <c r="BE43" s="27">
        <f>BE$6</f>
        <v>2015</v>
      </c>
      <c r="BF43" s="27">
        <f>BF$6</f>
        <v>2019</v>
      </c>
      <c r="BG43" s="27">
        <f>BG$6</f>
        <v>2020</v>
      </c>
      <c r="BH43" s="27">
        <f>BH$6</f>
        <v>2025</v>
      </c>
      <c r="BI43" s="27">
        <f>BI$6</f>
        <v>2035</v>
      </c>
      <c r="BK43" s="50" t="str">
        <f t="shared" si="91"/>
        <v>Change</v>
      </c>
      <c r="BL43" s="50" t="str">
        <f t="shared" si="91"/>
        <v>Demand</v>
      </c>
      <c r="BM43" s="50" t="str">
        <f t="shared" si="91"/>
        <v>Requirement</v>
      </c>
      <c r="BO43" s="31" t="s">
        <v>124</v>
      </c>
      <c r="BP43" s="27">
        <f>BP$6</f>
        <v>2015</v>
      </c>
      <c r="BQ43" s="27">
        <f>BQ$6</f>
        <v>2019</v>
      </c>
      <c r="BR43" s="27">
        <f>BR$6</f>
        <v>2020</v>
      </c>
      <c r="BS43" s="27">
        <f>BS$6</f>
        <v>2025</v>
      </c>
      <c r="BT43" s="27">
        <f>BT$6</f>
        <v>2035</v>
      </c>
      <c r="BV43" s="50" t="str">
        <f t="shared" si="92"/>
        <v>Change</v>
      </c>
      <c r="BW43" s="50" t="str">
        <f t="shared" si="92"/>
        <v>Demand</v>
      </c>
      <c r="BX43" s="50" t="str">
        <f t="shared" si="92"/>
        <v>Requirement</v>
      </c>
      <c r="BZ43" s="31" t="s">
        <v>124</v>
      </c>
      <c r="CA43" s="27">
        <f>CA$6</f>
        <v>2015</v>
      </c>
      <c r="CB43" s="27">
        <f>CB$6</f>
        <v>2019</v>
      </c>
      <c r="CC43" s="27">
        <f>CC$6</f>
        <v>2020</v>
      </c>
      <c r="CD43" s="27">
        <f>CD$6</f>
        <v>2025</v>
      </c>
      <c r="CE43" s="27">
        <f>CE$6</f>
        <v>2035</v>
      </c>
      <c r="CG43" s="50" t="str">
        <f t="shared" si="93"/>
        <v>Change</v>
      </c>
      <c r="CH43" s="50" t="str">
        <f t="shared" si="93"/>
        <v>Demand</v>
      </c>
      <c r="CI43" s="50" t="str">
        <f t="shared" si="93"/>
        <v>Requirement</v>
      </c>
      <c r="CK43" s="31" t="s">
        <v>124</v>
      </c>
      <c r="CL43" s="27">
        <f>CL$6</f>
        <v>2015</v>
      </c>
      <c r="CM43" s="27">
        <f>CM$6</f>
        <v>2019</v>
      </c>
      <c r="CN43" s="27">
        <f>CN$6</f>
        <v>2020</v>
      </c>
      <c r="CO43" s="27">
        <f>CO$6</f>
        <v>2025</v>
      </c>
      <c r="CP43" s="27">
        <f>CP$6</f>
        <v>2035</v>
      </c>
      <c r="CR43" s="50" t="str">
        <f t="shared" si="94"/>
        <v>Change</v>
      </c>
      <c r="CS43" s="50" t="str">
        <f t="shared" si="94"/>
        <v>Demand</v>
      </c>
      <c r="CT43" s="50" t="str">
        <f t="shared" si="94"/>
        <v>Requirement</v>
      </c>
    </row>
    <row r="44" spans="1:98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>
      <c r="A45" t="str">
        <f t="shared" ref="A45:A70" si="95">A8</f>
        <v>11 Corporate managers and directors</v>
      </c>
      <c r="B45" s="335">
        <f t="shared" ref="B45:F54" si="96">B8/B$35*100</f>
        <v>7.0695331628742055</v>
      </c>
      <c r="C45" s="335">
        <f t="shared" si="96"/>
        <v>7.5095896368163304</v>
      </c>
      <c r="D45" s="335">
        <f t="shared" si="96"/>
        <v>7.6318088773538904</v>
      </c>
      <c r="E45" s="335">
        <f t="shared" si="96"/>
        <v>7.0304185626487454</v>
      </c>
      <c r="F45" s="335">
        <f t="shared" si="96"/>
        <v>7.3833201290547015</v>
      </c>
      <c r="H45" s="278">
        <f>IF(D8&gt;0,(H8/D8)*100,0)</f>
        <v>72.918547317282503</v>
      </c>
      <c r="I45" s="54">
        <f>IF(D8&gt;0,I8/D8*100,0)</f>
        <v>72.073133942353365</v>
      </c>
      <c r="J45" s="54">
        <f>IF(D8&gt;0,(J8/D8)*100,0)</f>
        <v>144.99168125963587</v>
      </c>
      <c r="L45" t="str">
        <f>A45</f>
        <v>11 Corporate managers and directors</v>
      </c>
      <c r="M45" s="335">
        <f t="shared" ref="M45:Q54" si="97">M8/M$35*100</f>
        <v>8.3209803997196712</v>
      </c>
      <c r="N45" s="335">
        <f t="shared" si="97"/>
        <v>8.9321052697775816</v>
      </c>
      <c r="O45" s="335">
        <f t="shared" si="97"/>
        <v>8.9066246235395958</v>
      </c>
      <c r="P45" s="335">
        <f t="shared" si="97"/>
        <v>7.9403811026543956</v>
      </c>
      <c r="Q45" s="335">
        <f t="shared" si="97"/>
        <v>8.0435603256739299</v>
      </c>
      <c r="S45" s="278">
        <f t="shared" ref="S45:S70" si="98">IF(O8&gt;0,(S8/O8)*100,0)</f>
        <v>62.845088191536206</v>
      </c>
      <c r="T45" s="54">
        <f t="shared" ref="T45:T70" si="99">IF(O8&gt;0,T8/O8*100,0)</f>
        <v>69.482756989717799</v>
      </c>
      <c r="U45" s="54">
        <f t="shared" ref="U45:U70" si="100">IF(O8&gt;0,(U8/O8)*100,0)</f>
        <v>132.32784518125399</v>
      </c>
      <c r="W45" t="str">
        <f>A45</f>
        <v>11 Corporate managers and directors</v>
      </c>
      <c r="X45" s="335">
        <f t="shared" ref="X45:AB54" si="101">X8/X$35*100</f>
        <v>9.9152756402412301</v>
      </c>
      <c r="Y45" s="335">
        <f t="shared" si="101"/>
        <v>10.859076120881118</v>
      </c>
      <c r="Z45" s="335">
        <f t="shared" si="101"/>
        <v>10.626804776026438</v>
      </c>
      <c r="AA45" s="335">
        <f t="shared" si="101"/>
        <v>9.2374547623699641</v>
      </c>
      <c r="AB45" s="335">
        <f t="shared" si="101"/>
        <v>9.0788700522759171</v>
      </c>
      <c r="AD45" s="278">
        <f t="shared" ref="AD45:AD70" si="102">IF(Z8&gt;0,(AD8/Z8)*100,0)</f>
        <v>1.6035209105558748</v>
      </c>
      <c r="AE45" s="54">
        <f t="shared" ref="AE45:AE70" si="103">IF(Z8&gt;0,AE8/Z8*100,0)</f>
        <v>56.120473333579632</v>
      </c>
      <c r="AF45" s="54">
        <f t="shared" ref="AF45:AF70" si="104">IF(Z8&gt;0,(AF8/Z8)*100,0)</f>
        <v>57.723994244135504</v>
      </c>
      <c r="AH45" t="str">
        <f>L45</f>
        <v>11 Corporate managers and directors</v>
      </c>
      <c r="AI45" s="335">
        <f t="shared" ref="AI45:AM54" si="105">AI8/AI$35*100</f>
        <v>6.3606774846066774</v>
      </c>
      <c r="AJ45" s="335">
        <f t="shared" si="105"/>
        <v>7.1966329666285374</v>
      </c>
      <c r="AK45" s="335">
        <f t="shared" si="105"/>
        <v>7.3933333386602031</v>
      </c>
      <c r="AL45" s="335">
        <f t="shared" si="105"/>
        <v>6.5567873611457275</v>
      </c>
      <c r="AM45" s="335">
        <f t="shared" si="105"/>
        <v>6.4145989477342287</v>
      </c>
      <c r="AO45" s="278">
        <f t="shared" ref="AO45:AO70" si="106">IF(AK8&gt;0,(AO8/AK8)*100,0)</f>
        <v>-4.9616240571929984</v>
      </c>
      <c r="AP45" s="54">
        <f t="shared" ref="AP45:AP70" si="107">IF(AK8&gt;0,AP8/AK8*100,0)</f>
        <v>49.302444617808554</v>
      </c>
      <c r="AQ45" s="54">
        <f t="shared" ref="AQ45:AQ70" si="108">IF(AK8&gt;0,(AQ8/AK8)*100,0)</f>
        <v>44.340820560615555</v>
      </c>
      <c r="AS45" t="str">
        <f>W45</f>
        <v>11 Corporate managers and directors</v>
      </c>
      <c r="AT45" s="335">
        <f t="shared" ref="AT45:AX54" si="109">AT8/AT$35*100</f>
        <v>10.005067714007605</v>
      </c>
      <c r="AU45" s="335">
        <f t="shared" si="109"/>
        <v>10.649533273389194</v>
      </c>
      <c r="AV45" s="335">
        <f t="shared" si="109"/>
        <v>10.747843960648423</v>
      </c>
      <c r="AW45" s="335">
        <f t="shared" si="109"/>
        <v>8.9388729913037661</v>
      </c>
      <c r="AX45" s="335">
        <f t="shared" si="109"/>
        <v>8.4570693810482567</v>
      </c>
      <c r="AZ45" s="278">
        <f t="shared" ref="AZ45:AZ70" si="110">IF(AV8&gt;0,(AZ8/AV8)*100,0)</f>
        <v>-7.1733291012214391</v>
      </c>
      <c r="BA45" s="54">
        <f t="shared" ref="BA45:BA70" si="111">IF(AV8&gt;0,BA8/AV8*100,0)</f>
        <v>48.725173571261173</v>
      </c>
      <c r="BB45" s="54">
        <f t="shared" ref="BB45:BB70" si="112">IF(AV8&gt;0,(BB8/AV8)*100,0)</f>
        <v>41.55184447003974</v>
      </c>
      <c r="BD45" t="str">
        <f>AH45</f>
        <v>11 Corporate managers and directors</v>
      </c>
      <c r="BE45" s="335">
        <f t="shared" ref="BE45:BI54" si="113">BE8/BE$35*100</f>
        <v>5.859062317490074</v>
      </c>
      <c r="BF45" s="335">
        <f t="shared" si="113"/>
        <v>6.51721613616371</v>
      </c>
      <c r="BG45" s="335">
        <f t="shared" si="113"/>
        <v>6.828032461931814</v>
      </c>
      <c r="BH45" s="335">
        <f t="shared" si="113"/>
        <v>5.7326620744729393</v>
      </c>
      <c r="BI45" s="335">
        <f t="shared" si="113"/>
        <v>5.8628361192482226</v>
      </c>
      <c r="BK45" s="278">
        <f t="shared" ref="BK45:BK70" si="114">IF(BG8&gt;0,(BK8/BG8)*100,0)</f>
        <v>-14.457898417122161</v>
      </c>
      <c r="BL45" s="54">
        <f t="shared" ref="BL45:BL70" si="115">IF(BG8&gt;0,BL8/BG8*100,0)</f>
        <v>37.94334203972457</v>
      </c>
      <c r="BM45" s="54">
        <f t="shared" ref="BM45:BM70" si="116">IF(BG8&gt;0,(BM8/BG8)*100,0)</f>
        <v>23.485443622602411</v>
      </c>
      <c r="BO45" t="str">
        <f>AS45</f>
        <v>11 Corporate managers and directors</v>
      </c>
      <c r="BP45" s="335">
        <f t="shared" ref="BP45:BT54" si="117">BP8/BP$35*100</f>
        <v>4.7747417356873632</v>
      </c>
      <c r="BQ45" s="335">
        <f t="shared" si="117"/>
        <v>5.2442710654642992</v>
      </c>
      <c r="BR45" s="335">
        <f t="shared" si="117"/>
        <v>5.4821704103049473</v>
      </c>
      <c r="BS45" s="335">
        <f t="shared" si="117"/>
        <v>4.5312523765243027</v>
      </c>
      <c r="BT45" s="335">
        <f t="shared" si="117"/>
        <v>4.2330479888026131</v>
      </c>
      <c r="BV45" s="278">
        <f t="shared" ref="BV45:BV70" si="118">IF(BR8&gt;0,(BV8/BR8)*100,0)</f>
        <v>-38.106267438295731</v>
      </c>
      <c r="BW45" s="54">
        <f t="shared" ref="BW45:BW70" si="119">IF(BR8&gt;0,BW8/BR8*100,0)</f>
        <v>34.385252003524798</v>
      </c>
      <c r="BX45" s="54">
        <f t="shared" ref="BX45:BX70" si="120">IF(BR8&gt;0,(BX8/BR8)*100,0)</f>
        <v>-3.7210154347709365</v>
      </c>
      <c r="BZ45" t="str">
        <f>BD45</f>
        <v>11 Corporate managers and directors</v>
      </c>
      <c r="CA45" s="335">
        <f t="shared" ref="CA45:CE54" si="121">CA8/CA$35*100</f>
        <v>4.8404210682280153</v>
      </c>
      <c r="CB45" s="335">
        <f t="shared" si="121"/>
        <v>5.5539053838553611</v>
      </c>
      <c r="CC45" s="335">
        <f t="shared" si="121"/>
        <v>6.1137411465158849</v>
      </c>
      <c r="CD45" s="335">
        <f t="shared" si="121"/>
        <v>5.6583501051024703</v>
      </c>
      <c r="CE45" s="335">
        <f t="shared" si="121"/>
        <v>6.2953029266559728</v>
      </c>
      <c r="CG45" s="278">
        <f t="shared" ref="CG45:CG70" si="122">IF(CC8&gt;0,(CG8/CC8)*100,0)</f>
        <v>-38.526869263166205</v>
      </c>
      <c r="CH45" s="54">
        <f t="shared" ref="CH45:CH70" si="123">IF(CC8&gt;0,CH8/CC8*100,0)</f>
        <v>33.141370879296709</v>
      </c>
      <c r="CI45" s="54">
        <f t="shared" ref="CI45:CI70" si="124">IF(CC8&gt;0,(CI8/CC8)*100,0)</f>
        <v>-5.3854983838694945</v>
      </c>
      <c r="CK45" t="str">
        <f>BO45</f>
        <v>11 Corporate managers and directors</v>
      </c>
      <c r="CL45" s="335">
        <f t="shared" ref="CL45:CP54" si="125">CL8/CL$35*100</f>
        <v>2.573614641075904</v>
      </c>
      <c r="CM45" s="335">
        <f t="shared" si="125"/>
        <v>3.2972130182602997</v>
      </c>
      <c r="CN45" s="335">
        <f t="shared" si="125"/>
        <v>3.5367356073075764</v>
      </c>
      <c r="CO45" s="335">
        <f t="shared" si="125"/>
        <v>3.751945397059802</v>
      </c>
      <c r="CP45" s="335">
        <f t="shared" si="125"/>
        <v>5.0470226620358574</v>
      </c>
      <c r="CR45" s="278">
        <f t="shared" ref="CR45:CR70" si="126">IF(CN8&gt;0,(CR8/CN8)*100,0)</f>
        <v>-13.068196649563681</v>
      </c>
      <c r="CS45" s="54">
        <f t="shared" ref="CS45:CS70" si="127">IF(CN8&gt;0,CS8/CN8*100,0)</f>
        <v>29.467203443485712</v>
      </c>
      <c r="CT45" s="54">
        <f t="shared" ref="CT45:CT70" si="128">IF(CN8&gt;0,(CT8/CN8)*100,0)</f>
        <v>16.399006793922034</v>
      </c>
    </row>
    <row r="46" spans="1:98">
      <c r="A46" t="str">
        <f t="shared" si="95"/>
        <v>12 Other managers and proprietors</v>
      </c>
      <c r="B46" s="335">
        <f t="shared" si="96"/>
        <v>2.7527811421571275</v>
      </c>
      <c r="C46" s="335">
        <f t="shared" si="96"/>
        <v>2.8158734570862465</v>
      </c>
      <c r="D46" s="335">
        <f t="shared" si="96"/>
        <v>2.6587397022578481</v>
      </c>
      <c r="E46" s="335">
        <f t="shared" si="96"/>
        <v>2.8742176264150054</v>
      </c>
      <c r="F46" s="335">
        <f t="shared" si="96"/>
        <v>3.2631861749595794</v>
      </c>
      <c r="H46" s="278">
        <f t="shared" ref="H46:H70" si="129">IF(D9&gt;0,(H9/D9)*100,0)</f>
        <v>119.37311223416754</v>
      </c>
      <c r="I46" s="54">
        <f t="shared" ref="I46:I70" si="130">IF(D9&gt;0,I9/D9*100,0)</f>
        <v>97.550708271494116</v>
      </c>
      <c r="J46" s="54">
        <f t="shared" ref="J46:J70" si="131">IF(D9&gt;0,(J9/D9)*100,0)</f>
        <v>216.92382050566167</v>
      </c>
      <c r="L46" t="str">
        <f t="shared" ref="L46:L69" si="132">A46</f>
        <v>12 Other managers and proprietors</v>
      </c>
      <c r="M46" s="335">
        <f t="shared" si="97"/>
        <v>3.2887262842498237</v>
      </c>
      <c r="N46" s="335">
        <f t="shared" si="97"/>
        <v>3.2874143443741231</v>
      </c>
      <c r="O46" s="335">
        <f t="shared" si="97"/>
        <v>3.2581840153153254</v>
      </c>
      <c r="P46" s="335">
        <f t="shared" si="97"/>
        <v>3.3346604310922459</v>
      </c>
      <c r="Q46" s="335">
        <f t="shared" si="97"/>
        <v>3.6229585997441456</v>
      </c>
      <c r="S46" s="278">
        <f t="shared" si="98"/>
        <v>100.50594409736821</v>
      </c>
      <c r="T46" s="54">
        <f t="shared" si="99"/>
        <v>89.90748326983551</v>
      </c>
      <c r="U46" s="54">
        <f t="shared" si="100"/>
        <v>190.41342736720372</v>
      </c>
      <c r="W46" t="str">
        <f t="shared" ref="W46:W69" si="133">A46</f>
        <v>12 Other managers and proprietors</v>
      </c>
      <c r="X46" s="335">
        <f t="shared" si="101"/>
        <v>3.7505137921721747</v>
      </c>
      <c r="Y46" s="335">
        <f t="shared" si="101"/>
        <v>3.7549001004947415</v>
      </c>
      <c r="Z46" s="335">
        <f t="shared" si="101"/>
        <v>3.7030001205956049</v>
      </c>
      <c r="AA46" s="335">
        <f t="shared" si="101"/>
        <v>3.7799956832287771</v>
      </c>
      <c r="AB46" s="335">
        <f t="shared" si="101"/>
        <v>4.0139516491416192</v>
      </c>
      <c r="AD46" s="278">
        <f t="shared" si="102"/>
        <v>28.913402410306904</v>
      </c>
      <c r="AE46" s="54">
        <f t="shared" si="103"/>
        <v>73.54669039712573</v>
      </c>
      <c r="AF46" s="54">
        <f t="shared" si="104"/>
        <v>102.46009280743263</v>
      </c>
      <c r="AH46" t="str">
        <f t="shared" ref="AH46:AH69" si="134">L46</f>
        <v>12 Other managers and proprietors</v>
      </c>
      <c r="AI46" s="335">
        <f t="shared" si="105"/>
        <v>3.4427543362116175</v>
      </c>
      <c r="AJ46" s="335">
        <f t="shared" si="105"/>
        <v>3.7834284722531564</v>
      </c>
      <c r="AK46" s="335">
        <f t="shared" si="105"/>
        <v>3.9665978951271526</v>
      </c>
      <c r="AL46" s="335">
        <f t="shared" si="105"/>
        <v>3.9834747352609381</v>
      </c>
      <c r="AM46" s="335">
        <f t="shared" si="105"/>
        <v>4.3536662787176521</v>
      </c>
      <c r="AO46" s="278">
        <f t="shared" si="106"/>
        <v>20.228310416282259</v>
      </c>
      <c r="AP46" s="54">
        <f t="shared" si="107"/>
        <v>68.708770215812891</v>
      </c>
      <c r="AQ46" s="54">
        <f t="shared" si="108"/>
        <v>88.937080632095146</v>
      </c>
      <c r="AS46" t="str">
        <f t="shared" ref="AS46:AS69" si="135">W46</f>
        <v>12 Other managers and proprietors</v>
      </c>
      <c r="AT46" s="335">
        <f t="shared" si="109"/>
        <v>4.3511926608613489</v>
      </c>
      <c r="AU46" s="335">
        <f t="shared" si="109"/>
        <v>4.4009094008783638</v>
      </c>
      <c r="AV46" s="335">
        <f t="shared" si="109"/>
        <v>4.3792568800355909</v>
      </c>
      <c r="AW46" s="335">
        <f t="shared" si="109"/>
        <v>4.5248131414927588</v>
      </c>
      <c r="AX46" s="335">
        <f t="shared" si="109"/>
        <v>4.5361899660119507</v>
      </c>
      <c r="AZ46" s="278">
        <f t="shared" si="110"/>
        <v>22.198267079579097</v>
      </c>
      <c r="BA46" s="54">
        <f t="shared" si="111"/>
        <v>68.076994001164422</v>
      </c>
      <c r="BB46" s="54">
        <f t="shared" si="112"/>
        <v>90.275261080743519</v>
      </c>
      <c r="BD46" t="str">
        <f t="shared" ref="BD46:BD69" si="136">AH46</f>
        <v>12 Other managers and proprietors</v>
      </c>
      <c r="BE46" s="335">
        <f t="shared" si="113"/>
        <v>2.9686524298298091</v>
      </c>
      <c r="BF46" s="335">
        <f t="shared" si="113"/>
        <v>2.8054078843922028</v>
      </c>
      <c r="BG46" s="335">
        <f t="shared" si="113"/>
        <v>2.912885692665268</v>
      </c>
      <c r="BH46" s="335">
        <f t="shared" si="113"/>
        <v>2.7214677678787238</v>
      </c>
      <c r="BI46" s="335">
        <f t="shared" si="113"/>
        <v>2.7667686802207525</v>
      </c>
      <c r="BK46" s="278">
        <f t="shared" si="114"/>
        <v>-5.3725479079410858</v>
      </c>
      <c r="BL46" s="54">
        <f t="shared" si="115"/>
        <v>44.058541233903448</v>
      </c>
      <c r="BM46" s="54">
        <f t="shared" si="116"/>
        <v>38.685993325962365</v>
      </c>
      <c r="BO46" t="str">
        <f t="shared" ref="BO46:BO69" si="137">AS46</f>
        <v>12 Other managers and proprietors</v>
      </c>
      <c r="BP46" s="335">
        <f t="shared" si="117"/>
        <v>2.9272259825291904</v>
      </c>
      <c r="BQ46" s="335">
        <f t="shared" si="117"/>
        <v>3.0136802465428278</v>
      </c>
      <c r="BR46" s="335">
        <f t="shared" si="117"/>
        <v>3.1528788758366519</v>
      </c>
      <c r="BS46" s="335">
        <f t="shared" si="117"/>
        <v>3.1575615593151722</v>
      </c>
      <c r="BT46" s="335">
        <f t="shared" si="117"/>
        <v>3.3684632031685711</v>
      </c>
      <c r="BV46" s="278">
        <f t="shared" si="118"/>
        <v>-14.36120772114278</v>
      </c>
      <c r="BW46" s="54">
        <f t="shared" si="119"/>
        <v>49.845648510614701</v>
      </c>
      <c r="BX46" s="54">
        <f t="shared" si="120"/>
        <v>35.484440789471918</v>
      </c>
      <c r="BZ46" t="str">
        <f t="shared" ref="BZ46:BZ69" si="138">BD46</f>
        <v>12 Other managers and proprietors</v>
      </c>
      <c r="CA46" s="335">
        <f t="shared" si="121"/>
        <v>2.9160024408874907</v>
      </c>
      <c r="CB46" s="335">
        <f t="shared" si="121"/>
        <v>3.0877599736088479</v>
      </c>
      <c r="CC46" s="335">
        <f t="shared" si="121"/>
        <v>3.2030356120683336</v>
      </c>
      <c r="CD46" s="335">
        <f t="shared" si="121"/>
        <v>3.2976018633173636</v>
      </c>
      <c r="CE46" s="335">
        <f t="shared" si="121"/>
        <v>3.6539176999772485</v>
      </c>
      <c r="CG46" s="278">
        <f t="shared" si="122"/>
        <v>-31.895981318220244</v>
      </c>
      <c r="CH46" s="54">
        <f t="shared" si="123"/>
        <v>38.540479164293494</v>
      </c>
      <c r="CI46" s="54">
        <f t="shared" si="124"/>
        <v>6.6444978460732464</v>
      </c>
      <c r="CK46" t="str">
        <f t="shared" ref="CK46:CK69" si="139">BO46</f>
        <v>12 Other managers and proprietors</v>
      </c>
      <c r="CL46" s="335">
        <f t="shared" si="125"/>
        <v>2.7395246062762513</v>
      </c>
      <c r="CM46" s="335">
        <f t="shared" si="125"/>
        <v>2.9140054599186689</v>
      </c>
      <c r="CN46" s="335">
        <f t="shared" si="125"/>
        <v>3.066053056738681</v>
      </c>
      <c r="CO46" s="335">
        <f t="shared" si="125"/>
        <v>3.6369700862243621</v>
      </c>
      <c r="CP46" s="335">
        <f t="shared" si="125"/>
        <v>4.8046506825874857</v>
      </c>
      <c r="CR46" s="278">
        <f t="shared" si="126"/>
        <v>-4.5385160281770638</v>
      </c>
      <c r="CS46" s="54">
        <f t="shared" si="127"/>
        <v>35.368412578807799</v>
      </c>
      <c r="CT46" s="54">
        <f t="shared" si="128"/>
        <v>30.829896550630743</v>
      </c>
    </row>
    <row r="47" spans="1:98">
      <c r="A47" t="str">
        <f t="shared" si="95"/>
        <v>21 Science, research, engineering and technology professionals</v>
      </c>
      <c r="B47" s="335">
        <f t="shared" si="96"/>
        <v>18.80267796869423</v>
      </c>
      <c r="C47" s="335">
        <f t="shared" si="96"/>
        <v>19.048774716757237</v>
      </c>
      <c r="D47" s="335">
        <f t="shared" si="96"/>
        <v>18.814941269168216</v>
      </c>
      <c r="E47" s="335">
        <f t="shared" si="96"/>
        <v>20.743715956606721</v>
      </c>
      <c r="F47" s="335">
        <f t="shared" si="96"/>
        <v>20.233600498110398</v>
      </c>
      <c r="H47" s="278">
        <f t="shared" si="129"/>
        <v>92.215173906388969</v>
      </c>
      <c r="I47" s="54">
        <f t="shared" si="130"/>
        <v>59.521071262655887</v>
      </c>
      <c r="J47" s="54">
        <f t="shared" si="131"/>
        <v>151.73624516904488</v>
      </c>
      <c r="L47" t="str">
        <f t="shared" si="132"/>
        <v>21 Science, research, engineering and technology professionals</v>
      </c>
      <c r="M47" s="335">
        <f t="shared" si="97"/>
        <v>10.641675052868267</v>
      </c>
      <c r="N47" s="335">
        <f t="shared" si="97"/>
        <v>11.066939082053672</v>
      </c>
      <c r="O47" s="335">
        <f t="shared" si="97"/>
        <v>11.215626319679805</v>
      </c>
      <c r="P47" s="335">
        <f t="shared" si="97"/>
        <v>13.364327545040416</v>
      </c>
      <c r="Q47" s="335">
        <f t="shared" si="97"/>
        <v>13.621003913975866</v>
      </c>
      <c r="S47" s="278">
        <f t="shared" si="98"/>
        <v>118.99039958460827</v>
      </c>
      <c r="T47" s="54">
        <f t="shared" si="99"/>
        <v>68.203659658079104</v>
      </c>
      <c r="U47" s="54">
        <f t="shared" si="100"/>
        <v>187.19405924268736</v>
      </c>
      <c r="W47" t="str">
        <f t="shared" si="133"/>
        <v>21 Science, research, engineering and technology professionals</v>
      </c>
      <c r="X47" s="335">
        <f t="shared" si="101"/>
        <v>10.008492002663742</v>
      </c>
      <c r="Y47" s="335">
        <f t="shared" si="101"/>
        <v>10.064188334237807</v>
      </c>
      <c r="Z47" s="335">
        <f t="shared" si="101"/>
        <v>9.9797449040386574</v>
      </c>
      <c r="AA47" s="335">
        <f t="shared" si="101"/>
        <v>11.111321423733438</v>
      </c>
      <c r="AB47" s="335">
        <f t="shared" si="101"/>
        <v>10.471587213793418</v>
      </c>
      <c r="AD47" s="278">
        <f t="shared" si="102"/>
        <v>24.78797411212652</v>
      </c>
      <c r="AE47" s="54">
        <f t="shared" si="103"/>
        <v>47.716939906483866</v>
      </c>
      <c r="AF47" s="54">
        <f t="shared" si="104"/>
        <v>72.504914018610378</v>
      </c>
      <c r="AH47" t="str">
        <f t="shared" si="134"/>
        <v>21 Science, research, engineering and technology professionals</v>
      </c>
      <c r="AI47" s="335">
        <f t="shared" si="105"/>
        <v>3.5674977666631933</v>
      </c>
      <c r="AJ47" s="335">
        <f t="shared" si="105"/>
        <v>3.85391464165534</v>
      </c>
      <c r="AK47" s="335">
        <f t="shared" si="105"/>
        <v>4.0560017299633486</v>
      </c>
      <c r="AL47" s="335">
        <f t="shared" si="105"/>
        <v>4.8627903500588765</v>
      </c>
      <c r="AM47" s="335">
        <f t="shared" si="105"/>
        <v>4.924355804658898</v>
      </c>
      <c r="AO47" s="278">
        <f t="shared" si="106"/>
        <v>32.990640724349475</v>
      </c>
      <c r="AP47" s="54">
        <f t="shared" si="107"/>
        <v>47.821174710447551</v>
      </c>
      <c r="AQ47" s="54">
        <f t="shared" si="108"/>
        <v>80.811815434797012</v>
      </c>
      <c r="AS47" t="str">
        <f t="shared" si="135"/>
        <v>21 Science, research, engineering and technology professionals</v>
      </c>
      <c r="AT47" s="335">
        <f t="shared" si="109"/>
        <v>9.4406877789859109</v>
      </c>
      <c r="AU47" s="335">
        <f t="shared" si="109"/>
        <v>9.4768899446716546</v>
      </c>
      <c r="AV47" s="335">
        <f t="shared" si="109"/>
        <v>9.3848906603368469</v>
      </c>
      <c r="AW47" s="335">
        <f t="shared" si="109"/>
        <v>9.7502043922896764</v>
      </c>
      <c r="AX47" s="335">
        <f t="shared" si="109"/>
        <v>8.7696175168296229</v>
      </c>
      <c r="AZ47" s="278">
        <f t="shared" si="110"/>
        <v>10.236564350172017</v>
      </c>
      <c r="BA47" s="54">
        <f t="shared" si="111"/>
        <v>40.247730016366916</v>
      </c>
      <c r="BB47" s="54">
        <f t="shared" si="112"/>
        <v>50.48429436653894</v>
      </c>
      <c r="BD47" t="str">
        <f t="shared" si="136"/>
        <v>21 Science, research, engineering and technology professionals</v>
      </c>
      <c r="BE47" s="335">
        <f t="shared" si="113"/>
        <v>3.5220059182656351</v>
      </c>
      <c r="BF47" s="335">
        <f t="shared" si="113"/>
        <v>3.6626517056742838</v>
      </c>
      <c r="BG47" s="335">
        <f t="shared" si="113"/>
        <v>3.8865662227494142</v>
      </c>
      <c r="BH47" s="335">
        <f t="shared" si="113"/>
        <v>4.1811473704776017</v>
      </c>
      <c r="BI47" s="335">
        <f t="shared" si="113"/>
        <v>4.1089545548272168</v>
      </c>
      <c r="BK47" s="278">
        <f t="shared" si="114"/>
        <v>5.3253725902415487</v>
      </c>
      <c r="BL47" s="54">
        <f t="shared" si="115"/>
        <v>31.113936947108755</v>
      </c>
      <c r="BM47" s="54">
        <f t="shared" si="116"/>
        <v>36.439309537350304</v>
      </c>
      <c r="BO47" t="str">
        <f t="shared" si="137"/>
        <v>21 Science, research, engineering and technology professionals</v>
      </c>
      <c r="BP47" s="335">
        <f t="shared" si="117"/>
        <v>2.5836743594279508</v>
      </c>
      <c r="BQ47" s="335">
        <f t="shared" si="117"/>
        <v>2.7676996774409042</v>
      </c>
      <c r="BR47" s="335">
        <f t="shared" si="117"/>
        <v>3.0162503931760143</v>
      </c>
      <c r="BS47" s="335">
        <f t="shared" si="117"/>
        <v>3.4265366843215781</v>
      </c>
      <c r="BT47" s="335">
        <f t="shared" si="117"/>
        <v>3.655181487407873</v>
      </c>
      <c r="BV47" s="278">
        <f t="shared" si="118"/>
        <v>-2.8623556786447768</v>
      </c>
      <c r="BW47" s="54">
        <f t="shared" si="119"/>
        <v>35.145577280941652</v>
      </c>
      <c r="BX47" s="54">
        <f t="shared" si="120"/>
        <v>32.283221602296877</v>
      </c>
      <c r="BZ47" t="str">
        <f t="shared" si="138"/>
        <v>21 Science, research, engineering and technology professionals</v>
      </c>
      <c r="CA47" s="335">
        <f t="shared" si="121"/>
        <v>2.3116979705575744</v>
      </c>
      <c r="CB47" s="335">
        <f t="shared" si="121"/>
        <v>2.6114297666910744</v>
      </c>
      <c r="CC47" s="335">
        <f t="shared" si="121"/>
        <v>2.8353561189597167</v>
      </c>
      <c r="CD47" s="335">
        <f t="shared" si="121"/>
        <v>3.4340587876697373</v>
      </c>
      <c r="CE47" s="335">
        <f t="shared" si="121"/>
        <v>3.5003140670341359</v>
      </c>
      <c r="CG47" s="278">
        <f t="shared" si="122"/>
        <v>-26.29870053652434</v>
      </c>
      <c r="CH47" s="54">
        <f t="shared" si="123"/>
        <v>28.719128765537338</v>
      </c>
      <c r="CI47" s="54">
        <f t="shared" si="124"/>
        <v>2.4204282290130013</v>
      </c>
      <c r="CK47" t="str">
        <f t="shared" si="139"/>
        <v>21 Science, research, engineering and technology professionals</v>
      </c>
      <c r="CL47" s="335">
        <f t="shared" si="125"/>
        <v>1.2664539473496856</v>
      </c>
      <c r="CM47" s="335">
        <f t="shared" si="125"/>
        <v>1.7581563939315199</v>
      </c>
      <c r="CN47" s="335">
        <f t="shared" si="125"/>
        <v>2.0140364698904176</v>
      </c>
      <c r="CO47" s="335">
        <f t="shared" si="125"/>
        <v>3.2990745179200127</v>
      </c>
      <c r="CP47" s="335">
        <f t="shared" si="125"/>
        <v>4.845575577102915</v>
      </c>
      <c r="CR47" s="278">
        <f t="shared" si="126"/>
        <v>46.562906939465634</v>
      </c>
      <c r="CS47" s="54">
        <f t="shared" si="127"/>
        <v>39.918197552569659</v>
      </c>
      <c r="CT47" s="54">
        <f t="shared" si="128"/>
        <v>86.481104492035286</v>
      </c>
    </row>
    <row r="48" spans="1:98">
      <c r="A48" t="str">
        <f t="shared" si="95"/>
        <v>22 Health professionals</v>
      </c>
      <c r="B48" s="335">
        <f t="shared" si="96"/>
        <v>16.526445254645257</v>
      </c>
      <c r="C48" s="335">
        <f t="shared" si="96"/>
        <v>17.749823500257019</v>
      </c>
      <c r="D48" s="335">
        <f t="shared" si="96"/>
        <v>17.540699598110493</v>
      </c>
      <c r="E48" s="335">
        <f t="shared" si="96"/>
        <v>17.603307822264988</v>
      </c>
      <c r="F48" s="335">
        <f t="shared" si="96"/>
        <v>17.273246441543268</v>
      </c>
      <c r="H48" s="278">
        <f t="shared" si="129"/>
        <v>76.012869589322634</v>
      </c>
      <c r="I48" s="54">
        <f t="shared" si="130"/>
        <v>70.004886197252475</v>
      </c>
      <c r="J48" s="54">
        <f t="shared" si="131"/>
        <v>146.01775578657509</v>
      </c>
      <c r="L48" t="str">
        <f t="shared" si="132"/>
        <v>22 Health professionals</v>
      </c>
      <c r="M48" s="335">
        <f t="shared" si="97"/>
        <v>7.1105772273084042</v>
      </c>
      <c r="N48" s="335">
        <f t="shared" si="97"/>
        <v>7.5524499729257153</v>
      </c>
      <c r="O48" s="335">
        <f t="shared" si="97"/>
        <v>7.2869755917588135</v>
      </c>
      <c r="P48" s="335">
        <f t="shared" si="97"/>
        <v>6.6743047289474733</v>
      </c>
      <c r="Q48" s="335">
        <f t="shared" si="97"/>
        <v>6.1814419268129654</v>
      </c>
      <c r="S48" s="278">
        <f t="shared" si="98"/>
        <v>52.961441634296747</v>
      </c>
      <c r="T48" s="54">
        <f t="shared" si="99"/>
        <v>67.308768600617341</v>
      </c>
      <c r="U48" s="54">
        <f t="shared" si="100"/>
        <v>120.27021023491409</v>
      </c>
      <c r="W48" t="str">
        <f t="shared" si="133"/>
        <v>22 Health professionals</v>
      </c>
      <c r="X48" s="335">
        <f t="shared" si="101"/>
        <v>7.4908440361512856</v>
      </c>
      <c r="Y48" s="335">
        <f t="shared" si="101"/>
        <v>8.0191816292328859</v>
      </c>
      <c r="Z48" s="335">
        <f t="shared" si="101"/>
        <v>7.8635692693220305</v>
      </c>
      <c r="AA48" s="335">
        <f t="shared" si="101"/>
        <v>7.3272820867991069</v>
      </c>
      <c r="AB48" s="335">
        <f t="shared" si="101"/>
        <v>6.9147267882895225</v>
      </c>
      <c r="AD48" s="278">
        <f t="shared" si="102"/>
        <v>4.5767085255550244</v>
      </c>
      <c r="AE48" s="54">
        <f t="shared" si="103"/>
        <v>58.058070117922448</v>
      </c>
      <c r="AF48" s="54">
        <f t="shared" si="104"/>
        <v>62.63477864347746</v>
      </c>
      <c r="AH48" t="str">
        <f t="shared" si="134"/>
        <v>22 Health professionals</v>
      </c>
      <c r="AI48" s="335">
        <f t="shared" si="105"/>
        <v>13.431062321950252</v>
      </c>
      <c r="AJ48" s="335">
        <f t="shared" si="105"/>
        <v>10.671785209891366</v>
      </c>
      <c r="AK48" s="335">
        <f t="shared" si="105"/>
        <v>9.4880962906898478</v>
      </c>
      <c r="AL48" s="335">
        <f t="shared" si="105"/>
        <v>5.0344025999081516</v>
      </c>
      <c r="AM48" s="335">
        <f t="shared" si="105"/>
        <v>1.8214741359321118</v>
      </c>
      <c r="AO48" s="278">
        <f t="shared" si="106"/>
        <v>-78.971237778475256</v>
      </c>
      <c r="AP48" s="54">
        <f t="shared" si="107"/>
        <v>18.074621990356029</v>
      </c>
      <c r="AQ48" s="54">
        <f t="shared" si="108"/>
        <v>-60.896615788119234</v>
      </c>
      <c r="AS48" t="str">
        <f t="shared" si="135"/>
        <v>22 Health professionals</v>
      </c>
      <c r="AT48" s="335">
        <f t="shared" si="109"/>
        <v>1.8747563276681172</v>
      </c>
      <c r="AU48" s="335">
        <f t="shared" si="109"/>
        <v>2.0291786747097418</v>
      </c>
      <c r="AV48" s="335">
        <f t="shared" si="109"/>
        <v>2.1883413064427315</v>
      </c>
      <c r="AW48" s="335">
        <f t="shared" si="109"/>
        <v>2.13466350956916</v>
      </c>
      <c r="AX48" s="335">
        <f t="shared" si="109"/>
        <v>2.0618789084489002</v>
      </c>
      <c r="AZ48" s="278">
        <f t="shared" si="110"/>
        <v>11.153292752634982</v>
      </c>
      <c r="BA48" s="54">
        <f t="shared" si="111"/>
        <v>53.808859284465946</v>
      </c>
      <c r="BB48" s="54">
        <f t="shared" si="112"/>
        <v>64.962152037100935</v>
      </c>
      <c r="BD48" t="str">
        <f t="shared" si="136"/>
        <v>22 Health professionals</v>
      </c>
      <c r="BE48" s="335">
        <f t="shared" si="113"/>
        <v>1.8784125409713193</v>
      </c>
      <c r="BF48" s="335">
        <f t="shared" si="113"/>
        <v>2.2847444036941496</v>
      </c>
      <c r="BG48" s="335">
        <f t="shared" si="113"/>
        <v>2.3318676250383108</v>
      </c>
      <c r="BH48" s="335">
        <f t="shared" si="113"/>
        <v>2.4029841777951573</v>
      </c>
      <c r="BI48" s="335">
        <f t="shared" si="113"/>
        <v>2.5238400473163951</v>
      </c>
      <c r="BK48" s="278">
        <f t="shared" si="114"/>
        <v>7.8265407550868886</v>
      </c>
      <c r="BL48" s="54">
        <f t="shared" si="115"/>
        <v>56.8196148773484</v>
      </c>
      <c r="BM48" s="54">
        <f t="shared" si="116"/>
        <v>64.646155632435281</v>
      </c>
      <c r="BO48" t="str">
        <f t="shared" si="137"/>
        <v>22 Health professionals</v>
      </c>
      <c r="BP48" s="335">
        <f t="shared" si="117"/>
        <v>1.4177502958037254</v>
      </c>
      <c r="BQ48" s="335">
        <f t="shared" si="117"/>
        <v>1.6595119682695114</v>
      </c>
      <c r="BR48" s="335">
        <f t="shared" si="117"/>
        <v>1.7322977122524816</v>
      </c>
      <c r="BS48" s="335">
        <f t="shared" si="117"/>
        <v>1.6843472950412688</v>
      </c>
      <c r="BT48" s="335">
        <f t="shared" si="117"/>
        <v>1.5962815039236415</v>
      </c>
      <c r="BV48" s="278">
        <f t="shared" si="118"/>
        <v>-26.135976119126703</v>
      </c>
      <c r="BW48" s="54">
        <f t="shared" si="119"/>
        <v>41.689256912810876</v>
      </c>
      <c r="BX48" s="54">
        <f t="shared" si="120"/>
        <v>15.553280793684173</v>
      </c>
      <c r="BZ48" t="str">
        <f t="shared" si="138"/>
        <v>22 Health professionals</v>
      </c>
      <c r="CA48" s="335">
        <f t="shared" si="121"/>
        <v>1.2478485732228093</v>
      </c>
      <c r="CB48" s="335">
        <f t="shared" si="121"/>
        <v>1.5344121075165063</v>
      </c>
      <c r="CC48" s="335">
        <f t="shared" si="121"/>
        <v>1.485530163443239</v>
      </c>
      <c r="CD48" s="335">
        <f t="shared" si="121"/>
        <v>1.5061484167794643</v>
      </c>
      <c r="CE48" s="335">
        <f t="shared" si="121"/>
        <v>1.4376673481909372</v>
      </c>
      <c r="CG48" s="278">
        <f t="shared" si="122"/>
        <v>-42.223306977098851</v>
      </c>
      <c r="CH48" s="54">
        <f t="shared" si="123"/>
        <v>33.365529251624402</v>
      </c>
      <c r="CI48" s="54">
        <f t="shared" si="124"/>
        <v>-8.8577777254744454</v>
      </c>
      <c r="CK48" t="str">
        <f t="shared" si="139"/>
        <v>22 Health professionals</v>
      </c>
      <c r="CL48" s="335">
        <f t="shared" si="125"/>
        <v>0.40894338832756394</v>
      </c>
      <c r="CM48" s="335">
        <f t="shared" si="125"/>
        <v>0.59077557607410791</v>
      </c>
      <c r="CN48" s="335">
        <f t="shared" si="125"/>
        <v>0.70129517100838012</v>
      </c>
      <c r="CO48" s="335">
        <f t="shared" si="125"/>
        <v>0.87391557614002802</v>
      </c>
      <c r="CP48" s="335">
        <f t="shared" si="125"/>
        <v>1.3621916304706634</v>
      </c>
      <c r="CR48" s="278">
        <f t="shared" si="126"/>
        <v>18.326873121782651</v>
      </c>
      <c r="CS48" s="54">
        <f t="shared" si="127"/>
        <v>41.396004596046239</v>
      </c>
      <c r="CT48" s="54">
        <f t="shared" si="128"/>
        <v>59.722877717828879</v>
      </c>
    </row>
    <row r="49" spans="1:98">
      <c r="A49" t="str">
        <f t="shared" si="95"/>
        <v>23 Teaching and other educational professionals</v>
      </c>
      <c r="B49" s="335">
        <f t="shared" si="96"/>
        <v>28.382708687211235</v>
      </c>
      <c r="C49" s="335">
        <f t="shared" si="96"/>
        <v>25.664238073427558</v>
      </c>
      <c r="D49" s="335">
        <f t="shared" si="96"/>
        <v>25.774074993004625</v>
      </c>
      <c r="E49" s="335">
        <f t="shared" si="96"/>
        <v>22.430962399929392</v>
      </c>
      <c r="F49" s="335">
        <f t="shared" si="96"/>
        <v>19.437549751993291</v>
      </c>
      <c r="H49" s="278">
        <f t="shared" si="129"/>
        <v>34.795624535957117</v>
      </c>
      <c r="I49" s="54">
        <f t="shared" si="130"/>
        <v>59.012138495016941</v>
      </c>
      <c r="J49" s="54">
        <f t="shared" si="131"/>
        <v>93.807763030974058</v>
      </c>
      <c r="L49" t="str">
        <f t="shared" si="132"/>
        <v>23 Teaching and other educational professionals</v>
      </c>
      <c r="M49" s="335">
        <f t="shared" si="97"/>
        <v>22.560947409061374</v>
      </c>
      <c r="N49" s="335">
        <f t="shared" si="97"/>
        <v>20.651431405033239</v>
      </c>
      <c r="O49" s="335">
        <f t="shared" si="97"/>
        <v>20.476065025648438</v>
      </c>
      <c r="P49" s="335">
        <f t="shared" si="97"/>
        <v>17.592517600601447</v>
      </c>
      <c r="Q49" s="335">
        <f t="shared" si="97"/>
        <v>14.813199880434791</v>
      </c>
      <c r="S49" s="278">
        <f t="shared" si="98"/>
        <v>30.449335849986024</v>
      </c>
      <c r="T49" s="54">
        <f t="shared" si="99"/>
        <v>60.354121342053567</v>
      </c>
      <c r="U49" s="54">
        <f t="shared" si="100"/>
        <v>90.803457192039588</v>
      </c>
      <c r="W49" t="str">
        <f t="shared" si="133"/>
        <v>23 Teaching and other educational professionals</v>
      </c>
      <c r="X49" s="335">
        <f t="shared" si="101"/>
        <v>7.5080151321811988</v>
      </c>
      <c r="Y49" s="335">
        <f t="shared" si="101"/>
        <v>6.1559487496195739</v>
      </c>
      <c r="Z49" s="335">
        <f t="shared" si="101"/>
        <v>6.2426588155299427</v>
      </c>
      <c r="AA49" s="335">
        <f t="shared" si="101"/>
        <v>4.5945276395233252</v>
      </c>
      <c r="AB49" s="335">
        <f t="shared" si="101"/>
        <v>3.1741547168588151</v>
      </c>
      <c r="AD49" s="278">
        <f t="shared" si="102"/>
        <v>-39.530252922040695</v>
      </c>
      <c r="AE49" s="54">
        <f t="shared" si="103"/>
        <v>38.795610129193534</v>
      </c>
      <c r="AF49" s="54">
        <f t="shared" si="104"/>
        <v>-0.73464279284715794</v>
      </c>
      <c r="AH49" t="str">
        <f t="shared" si="134"/>
        <v>23 Teaching and other educational professionals</v>
      </c>
      <c r="AI49" s="335">
        <f t="shared" si="105"/>
        <v>3.5209940758763874</v>
      </c>
      <c r="AJ49" s="335">
        <f t="shared" si="105"/>
        <v>2.0781683577547754</v>
      </c>
      <c r="AK49" s="335">
        <f t="shared" si="105"/>
        <v>1.8647997893059203</v>
      </c>
      <c r="AL49" s="335">
        <f t="shared" si="105"/>
        <v>1.0840380786732464</v>
      </c>
      <c r="AM49" s="335">
        <f t="shared" si="105"/>
        <v>0.9813829628747599</v>
      </c>
      <c r="AO49" s="278">
        <f t="shared" si="106"/>
        <v>-42.353082745115799</v>
      </c>
      <c r="AP49" s="54">
        <f t="shared" si="107"/>
        <v>19.268826273007331</v>
      </c>
      <c r="AQ49" s="54">
        <f t="shared" si="108"/>
        <v>-23.084256472108468</v>
      </c>
      <c r="AS49" t="str">
        <f t="shared" si="135"/>
        <v>23 Teaching and other educational professionals</v>
      </c>
      <c r="AT49" s="335">
        <f t="shared" si="109"/>
        <v>1.0550237524919097</v>
      </c>
      <c r="AU49" s="335">
        <f t="shared" si="109"/>
        <v>0.98964695286296589</v>
      </c>
      <c r="AV49" s="335">
        <f t="shared" si="109"/>
        <v>1.0070432465981711</v>
      </c>
      <c r="AW49" s="335">
        <f t="shared" si="109"/>
        <v>0.80705247857288942</v>
      </c>
      <c r="AX49" s="335">
        <f t="shared" si="109"/>
        <v>0.64917393932026279</v>
      </c>
      <c r="AZ49" s="278">
        <f t="shared" si="110"/>
        <v>-23.952106256462024</v>
      </c>
      <c r="BA49" s="54">
        <f t="shared" si="111"/>
        <v>41.685225794219825</v>
      </c>
      <c r="BB49" s="54">
        <f t="shared" si="112"/>
        <v>17.733119537757801</v>
      </c>
      <c r="BD49" t="str">
        <f t="shared" si="136"/>
        <v>23 Teaching and other educational professionals</v>
      </c>
      <c r="BE49" s="335">
        <f t="shared" si="113"/>
        <v>0.98123503051302308</v>
      </c>
      <c r="BF49" s="335">
        <f t="shared" si="113"/>
        <v>0.97900369531130038</v>
      </c>
      <c r="BG49" s="335">
        <f t="shared" si="113"/>
        <v>1.0920331115227442</v>
      </c>
      <c r="BH49" s="335">
        <f t="shared" si="113"/>
        <v>0.99115159373355743</v>
      </c>
      <c r="BI49" s="335">
        <f t="shared" si="113"/>
        <v>1.0744089018595675</v>
      </c>
      <c r="BK49" s="278">
        <f t="shared" si="114"/>
        <v>-1.9829721624553729</v>
      </c>
      <c r="BL49" s="54">
        <f t="shared" si="115"/>
        <v>39.088114845071978</v>
      </c>
      <c r="BM49" s="54">
        <f t="shared" si="116"/>
        <v>37.105142682616602</v>
      </c>
      <c r="BO49" t="str">
        <f t="shared" si="137"/>
        <v>23 Teaching and other educational professionals</v>
      </c>
      <c r="BP49" s="335">
        <f t="shared" si="117"/>
        <v>0.75998240091279134</v>
      </c>
      <c r="BQ49" s="335">
        <f t="shared" si="117"/>
        <v>0.77659329615898598</v>
      </c>
      <c r="BR49" s="335">
        <f t="shared" si="117"/>
        <v>0.84524914893166314</v>
      </c>
      <c r="BS49" s="335">
        <f t="shared" si="117"/>
        <v>0.76539441469089819</v>
      </c>
      <c r="BT49" s="335">
        <f t="shared" si="117"/>
        <v>0.79837709096444343</v>
      </c>
      <c r="BV49" s="278">
        <f t="shared" si="118"/>
        <v>-24.287194730133422</v>
      </c>
      <c r="BW49" s="54">
        <f t="shared" si="119"/>
        <v>38.806092794824224</v>
      </c>
      <c r="BX49" s="54">
        <f t="shared" si="120"/>
        <v>14.518898064690799</v>
      </c>
      <c r="BZ49" t="str">
        <f t="shared" si="138"/>
        <v>23 Teaching and other educational professionals</v>
      </c>
      <c r="CA49" s="335">
        <f t="shared" si="121"/>
        <v>0.79042774065380095</v>
      </c>
      <c r="CB49" s="335">
        <f t="shared" si="121"/>
        <v>0.84408083038158088</v>
      </c>
      <c r="CC49" s="335">
        <f t="shared" si="121"/>
        <v>0.96059283490536884</v>
      </c>
      <c r="CD49" s="335">
        <f t="shared" si="121"/>
        <v>0.93402926396930364</v>
      </c>
      <c r="CE49" s="335">
        <f t="shared" si="121"/>
        <v>1.0757807426122539</v>
      </c>
      <c r="CG49" s="278">
        <f t="shared" si="122"/>
        <v>-33.140955067665722</v>
      </c>
      <c r="CH49" s="54">
        <f t="shared" si="123"/>
        <v>34.299389010000439</v>
      </c>
      <c r="CI49" s="54">
        <f t="shared" si="124"/>
        <v>1.1584339423347212</v>
      </c>
      <c r="CK49" t="str">
        <f t="shared" si="139"/>
        <v>23 Teaching and other educational professionals</v>
      </c>
      <c r="CL49" s="335">
        <f t="shared" si="125"/>
        <v>0.39719755714434635</v>
      </c>
      <c r="CM49" s="335">
        <f t="shared" si="125"/>
        <v>0.51776466316074587</v>
      </c>
      <c r="CN49" s="335">
        <f t="shared" si="125"/>
        <v>0.69059706386048969</v>
      </c>
      <c r="CO49" s="335">
        <f t="shared" si="125"/>
        <v>0.82205674440987209</v>
      </c>
      <c r="CP49" s="335">
        <f t="shared" si="125"/>
        <v>1.0859726608262203</v>
      </c>
      <c r="CR49" s="278">
        <f t="shared" si="126"/>
        <v>-4.2055841434337937</v>
      </c>
      <c r="CS49" s="54">
        <f t="shared" si="127"/>
        <v>37.751199900405666</v>
      </c>
      <c r="CT49" s="54">
        <f t="shared" si="128"/>
        <v>33.54561575697187</v>
      </c>
    </row>
    <row r="50" spans="1:98">
      <c r="A50" t="str">
        <f t="shared" si="95"/>
        <v>24 Business, media and public service professionals</v>
      </c>
      <c r="B50" s="335">
        <f t="shared" si="96"/>
        <v>8.1365337019207349</v>
      </c>
      <c r="C50" s="335">
        <f t="shared" si="96"/>
        <v>8.7319410554762644</v>
      </c>
      <c r="D50" s="335">
        <f t="shared" si="96"/>
        <v>9.1479910793289338</v>
      </c>
      <c r="E50" s="335">
        <f t="shared" si="96"/>
        <v>9.5203409464831861</v>
      </c>
      <c r="F50" s="335">
        <f t="shared" si="96"/>
        <v>10.0665110411611</v>
      </c>
      <c r="H50" s="278">
        <f t="shared" si="129"/>
        <v>96.684713206862796</v>
      </c>
      <c r="I50" s="54">
        <f t="shared" si="130"/>
        <v>73.881682325833793</v>
      </c>
      <c r="J50" s="54">
        <f t="shared" si="131"/>
        <v>170.56639553269659</v>
      </c>
      <c r="L50" t="str">
        <f t="shared" si="132"/>
        <v>24 Business, media and public service professionals</v>
      </c>
      <c r="M50" s="335">
        <f t="shared" si="97"/>
        <v>14.539078221464209</v>
      </c>
      <c r="N50" s="335">
        <f t="shared" si="97"/>
        <v>15.415801577230519</v>
      </c>
      <c r="O50" s="335">
        <f t="shared" si="97"/>
        <v>15.787567621763523</v>
      </c>
      <c r="P50" s="335">
        <f t="shared" si="97"/>
        <v>15.647150470930438</v>
      </c>
      <c r="Q50" s="335">
        <f t="shared" si="97"/>
        <v>15.133990235799336</v>
      </c>
      <c r="S50" s="278">
        <f t="shared" si="98"/>
        <v>72.853315874493248</v>
      </c>
      <c r="T50" s="54">
        <f t="shared" si="99"/>
        <v>68.677334511091757</v>
      </c>
      <c r="U50" s="54">
        <f t="shared" si="100"/>
        <v>141.53065038558501</v>
      </c>
      <c r="W50" t="str">
        <f t="shared" si="133"/>
        <v>24 Business, media and public service professionals</v>
      </c>
      <c r="X50" s="335">
        <f t="shared" si="101"/>
        <v>12.60310318767179</v>
      </c>
      <c r="Y50" s="335">
        <f t="shared" si="101"/>
        <v>13.044570391929932</v>
      </c>
      <c r="Z50" s="335">
        <f t="shared" si="101"/>
        <v>13.552345121982812</v>
      </c>
      <c r="AA50" s="335">
        <f t="shared" si="101"/>
        <v>12.674170006458684</v>
      </c>
      <c r="AB50" s="335">
        <f t="shared" si="101"/>
        <v>11.392586855887913</v>
      </c>
      <c r="AD50" s="278">
        <f t="shared" si="102"/>
        <v>-2.5887892996351893E-2</v>
      </c>
      <c r="AE50" s="54">
        <f t="shared" si="103"/>
        <v>51.694288303044743</v>
      </c>
      <c r="AF50" s="54">
        <f t="shared" si="104"/>
        <v>51.668400410048399</v>
      </c>
      <c r="AH50" t="str">
        <f t="shared" si="134"/>
        <v>24 Business, media and public service professionals</v>
      </c>
      <c r="AI50" s="335">
        <f t="shared" si="105"/>
        <v>4.2764292483643382</v>
      </c>
      <c r="AJ50" s="335">
        <f t="shared" si="105"/>
        <v>4.1621294554399162</v>
      </c>
      <c r="AK50" s="335">
        <f t="shared" si="105"/>
        <v>4.5006385395790591</v>
      </c>
      <c r="AL50" s="335">
        <f t="shared" si="105"/>
        <v>4.0896251425160717</v>
      </c>
      <c r="AM50" s="335">
        <f t="shared" si="105"/>
        <v>3.8197093836783442</v>
      </c>
      <c r="AO50" s="278">
        <f t="shared" si="106"/>
        <v>-7.0336089911746518</v>
      </c>
      <c r="AP50" s="54">
        <f t="shared" si="107"/>
        <v>35.387099320022585</v>
      </c>
      <c r="AQ50" s="54">
        <f t="shared" si="108"/>
        <v>28.353490328847936</v>
      </c>
      <c r="AS50" t="str">
        <f t="shared" si="135"/>
        <v>24 Business, media and public service professionals</v>
      </c>
      <c r="AT50" s="335">
        <f t="shared" si="109"/>
        <v>6.9694083219144813</v>
      </c>
      <c r="AU50" s="335">
        <f t="shared" si="109"/>
        <v>7.2391526186382684</v>
      </c>
      <c r="AV50" s="335">
        <f t="shared" si="109"/>
        <v>7.6720895278166212</v>
      </c>
      <c r="AW50" s="335">
        <f t="shared" si="109"/>
        <v>7.3925298875418584</v>
      </c>
      <c r="AX50" s="335">
        <f t="shared" si="109"/>
        <v>6.8722930858529736</v>
      </c>
      <c r="AZ50" s="278">
        <f t="shared" si="110"/>
        <v>5.6725640082985977</v>
      </c>
      <c r="BA50" s="54">
        <f t="shared" si="111"/>
        <v>50.260826843164274</v>
      </c>
      <c r="BB50" s="54">
        <f t="shared" si="112"/>
        <v>55.933390851462875</v>
      </c>
      <c r="BD50" t="str">
        <f t="shared" si="136"/>
        <v>24 Business, media and public service professionals</v>
      </c>
      <c r="BE50" s="335">
        <f t="shared" si="113"/>
        <v>3.7534764866957149</v>
      </c>
      <c r="BF50" s="335">
        <f t="shared" si="113"/>
        <v>4.1309228170305925</v>
      </c>
      <c r="BG50" s="335">
        <f t="shared" si="113"/>
        <v>4.5848212613167449</v>
      </c>
      <c r="BH50" s="335">
        <f t="shared" si="113"/>
        <v>4.5185401612055536</v>
      </c>
      <c r="BI50" s="335">
        <f t="shared" si="113"/>
        <v>4.5920943015001745</v>
      </c>
      <c r="BK50" s="278">
        <f t="shared" si="114"/>
        <v>-0.21709885469546741</v>
      </c>
      <c r="BL50" s="54">
        <f t="shared" si="115"/>
        <v>40.33086420297014</v>
      </c>
      <c r="BM50" s="54">
        <f t="shared" si="116"/>
        <v>40.113765348274669</v>
      </c>
      <c r="BO50" t="str">
        <f t="shared" si="137"/>
        <v>24 Business, media and public service professionals</v>
      </c>
      <c r="BP50" s="335">
        <f t="shared" si="117"/>
        <v>2.7009508849271575</v>
      </c>
      <c r="BQ50" s="335">
        <f t="shared" si="117"/>
        <v>2.9269558769765553</v>
      </c>
      <c r="BR50" s="335">
        <f t="shared" si="117"/>
        <v>3.2478426215084539</v>
      </c>
      <c r="BS50" s="335">
        <f t="shared" si="117"/>
        <v>3.0934045024595225</v>
      </c>
      <c r="BT50" s="335">
        <f t="shared" si="117"/>
        <v>2.9848140246290789</v>
      </c>
      <c r="BV50" s="278">
        <f t="shared" si="118"/>
        <v>-26.3337923009421</v>
      </c>
      <c r="BW50" s="54">
        <f t="shared" si="119"/>
        <v>34.684391386547887</v>
      </c>
      <c r="BX50" s="54">
        <f t="shared" si="120"/>
        <v>8.3505990856057846</v>
      </c>
      <c r="BZ50" t="str">
        <f t="shared" si="138"/>
        <v>24 Business, media and public service professionals</v>
      </c>
      <c r="CA50" s="335">
        <f t="shared" si="121"/>
        <v>2.4472050539188133</v>
      </c>
      <c r="CB50" s="335">
        <f t="shared" si="121"/>
        <v>2.8156614757340828</v>
      </c>
      <c r="CC50" s="335">
        <f t="shared" si="121"/>
        <v>3.2060172892670309</v>
      </c>
      <c r="CD50" s="335">
        <f t="shared" si="121"/>
        <v>3.1875813559795714</v>
      </c>
      <c r="CE50" s="335">
        <f t="shared" si="121"/>
        <v>3.0579334375928977</v>
      </c>
      <c r="CG50" s="278">
        <f t="shared" si="122"/>
        <v>-43.057318678437277</v>
      </c>
      <c r="CH50" s="54">
        <f t="shared" si="123"/>
        <v>29.554545870926361</v>
      </c>
      <c r="CI50" s="54">
        <f t="shared" si="124"/>
        <v>-13.502772807510913</v>
      </c>
      <c r="CK50" t="str">
        <f t="shared" si="139"/>
        <v>24 Business, media and public service professionals</v>
      </c>
      <c r="CL50" s="335">
        <f t="shared" si="125"/>
        <v>1.4708350959024987</v>
      </c>
      <c r="CM50" s="335">
        <f t="shared" si="125"/>
        <v>1.9765579144361729</v>
      </c>
      <c r="CN50" s="335">
        <f t="shared" si="125"/>
        <v>2.2636553135995294</v>
      </c>
      <c r="CO50" s="335">
        <f t="shared" si="125"/>
        <v>2.8230050455362332</v>
      </c>
      <c r="CP50" s="335">
        <f t="shared" si="125"/>
        <v>3.7443028197475665</v>
      </c>
      <c r="CR50" s="278">
        <f t="shared" si="126"/>
        <v>0.76430094795309123</v>
      </c>
      <c r="CS50" s="54">
        <f t="shared" si="127"/>
        <v>34.994603355484536</v>
      </c>
      <c r="CT50" s="54">
        <f t="shared" si="128"/>
        <v>35.758904303437625</v>
      </c>
    </row>
    <row r="51" spans="1:98">
      <c r="A51" t="str">
        <f t="shared" si="95"/>
        <v>31 Science, engineering and technology associate professionals</v>
      </c>
      <c r="B51" s="335">
        <f t="shared" si="96"/>
        <v>2.1931449048793379</v>
      </c>
      <c r="C51" s="335">
        <f t="shared" si="96"/>
        <v>2.4521398413822819</v>
      </c>
      <c r="D51" s="335">
        <f t="shared" si="96"/>
        <v>2.5598007759830912</v>
      </c>
      <c r="E51" s="335">
        <f t="shared" si="96"/>
        <v>2.4550847482231175</v>
      </c>
      <c r="F51" s="335">
        <f t="shared" si="96"/>
        <v>2.735398107045361</v>
      </c>
      <c r="H51" s="278">
        <f t="shared" si="129"/>
        <v>90.999284670156015</v>
      </c>
      <c r="I51" s="54">
        <f t="shared" si="130"/>
        <v>67.332199585313546</v>
      </c>
      <c r="J51" s="54">
        <f t="shared" si="131"/>
        <v>158.33148425546958</v>
      </c>
      <c r="L51" t="str">
        <f t="shared" si="132"/>
        <v>31 Science, engineering and technology associate professionals</v>
      </c>
      <c r="M51" s="335">
        <f t="shared" si="97"/>
        <v>1.8338128064815526</v>
      </c>
      <c r="N51" s="335">
        <f t="shared" si="97"/>
        <v>1.9332898924090995</v>
      </c>
      <c r="O51" s="335">
        <f t="shared" si="97"/>
        <v>2.0120288451809243</v>
      </c>
      <c r="P51" s="335">
        <f t="shared" si="97"/>
        <v>1.8248296363793715</v>
      </c>
      <c r="Q51" s="335">
        <f t="shared" si="97"/>
        <v>1.8242381747886238</v>
      </c>
      <c r="S51" s="278">
        <f t="shared" si="98"/>
        <v>63.48835593067691</v>
      </c>
      <c r="T51" s="54">
        <f t="shared" si="99"/>
        <v>57.283169966489169</v>
      </c>
      <c r="U51" s="54">
        <f t="shared" si="100"/>
        <v>120.77152589716609</v>
      </c>
      <c r="W51" t="str">
        <f t="shared" si="133"/>
        <v>31 Science, engineering and technology associate professionals</v>
      </c>
      <c r="X51" s="335">
        <f t="shared" si="101"/>
        <v>2.2250024828187871</v>
      </c>
      <c r="Y51" s="335">
        <f t="shared" si="101"/>
        <v>2.439209743534263</v>
      </c>
      <c r="Z51" s="335">
        <f t="shared" si="101"/>
        <v>2.4935747922099063</v>
      </c>
      <c r="AA51" s="335">
        <f t="shared" si="101"/>
        <v>2.2875686960123969</v>
      </c>
      <c r="AB51" s="335">
        <f t="shared" si="101"/>
        <v>2.2631406679325257</v>
      </c>
      <c r="AD51" s="278">
        <f t="shared" si="102"/>
        <v>7.9366190036120692</v>
      </c>
      <c r="AE51" s="54">
        <f t="shared" si="103"/>
        <v>45.866961463771347</v>
      </c>
      <c r="AF51" s="54">
        <f t="shared" si="104"/>
        <v>53.803580467383419</v>
      </c>
      <c r="AH51" t="str">
        <f t="shared" si="134"/>
        <v>31 Science, engineering and technology associate professionals</v>
      </c>
      <c r="AI51" s="335">
        <f t="shared" si="105"/>
        <v>1.2490165310240613</v>
      </c>
      <c r="AJ51" s="335">
        <f t="shared" si="105"/>
        <v>1.5342107711838533</v>
      </c>
      <c r="AK51" s="335">
        <f t="shared" si="105"/>
        <v>1.6415457301114791</v>
      </c>
      <c r="AL51" s="335">
        <f t="shared" si="105"/>
        <v>1.7456297649091352</v>
      </c>
      <c r="AM51" s="335">
        <f t="shared" si="105"/>
        <v>2.067040317608043</v>
      </c>
      <c r="AO51" s="278">
        <f t="shared" si="106"/>
        <v>37.932226562203951</v>
      </c>
      <c r="AP51" s="54">
        <f t="shared" si="107"/>
        <v>55.504618062772678</v>
      </c>
      <c r="AQ51" s="54">
        <f t="shared" si="108"/>
        <v>93.436844624976629</v>
      </c>
      <c r="AS51" t="str">
        <f t="shared" si="135"/>
        <v>31 Science, engineering and technology associate professionals</v>
      </c>
      <c r="AT51" s="335">
        <f t="shared" si="109"/>
        <v>3.4877091869612582</v>
      </c>
      <c r="AU51" s="335">
        <f t="shared" si="109"/>
        <v>3.5420854180004944</v>
      </c>
      <c r="AV51" s="335">
        <f t="shared" si="109"/>
        <v>3.5788134964846674</v>
      </c>
      <c r="AW51" s="335">
        <f t="shared" si="109"/>
        <v>3.009093227383731</v>
      </c>
      <c r="AX51" s="335">
        <f t="shared" si="109"/>
        <v>2.6480743306544352</v>
      </c>
      <c r="AZ51" s="278">
        <f t="shared" si="110"/>
        <v>-12.709829972352104</v>
      </c>
      <c r="BA51" s="54">
        <f t="shared" si="111"/>
        <v>34.631344440650267</v>
      </c>
      <c r="BB51" s="54">
        <f t="shared" si="112"/>
        <v>21.921514468298163</v>
      </c>
      <c r="BD51" t="str">
        <f t="shared" si="136"/>
        <v>31 Science, engineering and technology associate professionals</v>
      </c>
      <c r="BE51" s="335">
        <f t="shared" si="113"/>
        <v>1.4962050955568633</v>
      </c>
      <c r="BF51" s="335">
        <f t="shared" si="113"/>
        <v>1.5365320611380822</v>
      </c>
      <c r="BG51" s="335">
        <f t="shared" si="113"/>
        <v>1.7068825616678243</v>
      </c>
      <c r="BH51" s="335">
        <f t="shared" si="113"/>
        <v>1.3569382645345183</v>
      </c>
      <c r="BI51" s="335">
        <f t="shared" si="113"/>
        <v>1.1198129606120828</v>
      </c>
      <c r="BK51" s="278">
        <f t="shared" si="114"/>
        <v>-34.640369794654177</v>
      </c>
      <c r="BL51" s="54">
        <f t="shared" si="115"/>
        <v>26.448786181815322</v>
      </c>
      <c r="BM51" s="54">
        <f t="shared" si="116"/>
        <v>-8.1915836128388619</v>
      </c>
      <c r="BO51" t="str">
        <f t="shared" si="137"/>
        <v>31 Science, engineering and technology associate professionals</v>
      </c>
      <c r="BP51" s="335">
        <f t="shared" si="117"/>
        <v>1.099677613016905</v>
      </c>
      <c r="BQ51" s="335">
        <f t="shared" si="117"/>
        <v>1.2425267829230364</v>
      </c>
      <c r="BR51" s="335">
        <f t="shared" si="117"/>
        <v>1.4095426585120965</v>
      </c>
      <c r="BS51" s="335">
        <f t="shared" si="117"/>
        <v>1.2875955091062183</v>
      </c>
      <c r="BT51" s="335">
        <f t="shared" si="117"/>
        <v>1.4537735271939614</v>
      </c>
      <c r="BV51" s="278">
        <f t="shared" si="118"/>
        <v>-17.326838539408719</v>
      </c>
      <c r="BW51" s="54">
        <f t="shared" si="119"/>
        <v>32.751158186719287</v>
      </c>
      <c r="BX51" s="54">
        <f t="shared" si="120"/>
        <v>15.424319647310568</v>
      </c>
      <c r="BZ51" t="str">
        <f t="shared" si="138"/>
        <v>31 Science, engineering and technology associate professionals</v>
      </c>
      <c r="CA51" s="335">
        <f t="shared" si="121"/>
        <v>1.25492709292891</v>
      </c>
      <c r="CB51" s="335">
        <f t="shared" si="121"/>
        <v>1.5210236578738299</v>
      </c>
      <c r="CC51" s="335">
        <f t="shared" si="121"/>
        <v>1.7841239117944365</v>
      </c>
      <c r="CD51" s="335">
        <f t="shared" si="121"/>
        <v>1.7350603919746597</v>
      </c>
      <c r="CE51" s="335">
        <f t="shared" si="121"/>
        <v>2.0940186110540751</v>
      </c>
      <c r="CG51" s="278">
        <f t="shared" si="122"/>
        <v>-29.930136904680399</v>
      </c>
      <c r="CH51" s="54">
        <f t="shared" si="123"/>
        <v>28.841167386754378</v>
      </c>
      <c r="CI51" s="54">
        <f t="shared" si="124"/>
        <v>-1.0889695179260239</v>
      </c>
      <c r="CK51" t="str">
        <f t="shared" si="139"/>
        <v>31 Science, engineering and technology associate professionals</v>
      </c>
      <c r="CL51" s="335">
        <f t="shared" si="125"/>
        <v>0.63989616773729274</v>
      </c>
      <c r="CM51" s="335">
        <f t="shared" si="125"/>
        <v>0.94711762030411495</v>
      </c>
      <c r="CN51" s="335">
        <f t="shared" si="125"/>
        <v>1.2209014986199269</v>
      </c>
      <c r="CO51" s="335">
        <f t="shared" si="125"/>
        <v>1.6277263965265631</v>
      </c>
      <c r="CP51" s="335">
        <f t="shared" si="125"/>
        <v>2.8889245314122256</v>
      </c>
      <c r="CR51" s="278">
        <f t="shared" si="126"/>
        <v>44.1456692547101</v>
      </c>
      <c r="CS51" s="54">
        <f t="shared" si="127"/>
        <v>44.840429530902327</v>
      </c>
      <c r="CT51" s="54">
        <f t="shared" si="128"/>
        <v>88.986098785612427</v>
      </c>
    </row>
    <row r="52" spans="1:98">
      <c r="A52" t="str">
        <f t="shared" si="95"/>
        <v>32 Health and social care associate professionals</v>
      </c>
      <c r="B52" s="335">
        <f t="shared" si="96"/>
        <v>0.54414576238844747</v>
      </c>
      <c r="C52" s="335">
        <f t="shared" si="96"/>
        <v>0.59170328499817171</v>
      </c>
      <c r="D52" s="335">
        <f t="shared" si="96"/>
        <v>0.53586320907123708</v>
      </c>
      <c r="E52" s="335">
        <f t="shared" si="96"/>
        <v>0.83698094263999712</v>
      </c>
      <c r="F52" s="335">
        <f t="shared" si="96"/>
        <v>1.0601992606873867</v>
      </c>
      <c r="H52" s="278">
        <f t="shared" si="129"/>
        <v>253.63148237700591</v>
      </c>
      <c r="I52" s="54">
        <f t="shared" si="130"/>
        <v>144.85259888505223</v>
      </c>
      <c r="J52" s="54">
        <f t="shared" si="131"/>
        <v>398.48408126205811</v>
      </c>
      <c r="L52" t="str">
        <f t="shared" si="132"/>
        <v>32 Health and social care associate professionals</v>
      </c>
      <c r="M52" s="335">
        <f t="shared" si="97"/>
        <v>1.7376999364093149</v>
      </c>
      <c r="N52" s="335">
        <f t="shared" si="97"/>
        <v>1.8586189221787044</v>
      </c>
      <c r="O52" s="335">
        <f t="shared" si="97"/>
        <v>1.8308369769081025</v>
      </c>
      <c r="P52" s="335">
        <f t="shared" si="97"/>
        <v>2.8741381922118228</v>
      </c>
      <c r="Q52" s="335">
        <f t="shared" si="97"/>
        <v>3.3651919582323728</v>
      </c>
      <c r="S52" s="278">
        <f t="shared" si="98"/>
        <v>231.43598299132725</v>
      </c>
      <c r="T52" s="54">
        <f t="shared" si="99"/>
        <v>135.97002707158364</v>
      </c>
      <c r="U52" s="54">
        <f t="shared" si="100"/>
        <v>367.40601006291087</v>
      </c>
      <c r="W52" t="str">
        <f t="shared" si="133"/>
        <v>32 Health and social care associate professionals</v>
      </c>
      <c r="X52" s="335">
        <f t="shared" si="101"/>
        <v>2.5663923988988584</v>
      </c>
      <c r="Y52" s="335">
        <f t="shared" si="101"/>
        <v>2.7656490270189815</v>
      </c>
      <c r="Z52" s="335">
        <f t="shared" si="101"/>
        <v>2.7635232338851186</v>
      </c>
      <c r="AA52" s="335">
        <f t="shared" si="101"/>
        <v>4.4038185277077204</v>
      </c>
      <c r="AB52" s="335">
        <f t="shared" si="101"/>
        <v>4.9784517949695584</v>
      </c>
      <c r="AD52" s="278">
        <f t="shared" si="102"/>
        <v>114.24507456863404</v>
      </c>
      <c r="AE52" s="54">
        <f t="shared" si="103"/>
        <v>114.26661587120903</v>
      </c>
      <c r="AF52" s="54">
        <f t="shared" si="104"/>
        <v>228.51169043984308</v>
      </c>
      <c r="AH52" t="str">
        <f t="shared" si="134"/>
        <v>32 Health and social care associate professionals</v>
      </c>
      <c r="AI52" s="335">
        <f t="shared" si="105"/>
        <v>6.1592590605982416</v>
      </c>
      <c r="AJ52" s="335">
        <f t="shared" si="105"/>
        <v>5.3691141131804834</v>
      </c>
      <c r="AK52" s="335">
        <f t="shared" si="105"/>
        <v>5.1005258559481881</v>
      </c>
      <c r="AL52" s="335">
        <f t="shared" si="105"/>
        <v>5.7217018650945937</v>
      </c>
      <c r="AM52" s="335">
        <f t="shared" si="105"/>
        <v>3.2361052115555426</v>
      </c>
      <c r="AO52" s="278">
        <f t="shared" si="106"/>
        <v>-30.501174638049992</v>
      </c>
      <c r="AP52" s="54">
        <f t="shared" si="107"/>
        <v>43.313606034732857</v>
      </c>
      <c r="AQ52" s="54">
        <f t="shared" si="108"/>
        <v>12.812431396682861</v>
      </c>
      <c r="AS52" t="str">
        <f t="shared" si="135"/>
        <v>32 Health and social care associate professionals</v>
      </c>
      <c r="AT52" s="335">
        <f t="shared" si="109"/>
        <v>1.4115071479681627</v>
      </c>
      <c r="AU52" s="335">
        <f t="shared" si="109"/>
        <v>1.5010045771683789</v>
      </c>
      <c r="AV52" s="335">
        <f t="shared" si="109"/>
        <v>1.613082732994664</v>
      </c>
      <c r="AW52" s="335">
        <f t="shared" si="109"/>
        <v>2.245291837383812</v>
      </c>
      <c r="AX52" s="335">
        <f t="shared" si="109"/>
        <v>2.3228956979979527</v>
      </c>
      <c r="AZ52" s="278">
        <f t="shared" si="110"/>
        <v>69.88197516691082</v>
      </c>
      <c r="BA52" s="54">
        <f t="shared" si="111"/>
        <v>87.085218888560973</v>
      </c>
      <c r="BB52" s="54">
        <f t="shared" si="112"/>
        <v>156.96719405547179</v>
      </c>
      <c r="BD52" t="str">
        <f t="shared" si="136"/>
        <v>32 Health and social care associate professionals</v>
      </c>
      <c r="BE52" s="335">
        <f t="shared" si="113"/>
        <v>1.4201403089980273</v>
      </c>
      <c r="BF52" s="335">
        <f t="shared" si="113"/>
        <v>1.6943295314628131</v>
      </c>
      <c r="BG52" s="335">
        <f t="shared" si="113"/>
        <v>1.7749845413498666</v>
      </c>
      <c r="BH52" s="335">
        <f t="shared" si="113"/>
        <v>2.9441350485501911</v>
      </c>
      <c r="BI52" s="335">
        <f t="shared" si="113"/>
        <v>3.588782859829645</v>
      </c>
      <c r="BK52" s="278">
        <f t="shared" si="114"/>
        <v>101.42823400030088</v>
      </c>
      <c r="BL52" s="54">
        <f t="shared" si="115"/>
        <v>99.29777135033487</v>
      </c>
      <c r="BM52" s="54">
        <f t="shared" si="116"/>
        <v>200.72600535063577</v>
      </c>
      <c r="BO52" t="str">
        <f t="shared" si="137"/>
        <v>32 Health and social care associate professionals</v>
      </c>
      <c r="BP52" s="335">
        <f t="shared" si="117"/>
        <v>1.1528751796510119</v>
      </c>
      <c r="BQ52" s="335">
        <f t="shared" si="117"/>
        <v>1.3027771460850488</v>
      </c>
      <c r="BR52" s="335">
        <f t="shared" si="117"/>
        <v>1.3546440373952393</v>
      </c>
      <c r="BS52" s="335">
        <f t="shared" si="117"/>
        <v>2.0817588753384557</v>
      </c>
      <c r="BT52" s="335">
        <f t="shared" si="117"/>
        <v>2.153783592487426</v>
      </c>
      <c r="BV52" s="278">
        <f t="shared" si="118"/>
        <v>27.445025264143219</v>
      </c>
      <c r="BW52" s="54">
        <f t="shared" si="119"/>
        <v>71.869062086668507</v>
      </c>
      <c r="BX52" s="54">
        <f t="shared" si="120"/>
        <v>99.314087350811718</v>
      </c>
      <c r="BZ52" t="str">
        <f t="shared" si="138"/>
        <v>32 Health and social care associate professionals</v>
      </c>
      <c r="CA52" s="335">
        <f t="shared" si="121"/>
        <v>0.70110700794169156</v>
      </c>
      <c r="CB52" s="335">
        <f t="shared" si="121"/>
        <v>0.69386341806982443</v>
      </c>
      <c r="CC52" s="335">
        <f t="shared" si="121"/>
        <v>0.68906179035754989</v>
      </c>
      <c r="CD52" s="335">
        <f t="shared" si="121"/>
        <v>1.0134762751758792</v>
      </c>
      <c r="CE52" s="335">
        <f t="shared" si="121"/>
        <v>1.0358563907031981</v>
      </c>
      <c r="CG52" s="278">
        <f t="shared" si="122"/>
        <v>-10.253581312937023</v>
      </c>
      <c r="CH52" s="54">
        <f t="shared" si="123"/>
        <v>49.506286538971494</v>
      </c>
      <c r="CI52" s="54">
        <f t="shared" si="124"/>
        <v>39.252705226034472</v>
      </c>
      <c r="CK52" t="str">
        <f t="shared" si="139"/>
        <v>32 Health and social care associate professionals</v>
      </c>
      <c r="CL52" s="335">
        <f t="shared" si="125"/>
        <v>0.26328531786232151</v>
      </c>
      <c r="CM52" s="335">
        <f t="shared" si="125"/>
        <v>0.32739833780557187</v>
      </c>
      <c r="CN52" s="335">
        <f t="shared" si="125"/>
        <v>0.38064516142724208</v>
      </c>
      <c r="CO52" s="335">
        <f t="shared" si="125"/>
        <v>0.71291627573720651</v>
      </c>
      <c r="CP52" s="335">
        <f t="shared" si="125"/>
        <v>1.2091663614406425</v>
      </c>
      <c r="CR52" s="278">
        <f t="shared" si="126"/>
        <v>93.513724654390373</v>
      </c>
      <c r="CS52" s="54">
        <f t="shared" si="127"/>
        <v>65.963145651005149</v>
      </c>
      <c r="CT52" s="54">
        <f t="shared" si="128"/>
        <v>159.47687030539552</v>
      </c>
    </row>
    <row r="53" spans="1:98">
      <c r="A53" t="str">
        <f t="shared" si="95"/>
        <v>33 Protective service occupations</v>
      </c>
      <c r="B53" s="335">
        <f t="shared" si="96"/>
        <v>0.2679837391917303</v>
      </c>
      <c r="C53" s="335">
        <f t="shared" si="96"/>
        <v>0.24563008704237499</v>
      </c>
      <c r="D53" s="335">
        <f t="shared" si="96"/>
        <v>0.25097444564193822</v>
      </c>
      <c r="E53" s="335">
        <f t="shared" si="96"/>
        <v>0.23862001602202543</v>
      </c>
      <c r="F53" s="335">
        <f t="shared" si="96"/>
        <v>0.26635886880309928</v>
      </c>
      <c r="H53" s="278">
        <f t="shared" si="129"/>
        <v>89.694624102941674</v>
      </c>
      <c r="I53" s="54">
        <f t="shared" si="130"/>
        <v>50.789449099028118</v>
      </c>
      <c r="J53" s="54">
        <f t="shared" si="131"/>
        <v>140.48407320196978</v>
      </c>
      <c r="L53" t="str">
        <f t="shared" si="132"/>
        <v>33 Protective service occupations</v>
      </c>
      <c r="M53" s="335">
        <f t="shared" si="97"/>
        <v>0.60065709500739184</v>
      </c>
      <c r="N53" s="335">
        <f t="shared" si="97"/>
        <v>0.57743647572163392</v>
      </c>
      <c r="O53" s="335">
        <f t="shared" si="97"/>
        <v>0.60845235190899849</v>
      </c>
      <c r="P53" s="335">
        <f t="shared" si="97"/>
        <v>0.52602398167228859</v>
      </c>
      <c r="Q53" s="335">
        <f t="shared" si="97"/>
        <v>0.59881409265007846</v>
      </c>
      <c r="S53" s="278">
        <f t="shared" si="98"/>
        <v>77.461818626875996</v>
      </c>
      <c r="T53" s="54">
        <f t="shared" si="99"/>
        <v>43.457964737777935</v>
      </c>
      <c r="U53" s="54">
        <f t="shared" si="100"/>
        <v>120.91978336465394</v>
      </c>
      <c r="W53" t="str">
        <f t="shared" si="133"/>
        <v>33 Protective service occupations</v>
      </c>
      <c r="X53" s="335">
        <f t="shared" si="101"/>
        <v>1.2272306421840764</v>
      </c>
      <c r="Y53" s="335">
        <f t="shared" si="101"/>
        <v>1.2580066869328137</v>
      </c>
      <c r="Z53" s="335">
        <f t="shared" si="101"/>
        <v>1.3451964231039493</v>
      </c>
      <c r="AA53" s="335">
        <f t="shared" si="101"/>
        <v>1.1555316175710728</v>
      </c>
      <c r="AB53" s="335">
        <f t="shared" si="101"/>
        <v>1.3387007251703222</v>
      </c>
      <c r="AD53" s="278">
        <f t="shared" si="102"/>
        <v>18.352505167006964</v>
      </c>
      <c r="AE53" s="54">
        <f t="shared" si="103"/>
        <v>42.336826857639814</v>
      </c>
      <c r="AF53" s="54">
        <f t="shared" si="104"/>
        <v>60.689332024646781</v>
      </c>
      <c r="AH53" t="str">
        <f t="shared" si="134"/>
        <v>33 Protective service occupations</v>
      </c>
      <c r="AI53" s="335">
        <f t="shared" si="105"/>
        <v>1.1481617286290209</v>
      </c>
      <c r="AJ53" s="335">
        <f t="shared" si="105"/>
        <v>1.2506775249074584</v>
      </c>
      <c r="AK53" s="335">
        <f t="shared" si="105"/>
        <v>1.3584832901658617</v>
      </c>
      <c r="AL53" s="335">
        <f t="shared" si="105"/>
        <v>1.2644672962204684</v>
      </c>
      <c r="AM53" s="335">
        <f t="shared" si="105"/>
        <v>1.4835141327585999</v>
      </c>
      <c r="AO53" s="278">
        <f t="shared" si="106"/>
        <v>19.620929354779136</v>
      </c>
      <c r="AP53" s="54">
        <f t="shared" si="107"/>
        <v>38.110685990597659</v>
      </c>
      <c r="AQ53" s="54">
        <f t="shared" si="108"/>
        <v>57.731615345376795</v>
      </c>
      <c r="AS53" t="str">
        <f t="shared" si="135"/>
        <v>33 Protective service occupations</v>
      </c>
      <c r="AT53" s="335">
        <f t="shared" si="109"/>
        <v>1.1299917865999447</v>
      </c>
      <c r="AU53" s="335">
        <f t="shared" si="109"/>
        <v>0.98403421415226033</v>
      </c>
      <c r="AV53" s="335">
        <f t="shared" si="109"/>
        <v>1.0209748587041418</v>
      </c>
      <c r="AW53" s="335">
        <f t="shared" si="109"/>
        <v>0.76229655419371534</v>
      </c>
      <c r="AX53" s="335">
        <f t="shared" si="109"/>
        <v>0.7236296456922886</v>
      </c>
      <c r="AZ53" s="278">
        <f t="shared" si="110"/>
        <v>-16.386666661199399</v>
      </c>
      <c r="BA53" s="54">
        <f t="shared" si="111"/>
        <v>29.383899010007024</v>
      </c>
      <c r="BB53" s="54">
        <f t="shared" si="112"/>
        <v>12.997232348807625</v>
      </c>
      <c r="BD53" t="str">
        <f t="shared" si="136"/>
        <v>33 Protective service occupations</v>
      </c>
      <c r="BE53" s="335">
        <f t="shared" si="113"/>
        <v>1.0715438579967618</v>
      </c>
      <c r="BF53" s="335">
        <f t="shared" si="113"/>
        <v>0.97006266682360709</v>
      </c>
      <c r="BG53" s="335">
        <f t="shared" si="113"/>
        <v>1.0426627180621661</v>
      </c>
      <c r="BH53" s="335">
        <f t="shared" si="113"/>
        <v>0.82709076857094854</v>
      </c>
      <c r="BI53" s="335">
        <f t="shared" si="113"/>
        <v>0.71643156633840721</v>
      </c>
      <c r="BK53" s="278">
        <f t="shared" si="114"/>
        <v>-31.546035388480693</v>
      </c>
      <c r="BL53" s="54">
        <f t="shared" si="115"/>
        <v>19.31927286191025</v>
      </c>
      <c r="BM53" s="54">
        <f t="shared" si="116"/>
        <v>-12.226762526570441</v>
      </c>
      <c r="BO53" t="str">
        <f t="shared" si="137"/>
        <v>33 Protective service occupations</v>
      </c>
      <c r="BP53" s="335">
        <f t="shared" si="117"/>
        <v>1.177375688280375</v>
      </c>
      <c r="BQ53" s="335">
        <f t="shared" si="117"/>
        <v>1.1805121637750968</v>
      </c>
      <c r="BR53" s="335">
        <f t="shared" si="117"/>
        <v>1.2479433646310678</v>
      </c>
      <c r="BS53" s="335">
        <f t="shared" si="117"/>
        <v>0.99780426354502338</v>
      </c>
      <c r="BT53" s="335">
        <f t="shared" si="117"/>
        <v>0.86808054335956608</v>
      </c>
      <c r="BV53" s="278">
        <f t="shared" si="118"/>
        <v>-44.241490062522523</v>
      </c>
      <c r="BW53" s="54">
        <f t="shared" si="119"/>
        <v>20.534642508699754</v>
      </c>
      <c r="BX53" s="54">
        <f t="shared" si="120"/>
        <v>-23.706847553822765</v>
      </c>
      <c r="BZ53" t="str">
        <f t="shared" si="138"/>
        <v>33 Protective service occupations</v>
      </c>
      <c r="CA53" s="335">
        <f t="shared" si="121"/>
        <v>0.97399335352989502</v>
      </c>
      <c r="CB53" s="335">
        <f t="shared" si="121"/>
        <v>0.98542313351035349</v>
      </c>
      <c r="CC53" s="335">
        <f t="shared" si="121"/>
        <v>1.0888493180086087</v>
      </c>
      <c r="CD53" s="335">
        <f t="shared" si="121"/>
        <v>0.95923774829797026</v>
      </c>
      <c r="CE53" s="335">
        <f t="shared" si="121"/>
        <v>1.2083842184770779</v>
      </c>
      <c r="CG53" s="278">
        <f t="shared" si="122"/>
        <v>-33.745862159023879</v>
      </c>
      <c r="CH53" s="54">
        <f t="shared" si="123"/>
        <v>26.2629207530847</v>
      </c>
      <c r="CI53" s="54">
        <f t="shared" si="124"/>
        <v>-7.4829414059391768</v>
      </c>
      <c r="CK53" t="str">
        <f t="shared" si="139"/>
        <v>33 Protective service occupations</v>
      </c>
      <c r="CL53" s="335">
        <f t="shared" si="125"/>
        <v>0.43461106617437834</v>
      </c>
      <c r="CM53" s="335">
        <f t="shared" si="125"/>
        <v>0.40600990051135433</v>
      </c>
      <c r="CN53" s="335">
        <f t="shared" si="125"/>
        <v>0.43970281111642417</v>
      </c>
      <c r="CO53" s="335">
        <f t="shared" si="125"/>
        <v>0.38728469482553374</v>
      </c>
      <c r="CP53" s="335">
        <f t="shared" si="125"/>
        <v>0.44626443223956563</v>
      </c>
      <c r="CR53" s="278">
        <f t="shared" si="126"/>
        <v>-38.172873680754627</v>
      </c>
      <c r="CS53" s="54">
        <f t="shared" si="127"/>
        <v>15.342131457450586</v>
      </c>
      <c r="CT53" s="54">
        <f t="shared" si="128"/>
        <v>-22.830742223304039</v>
      </c>
    </row>
    <row r="54" spans="1:98">
      <c r="A54" t="str">
        <f t="shared" si="95"/>
        <v>34 Culture, media and sports occupations</v>
      </c>
      <c r="B54" s="335">
        <f t="shared" si="96"/>
        <v>1.4933561745841253</v>
      </c>
      <c r="C54" s="335">
        <f t="shared" si="96"/>
        <v>1.6016308006300872</v>
      </c>
      <c r="D54" s="335">
        <f t="shared" si="96"/>
        <v>1.6472935968331537</v>
      </c>
      <c r="E54" s="335">
        <f t="shared" si="96"/>
        <v>1.5414101915607403</v>
      </c>
      <c r="F54" s="335">
        <f t="shared" si="96"/>
        <v>1.5523609438282797</v>
      </c>
      <c r="H54" s="278">
        <f t="shared" si="129"/>
        <v>68.437606893389031</v>
      </c>
      <c r="I54" s="54">
        <f t="shared" si="130"/>
        <v>71.93845468597317</v>
      </c>
      <c r="J54" s="54">
        <f t="shared" si="131"/>
        <v>140.37606157936219</v>
      </c>
      <c r="L54" t="str">
        <f t="shared" si="132"/>
        <v>34 Culture, media and sports occupations</v>
      </c>
      <c r="M54" s="335">
        <f t="shared" si="97"/>
        <v>3.9845768088429554</v>
      </c>
      <c r="N54" s="335">
        <f t="shared" si="97"/>
        <v>3.626938380755417</v>
      </c>
      <c r="O54" s="335">
        <f t="shared" si="97"/>
        <v>4.0844825516282341</v>
      </c>
      <c r="P54" s="335">
        <f t="shared" si="97"/>
        <v>3.6530646117613883</v>
      </c>
      <c r="Q54" s="335">
        <f t="shared" si="97"/>
        <v>3.623184292316433</v>
      </c>
      <c r="S54" s="278">
        <f t="shared" si="98"/>
        <v>59.953176503291459</v>
      </c>
      <c r="T54" s="54">
        <f t="shared" si="99"/>
        <v>65.278401590806695</v>
      </c>
      <c r="U54" s="54">
        <f t="shared" si="100"/>
        <v>125.23157809409815</v>
      </c>
      <c r="W54" t="str">
        <f t="shared" si="133"/>
        <v>34 Culture, media and sports occupations</v>
      </c>
      <c r="X54" s="335">
        <f t="shared" si="101"/>
        <v>4.4237607016831104</v>
      </c>
      <c r="Y54" s="335">
        <f t="shared" si="101"/>
        <v>3.9504389260970161</v>
      </c>
      <c r="Z54" s="335">
        <f t="shared" si="101"/>
        <v>4.1223611290277793</v>
      </c>
      <c r="AA54" s="335">
        <f t="shared" si="101"/>
        <v>3.4490373983185254</v>
      </c>
      <c r="AB54" s="335">
        <f t="shared" si="101"/>
        <v>3.1279336337038921</v>
      </c>
      <c r="AD54" s="278">
        <f t="shared" si="102"/>
        <v>-9.7616478909717586</v>
      </c>
      <c r="AE54" s="54">
        <f t="shared" si="103"/>
        <v>44.2508887659423</v>
      </c>
      <c r="AF54" s="54">
        <f t="shared" si="104"/>
        <v>34.489240874970541</v>
      </c>
      <c r="AH54" t="str">
        <f t="shared" si="134"/>
        <v>34 Culture, media and sports occupations</v>
      </c>
      <c r="AI54" s="335">
        <f t="shared" si="105"/>
        <v>1.9529013976980565</v>
      </c>
      <c r="AJ54" s="335">
        <f t="shared" si="105"/>
        <v>1.9652338186686209</v>
      </c>
      <c r="AK54" s="335">
        <f t="shared" si="105"/>
        <v>2.2076026944390965</v>
      </c>
      <c r="AL54" s="335">
        <f t="shared" si="105"/>
        <v>1.9981931719504742</v>
      </c>
      <c r="AM54" s="335">
        <f t="shared" si="105"/>
        <v>2.1824839689374804</v>
      </c>
      <c r="AO54" s="278">
        <f t="shared" si="106"/>
        <v>8.2928870232782863</v>
      </c>
      <c r="AP54" s="54">
        <f t="shared" si="107"/>
        <v>47.31409778959376</v>
      </c>
      <c r="AQ54" s="54">
        <f t="shared" si="108"/>
        <v>55.606984812872049</v>
      </c>
      <c r="AS54" t="str">
        <f t="shared" si="135"/>
        <v>34 Culture, media and sports occupations</v>
      </c>
      <c r="AT54" s="335">
        <f t="shared" si="109"/>
        <v>2.5495347371712214</v>
      </c>
      <c r="AU54" s="335">
        <f t="shared" si="109"/>
        <v>2.2074761587316605</v>
      </c>
      <c r="AV54" s="335">
        <f t="shared" si="109"/>
        <v>2.2589486172521682</v>
      </c>
      <c r="AW54" s="335">
        <f t="shared" si="109"/>
        <v>1.8179826517053348</v>
      </c>
      <c r="AX54" s="335">
        <f t="shared" si="109"/>
        <v>1.5534237921780338</v>
      </c>
      <c r="AZ54" s="278">
        <f t="shared" si="110"/>
        <v>-18.874416306481756</v>
      </c>
      <c r="BA54" s="54">
        <f t="shared" si="111"/>
        <v>39.658501776177083</v>
      </c>
      <c r="BB54" s="54">
        <f t="shared" si="112"/>
        <v>20.784085469695331</v>
      </c>
      <c r="BD54" t="str">
        <f t="shared" si="136"/>
        <v>34 Culture, media and sports occupations</v>
      </c>
      <c r="BE54" s="335">
        <f t="shared" si="113"/>
        <v>1.5942755929741599</v>
      </c>
      <c r="BF54" s="335">
        <f t="shared" si="113"/>
        <v>1.4370080869609669</v>
      </c>
      <c r="BG54" s="335">
        <f t="shared" si="113"/>
        <v>1.5267781778914962</v>
      </c>
      <c r="BH54" s="335">
        <f t="shared" si="113"/>
        <v>1.2135908444523178</v>
      </c>
      <c r="BI54" s="335">
        <f t="shared" si="113"/>
        <v>1.146419205820068</v>
      </c>
      <c r="BK54" s="278">
        <f t="shared" si="114"/>
        <v>-25.194204221616534</v>
      </c>
      <c r="BL54" s="54">
        <f t="shared" si="115"/>
        <v>29.651159774590948</v>
      </c>
      <c r="BM54" s="54">
        <f t="shared" si="116"/>
        <v>4.4569555529744109</v>
      </c>
      <c r="BO54" t="str">
        <f t="shared" si="137"/>
        <v>34 Culture, media and sports occupations</v>
      </c>
      <c r="BP54" s="335">
        <f t="shared" si="117"/>
        <v>0.88066028393274154</v>
      </c>
      <c r="BQ54" s="335">
        <f t="shared" si="117"/>
        <v>0.75467625826101692</v>
      </c>
      <c r="BR54" s="335">
        <f t="shared" si="117"/>
        <v>0.76442307807971532</v>
      </c>
      <c r="BS54" s="335">
        <f t="shared" si="117"/>
        <v>0.55097561449119459</v>
      </c>
      <c r="BT54" s="335">
        <f t="shared" si="117"/>
        <v>0.38080770413252196</v>
      </c>
      <c r="BV54" s="278">
        <f t="shared" si="118"/>
        <v>-60.068286242530299</v>
      </c>
      <c r="BW54" s="54">
        <f t="shared" si="119"/>
        <v>22.744850700647483</v>
      </c>
      <c r="BX54" s="54">
        <f t="shared" si="120"/>
        <v>-37.323435541882816</v>
      </c>
      <c r="BZ54" t="str">
        <f t="shared" si="138"/>
        <v>34 Culture, media and sports occupations</v>
      </c>
      <c r="CA54" s="335">
        <f t="shared" si="121"/>
        <v>1.0460992408964618</v>
      </c>
      <c r="CB54" s="335">
        <f t="shared" si="121"/>
        <v>0.99923906481944469</v>
      </c>
      <c r="CC54" s="335">
        <f t="shared" si="121"/>
        <v>1.0498218026805251</v>
      </c>
      <c r="CD54" s="335">
        <f t="shared" si="121"/>
        <v>0.81049406823837788</v>
      </c>
      <c r="CE54" s="335">
        <f t="shared" si="121"/>
        <v>0.71779549588799163</v>
      </c>
      <c r="CG54" s="278">
        <f t="shared" si="122"/>
        <v>-59.181138585146002</v>
      </c>
      <c r="CH54" s="54">
        <f t="shared" si="123"/>
        <v>21.767847432607979</v>
      </c>
      <c r="CI54" s="54">
        <f t="shared" si="124"/>
        <v>-37.413291152538022</v>
      </c>
      <c r="CK54" t="str">
        <f t="shared" si="139"/>
        <v>34 Culture, media and sports occupations</v>
      </c>
      <c r="CL54" s="335">
        <f t="shared" si="125"/>
        <v>0.83500854959666637</v>
      </c>
      <c r="CM54" s="335">
        <f t="shared" si="125"/>
        <v>1.0306521795271284</v>
      </c>
      <c r="CN54" s="335">
        <f t="shared" si="125"/>
        <v>1.0860749317869327</v>
      </c>
      <c r="CO54" s="335">
        <f t="shared" si="125"/>
        <v>1.1782829477853594</v>
      </c>
      <c r="CP54" s="335">
        <f t="shared" si="125"/>
        <v>1.4660410623708682</v>
      </c>
      <c r="CR54" s="278">
        <f t="shared" si="126"/>
        <v>-17.76960547066788</v>
      </c>
      <c r="CS54" s="54">
        <f t="shared" si="127"/>
        <v>28.795641102878879</v>
      </c>
      <c r="CT54" s="54">
        <f t="shared" si="128"/>
        <v>11.026035632210995</v>
      </c>
    </row>
    <row r="55" spans="1:98">
      <c r="A55" t="str">
        <f t="shared" si="95"/>
        <v>35 Business and public service associate professionals</v>
      </c>
      <c r="B55" s="335">
        <f t="shared" ref="B55:F64" si="140">B18/B$35*100</f>
        <v>5.7147235040366811</v>
      </c>
      <c r="C55" s="335">
        <f t="shared" si="140"/>
        <v>5.7779512326865454</v>
      </c>
      <c r="D55" s="335">
        <f t="shared" si="140"/>
        <v>5.872924642515275</v>
      </c>
      <c r="E55" s="335">
        <f t="shared" si="140"/>
        <v>6.1960133363313767</v>
      </c>
      <c r="F55" s="335">
        <f t="shared" si="140"/>
        <v>6.805600660536018</v>
      </c>
      <c r="H55" s="278">
        <f t="shared" si="129"/>
        <v>107.1235107147313</v>
      </c>
      <c r="I55" s="54">
        <f t="shared" si="130"/>
        <v>74.36754934016156</v>
      </c>
      <c r="J55" s="54">
        <f t="shared" si="131"/>
        <v>181.49106005489287</v>
      </c>
      <c r="L55" t="str">
        <f t="shared" si="132"/>
        <v>35 Business and public service associate professionals</v>
      </c>
      <c r="M55" s="335">
        <f t="shared" ref="M55:Q64" si="141">M18/M$35*100</f>
        <v>8.5993256925491437</v>
      </c>
      <c r="N55" s="335">
        <f t="shared" si="141"/>
        <v>8.5698036007879903</v>
      </c>
      <c r="O55" s="335">
        <f t="shared" si="141"/>
        <v>8.5368607827851726</v>
      </c>
      <c r="P55" s="335">
        <f t="shared" si="141"/>
        <v>8.6329246893929668</v>
      </c>
      <c r="Q55" s="335">
        <f t="shared" si="141"/>
        <v>8.6150837563373148</v>
      </c>
      <c r="S55" s="278">
        <f t="shared" si="98"/>
        <v>81.970418699092008</v>
      </c>
      <c r="T55" s="54">
        <f t="shared" si="99"/>
        <v>70.797634117671578</v>
      </c>
      <c r="U55" s="54">
        <f t="shared" si="100"/>
        <v>152.76805281676357</v>
      </c>
      <c r="W55" t="str">
        <f t="shared" si="133"/>
        <v>35 Business and public service associate professionals</v>
      </c>
      <c r="X55" s="335">
        <f t="shared" ref="X55:AB64" si="142">X18/X$35*100</f>
        <v>9.084082004243605</v>
      </c>
      <c r="Y55" s="335">
        <f t="shared" si="142"/>
        <v>8.8405268026725619</v>
      </c>
      <c r="Z55" s="335">
        <f t="shared" si="142"/>
        <v>8.7257359621017585</v>
      </c>
      <c r="AA55" s="335">
        <f t="shared" si="142"/>
        <v>8.2902223835702138</v>
      </c>
      <c r="AB55" s="335">
        <f t="shared" si="142"/>
        <v>7.5875876023218405</v>
      </c>
      <c r="AD55" s="278">
        <f t="shared" si="102"/>
        <v>3.414470179086103</v>
      </c>
      <c r="AE55" s="54">
        <f t="shared" si="103"/>
        <v>52.021224456872218</v>
      </c>
      <c r="AF55" s="54">
        <f t="shared" si="104"/>
        <v>55.43569463595832</v>
      </c>
      <c r="AH55" t="str">
        <f t="shared" si="134"/>
        <v>35 Business and public service associate professionals</v>
      </c>
      <c r="AI55" s="335">
        <f t="shared" ref="AI55:AM64" si="143">AI18/AI$35*100</f>
        <v>7.8303521507462337</v>
      </c>
      <c r="AJ55" s="335">
        <f t="shared" si="143"/>
        <v>8.3044365213681992</v>
      </c>
      <c r="AK55" s="335">
        <f t="shared" si="143"/>
        <v>8.7761903528307421</v>
      </c>
      <c r="AL55" s="335">
        <f t="shared" si="143"/>
        <v>8.9938665447113202</v>
      </c>
      <c r="AM55" s="335">
        <f t="shared" si="143"/>
        <v>8.979084308942987</v>
      </c>
      <c r="AO55" s="278">
        <f t="shared" si="106"/>
        <v>12.071658780499176</v>
      </c>
      <c r="AP55" s="54">
        <f t="shared" si="107"/>
        <v>51.640067968382105</v>
      </c>
      <c r="AQ55" s="54">
        <f t="shared" si="108"/>
        <v>63.711726748881283</v>
      </c>
      <c r="AS55" t="str">
        <f t="shared" si="135"/>
        <v>35 Business and public service associate professionals</v>
      </c>
      <c r="AT55" s="335">
        <f t="shared" ref="AT55:AX64" si="144">AT18/AT$35*100</f>
        <v>7.6248098612207382</v>
      </c>
      <c r="AU55" s="335">
        <f t="shared" si="144"/>
        <v>7.4756323588200519</v>
      </c>
      <c r="AV55" s="335">
        <f t="shared" si="144"/>
        <v>7.6217475295186476</v>
      </c>
      <c r="AW55" s="335">
        <f t="shared" si="144"/>
        <v>7.3662776042070499</v>
      </c>
      <c r="AX55" s="335">
        <f t="shared" si="144"/>
        <v>6.9990650365647262</v>
      </c>
      <c r="AZ55" s="278">
        <f t="shared" si="110"/>
        <v>8.3327343187958558</v>
      </c>
      <c r="BA55" s="54">
        <f t="shared" si="111"/>
        <v>49.666429081031175</v>
      </c>
      <c r="BB55" s="54">
        <f t="shared" si="112"/>
        <v>57.999163399827033</v>
      </c>
      <c r="BD55" t="str">
        <f t="shared" si="136"/>
        <v>35 Business and public service associate professionals</v>
      </c>
      <c r="BE55" s="335">
        <f t="shared" ref="BE55:BI64" si="145">BE18/BE$35*100</f>
        <v>5.6009880054694099</v>
      </c>
      <c r="BF55" s="335">
        <f t="shared" si="145"/>
        <v>5.5761932117379924</v>
      </c>
      <c r="BG55" s="335">
        <f t="shared" si="145"/>
        <v>5.8790319678778031</v>
      </c>
      <c r="BH55" s="335">
        <f t="shared" si="145"/>
        <v>5.4841072682930676</v>
      </c>
      <c r="BI55" s="335">
        <f t="shared" si="145"/>
        <v>5.2043872366743145</v>
      </c>
      <c r="BK55" s="278">
        <f t="shared" si="114"/>
        <v>-11.807527253131793</v>
      </c>
      <c r="BL55" s="54">
        <f t="shared" si="115"/>
        <v>38.598333944170605</v>
      </c>
      <c r="BM55" s="54">
        <f t="shared" si="116"/>
        <v>26.79080669103881</v>
      </c>
      <c r="BO55" t="str">
        <f t="shared" si="137"/>
        <v>35 Business and public service associate professionals</v>
      </c>
      <c r="BP55" s="335">
        <f t="shared" ref="BP55:BT64" si="146">BP18/BP$35*100</f>
        <v>4.6434181701737094</v>
      </c>
      <c r="BQ55" s="335">
        <f t="shared" si="146"/>
        <v>4.6782154735931547</v>
      </c>
      <c r="BR55" s="335">
        <f t="shared" si="146"/>
        <v>4.932798699006228</v>
      </c>
      <c r="BS55" s="335">
        <f t="shared" si="146"/>
        <v>4.5876054581906383</v>
      </c>
      <c r="BT55" s="335">
        <f t="shared" si="146"/>
        <v>4.3926408021838323</v>
      </c>
      <c r="BV55" s="278">
        <f t="shared" si="118"/>
        <v>-28.619709390499864</v>
      </c>
      <c r="BW55" s="54">
        <f t="shared" si="119"/>
        <v>33.094543694976295</v>
      </c>
      <c r="BX55" s="54">
        <f t="shared" si="120"/>
        <v>4.4748343044764356</v>
      </c>
      <c r="BZ55" t="str">
        <f t="shared" si="138"/>
        <v>35 Business and public service associate professionals</v>
      </c>
      <c r="CA55" s="335">
        <f t="shared" ref="CA55:CE64" si="147">CA18/CA$35*100</f>
        <v>4.2521807403137366</v>
      </c>
      <c r="CB55" s="335">
        <f t="shared" si="147"/>
        <v>4.384559418462656</v>
      </c>
      <c r="CC55" s="335">
        <f t="shared" si="147"/>
        <v>4.6325969293446789</v>
      </c>
      <c r="CD55" s="335">
        <f t="shared" si="147"/>
        <v>4.4014291049378862</v>
      </c>
      <c r="CE55" s="335">
        <f t="shared" si="147"/>
        <v>4.1761666994961786</v>
      </c>
      <c r="CG55" s="278">
        <f t="shared" si="122"/>
        <v>-46.181813832818605</v>
      </c>
      <c r="CH55" s="54">
        <f t="shared" si="123"/>
        <v>26.507547861096274</v>
      </c>
      <c r="CI55" s="54">
        <f t="shared" si="124"/>
        <v>-19.674265971722324</v>
      </c>
      <c r="CK55" t="str">
        <f t="shared" si="139"/>
        <v>35 Business and public service associate professionals</v>
      </c>
      <c r="CL55" s="335">
        <f t="shared" ref="CL55:CP64" si="148">CL18/CL$35*100</f>
        <v>2.3867000181615174</v>
      </c>
      <c r="CM55" s="335">
        <f t="shared" si="148"/>
        <v>2.7699631002441416</v>
      </c>
      <c r="CN55" s="335">
        <f t="shared" si="148"/>
        <v>3.0121168612991558</v>
      </c>
      <c r="CO55" s="335">
        <f t="shared" si="148"/>
        <v>3.083794946236643</v>
      </c>
      <c r="CP55" s="335">
        <f t="shared" si="148"/>
        <v>4.1711788840761743</v>
      </c>
      <c r="CR55" s="278">
        <f t="shared" si="126"/>
        <v>-15.640688411187339</v>
      </c>
      <c r="CS55" s="54">
        <f t="shared" si="127"/>
        <v>27.332618585837977</v>
      </c>
      <c r="CT55" s="54">
        <f t="shared" si="128"/>
        <v>11.691930174650633</v>
      </c>
    </row>
    <row r="56" spans="1:98">
      <c r="A56" t="str">
        <f t="shared" si="95"/>
        <v>41 Administrative occupations</v>
      </c>
      <c r="B56" s="335">
        <f t="shared" si="140"/>
        <v>3.1794923813037217</v>
      </c>
      <c r="C56" s="335">
        <f t="shared" si="140"/>
        <v>3.0228170478445708</v>
      </c>
      <c r="D56" s="335">
        <f t="shared" si="140"/>
        <v>3.1440068802656493</v>
      </c>
      <c r="E56" s="335">
        <f t="shared" si="140"/>
        <v>3.4823269606788729</v>
      </c>
      <c r="F56" s="335">
        <f t="shared" si="140"/>
        <v>4.0041391692598838</v>
      </c>
      <c r="H56" s="278">
        <f t="shared" si="129"/>
        <v>127.63709822814317</v>
      </c>
      <c r="I56" s="54">
        <f t="shared" si="130"/>
        <v>88.56830923346098</v>
      </c>
      <c r="J56" s="54">
        <f t="shared" si="131"/>
        <v>216.20540746160412</v>
      </c>
      <c r="L56" t="str">
        <f t="shared" si="132"/>
        <v>41 Administrative occupations</v>
      </c>
      <c r="M56" s="335">
        <f t="shared" si="141"/>
        <v>5.1138789330355126</v>
      </c>
      <c r="N56" s="335">
        <f t="shared" si="141"/>
        <v>4.8833793248089927</v>
      </c>
      <c r="O56" s="335">
        <f t="shared" si="141"/>
        <v>5.0085071958870424</v>
      </c>
      <c r="P56" s="335">
        <f t="shared" si="141"/>
        <v>5.5294609886877462</v>
      </c>
      <c r="Q56" s="335">
        <f t="shared" si="141"/>
        <v>5.9167912289514986</v>
      </c>
      <c r="S56" s="278">
        <f t="shared" si="98"/>
        <v>113.01855435329063</v>
      </c>
      <c r="T56" s="54">
        <f t="shared" si="99"/>
        <v>87.360760578273215</v>
      </c>
      <c r="U56" s="54">
        <f t="shared" si="100"/>
        <v>200.37931493156384</v>
      </c>
      <c r="W56" t="str">
        <f t="shared" si="133"/>
        <v>41 Administrative occupations</v>
      </c>
      <c r="X56" s="335">
        <f t="shared" si="142"/>
        <v>8.5081520911900057</v>
      </c>
      <c r="Y56" s="335">
        <f t="shared" si="142"/>
        <v>8.0543098874816916</v>
      </c>
      <c r="Z56" s="335">
        <f t="shared" si="142"/>
        <v>8.4090046871568109</v>
      </c>
      <c r="AA56" s="335">
        <f t="shared" si="142"/>
        <v>9.2787794920090061</v>
      </c>
      <c r="AB56" s="335">
        <f t="shared" si="142"/>
        <v>9.7902392193022845</v>
      </c>
      <c r="AD56" s="278">
        <f t="shared" si="102"/>
        <v>38.461288702926808</v>
      </c>
      <c r="AE56" s="54">
        <f t="shared" si="103"/>
        <v>69.395765169107079</v>
      </c>
      <c r="AF56" s="54">
        <f t="shared" si="104"/>
        <v>107.8570538720339</v>
      </c>
      <c r="AH56" t="str">
        <f t="shared" si="134"/>
        <v>41 Administrative occupations</v>
      </c>
      <c r="AI56" s="335">
        <f t="shared" si="143"/>
        <v>10.187985784460023</v>
      </c>
      <c r="AJ56" s="335">
        <f t="shared" si="143"/>
        <v>10.636474888922908</v>
      </c>
      <c r="AK56" s="335">
        <f t="shared" si="143"/>
        <v>11.199593787386364</v>
      </c>
      <c r="AL56" s="335">
        <f t="shared" si="143"/>
        <v>12.622816768217751</v>
      </c>
      <c r="AM56" s="335">
        <f t="shared" si="143"/>
        <v>13.397716662542217</v>
      </c>
      <c r="AO56" s="278">
        <f t="shared" si="106"/>
        <v>31.038315941217675</v>
      </c>
      <c r="AP56" s="54">
        <f t="shared" si="107"/>
        <v>70.070390004460876</v>
      </c>
      <c r="AQ56" s="54">
        <f t="shared" si="108"/>
        <v>101.10870594567855</v>
      </c>
      <c r="AS56" t="str">
        <f t="shared" si="135"/>
        <v>41 Administrative occupations</v>
      </c>
      <c r="AT56" s="335">
        <f t="shared" si="144"/>
        <v>10.521818128625707</v>
      </c>
      <c r="AU56" s="335">
        <f t="shared" si="144"/>
        <v>10.119440214875247</v>
      </c>
      <c r="AV56" s="335">
        <f t="shared" si="144"/>
        <v>10.571068035717857</v>
      </c>
      <c r="AW56" s="335">
        <f t="shared" si="144"/>
        <v>10.906803921075481</v>
      </c>
      <c r="AX56" s="335">
        <f t="shared" si="144"/>
        <v>11.013080627830989</v>
      </c>
      <c r="AZ56" s="278">
        <f t="shared" si="110"/>
        <v>22.903481466669138</v>
      </c>
      <c r="BA56" s="54">
        <f t="shared" si="111"/>
        <v>62.930345740921744</v>
      </c>
      <c r="BB56" s="54">
        <f t="shared" si="112"/>
        <v>85.833827207590886</v>
      </c>
      <c r="BD56" t="str">
        <f t="shared" si="136"/>
        <v>41 Administrative occupations</v>
      </c>
      <c r="BE56" s="335">
        <f t="shared" si="145"/>
        <v>9.2391880652317653</v>
      </c>
      <c r="BF56" s="335">
        <f t="shared" si="145"/>
        <v>8.7351807963898231</v>
      </c>
      <c r="BG56" s="335">
        <f t="shared" si="145"/>
        <v>9.245755542451878</v>
      </c>
      <c r="BH56" s="335">
        <f t="shared" si="145"/>
        <v>9.201980700431605</v>
      </c>
      <c r="BI56" s="335">
        <f t="shared" si="145"/>
        <v>8.0413023753297495</v>
      </c>
      <c r="BK56" s="278">
        <f t="shared" si="114"/>
        <v>-13.353360297482766</v>
      </c>
      <c r="BL56" s="54">
        <f t="shared" si="115"/>
        <v>44.835380570581925</v>
      </c>
      <c r="BM56" s="54">
        <f t="shared" si="116"/>
        <v>31.482020273099153</v>
      </c>
      <c r="BO56" t="str">
        <f t="shared" si="137"/>
        <v>41 Administrative occupations</v>
      </c>
      <c r="BP56" s="335">
        <f t="shared" si="146"/>
        <v>10.688380751107232</v>
      </c>
      <c r="BQ56" s="335">
        <f t="shared" si="146"/>
        <v>9.9438956337638462</v>
      </c>
      <c r="BR56" s="335">
        <f t="shared" si="146"/>
        <v>10.623194204571911</v>
      </c>
      <c r="BS56" s="335">
        <f t="shared" si="146"/>
        <v>10.352460039524271</v>
      </c>
      <c r="BT56" s="335">
        <f t="shared" si="146"/>
        <v>8.5792029188997443</v>
      </c>
      <c r="BV56" s="278">
        <f t="shared" si="118"/>
        <v>-35.265196749456692</v>
      </c>
      <c r="BW56" s="54">
        <f t="shared" si="119"/>
        <v>36.569835531813325</v>
      </c>
      <c r="BX56" s="54">
        <f t="shared" si="120"/>
        <v>1.3046387823566337</v>
      </c>
      <c r="BZ56" t="str">
        <f t="shared" si="138"/>
        <v>41 Administrative occupations</v>
      </c>
      <c r="CA56" s="335">
        <f t="shared" si="147"/>
        <v>8.6304138691397778</v>
      </c>
      <c r="CB56" s="335">
        <f t="shared" si="147"/>
        <v>7.7580005562808667</v>
      </c>
      <c r="CC56" s="335">
        <f t="shared" si="147"/>
        <v>8.0230141031397704</v>
      </c>
      <c r="CD56" s="335">
        <f t="shared" si="147"/>
        <v>6.5425849544483397</v>
      </c>
      <c r="CE56" s="335">
        <f t="shared" si="147"/>
        <v>3.5831918275486658</v>
      </c>
      <c r="CG56" s="278">
        <f t="shared" si="122"/>
        <v>-73.337046890775753</v>
      </c>
      <c r="CH56" s="54">
        <f t="shared" si="123"/>
        <v>21.766593508463345</v>
      </c>
      <c r="CI56" s="54">
        <f t="shared" si="124"/>
        <v>-51.570453382312422</v>
      </c>
      <c r="CK56" t="str">
        <f t="shared" si="139"/>
        <v>41 Administrative occupations</v>
      </c>
      <c r="CL56" s="335">
        <f t="shared" si="148"/>
        <v>5.5958351465493008</v>
      </c>
      <c r="CM56" s="335">
        <f t="shared" si="148"/>
        <v>5.470418153297814</v>
      </c>
      <c r="CN56" s="335">
        <f t="shared" si="148"/>
        <v>6.1076910371939581</v>
      </c>
      <c r="CO56" s="335">
        <f t="shared" si="148"/>
        <v>6.065642831187823</v>
      </c>
      <c r="CP56" s="335">
        <f t="shared" si="148"/>
        <v>6.0047551634331233</v>
      </c>
      <c r="CR56" s="278">
        <f t="shared" si="126"/>
        <v>-40.10862643122897</v>
      </c>
      <c r="CS56" s="54">
        <f t="shared" si="127"/>
        <v>23.853792159952985</v>
      </c>
      <c r="CT56" s="54">
        <f t="shared" si="128"/>
        <v>-16.254834271275989</v>
      </c>
    </row>
    <row r="57" spans="1:98">
      <c r="A57" t="str">
        <f t="shared" si="95"/>
        <v>42 Secretarial and related occupations</v>
      </c>
      <c r="B57" s="335">
        <f t="shared" si="140"/>
        <v>0.29402611950466873</v>
      </c>
      <c r="C57" s="335">
        <f t="shared" si="140"/>
        <v>0.29835162701440648</v>
      </c>
      <c r="D57" s="335">
        <f t="shared" si="140"/>
        <v>0.28736647764468337</v>
      </c>
      <c r="E57" s="335">
        <f t="shared" si="140"/>
        <v>0.36594330904593492</v>
      </c>
      <c r="F57" s="335">
        <f t="shared" si="140"/>
        <v>0.50095565123518893</v>
      </c>
      <c r="H57" s="278">
        <f t="shared" si="129"/>
        <v>211.58786868268561</v>
      </c>
      <c r="I57" s="54">
        <f t="shared" si="130"/>
        <v>134.04283888462643</v>
      </c>
      <c r="J57" s="54">
        <f t="shared" si="131"/>
        <v>345.63070756731207</v>
      </c>
      <c r="L57" t="str">
        <f t="shared" si="132"/>
        <v>42 Secretarial and related occupations</v>
      </c>
      <c r="M57" s="335">
        <f t="shared" si="141"/>
        <v>0.90773124784743731</v>
      </c>
      <c r="N57" s="335">
        <f t="shared" si="141"/>
        <v>0.81711863409400476</v>
      </c>
      <c r="O57" s="335">
        <f t="shared" si="141"/>
        <v>0.81146381783348909</v>
      </c>
      <c r="P57" s="335">
        <f t="shared" si="141"/>
        <v>0.92453829549820954</v>
      </c>
      <c r="Q57" s="335">
        <f t="shared" si="141"/>
        <v>0.86033285912541624</v>
      </c>
      <c r="S57" s="278">
        <f t="shared" si="98"/>
        <v>91.177527214206535</v>
      </c>
      <c r="T57" s="54">
        <f t="shared" si="99"/>
        <v>92.140865072481276</v>
      </c>
      <c r="U57" s="54">
        <f t="shared" si="100"/>
        <v>183.31839228668781</v>
      </c>
      <c r="W57" t="str">
        <f t="shared" si="133"/>
        <v>42 Secretarial and related occupations</v>
      </c>
      <c r="X57" s="335">
        <f t="shared" si="142"/>
        <v>1.5775736235600006</v>
      </c>
      <c r="Y57" s="335">
        <f t="shared" si="142"/>
        <v>1.4482936554470314</v>
      </c>
      <c r="Z57" s="335">
        <f t="shared" si="142"/>
        <v>1.4489767165391836</v>
      </c>
      <c r="AA57" s="335">
        <f t="shared" si="142"/>
        <v>1.7113018560489985</v>
      </c>
      <c r="AB57" s="335">
        <f t="shared" si="142"/>
        <v>2.0388622172737869</v>
      </c>
      <c r="AD57" s="278">
        <f t="shared" si="102"/>
        <v>67.34245317944891</v>
      </c>
      <c r="AE57" s="54">
        <f t="shared" si="103"/>
        <v>85.592175638361226</v>
      </c>
      <c r="AF57" s="54">
        <f t="shared" si="104"/>
        <v>152.93462881781014</v>
      </c>
      <c r="AH57" t="str">
        <f t="shared" si="134"/>
        <v>42 Secretarial and related occupations</v>
      </c>
      <c r="AI57" s="335">
        <f t="shared" si="143"/>
        <v>2.5022362747163971</v>
      </c>
      <c r="AJ57" s="335">
        <f t="shared" si="143"/>
        <v>2.4638598705663508</v>
      </c>
      <c r="AK57" s="335">
        <f t="shared" si="143"/>
        <v>2.5779378586718944</v>
      </c>
      <c r="AL57" s="335">
        <f t="shared" si="143"/>
        <v>2.8932213813657524</v>
      </c>
      <c r="AM57" s="335">
        <f t="shared" si="143"/>
        <v>2.7904270962039757</v>
      </c>
      <c r="AO57" s="278">
        <f t="shared" si="106"/>
        <v>18.56814380657929</v>
      </c>
      <c r="AP57" s="54">
        <f t="shared" si="107"/>
        <v>69.19658615013185</v>
      </c>
      <c r="AQ57" s="54">
        <f t="shared" si="108"/>
        <v>87.764729956711136</v>
      </c>
      <c r="AS57" t="str">
        <f t="shared" si="135"/>
        <v>42 Secretarial and related occupations</v>
      </c>
      <c r="AT57" s="335">
        <f t="shared" si="144"/>
        <v>2.1323024264033057</v>
      </c>
      <c r="AU57" s="335">
        <f t="shared" si="144"/>
        <v>1.8740633540819256</v>
      </c>
      <c r="AV57" s="335">
        <f t="shared" si="144"/>
        <v>1.9272103825697291</v>
      </c>
      <c r="AW57" s="335">
        <f t="shared" si="144"/>
        <v>1.9958461581608948</v>
      </c>
      <c r="AX57" s="335">
        <f t="shared" si="144"/>
        <v>1.7311384389258457</v>
      </c>
      <c r="AZ57" s="278">
        <f t="shared" si="110"/>
        <v>5.9685294359944265</v>
      </c>
      <c r="BA57" s="54">
        <f t="shared" si="111"/>
        <v>61.20330286062655</v>
      </c>
      <c r="BB57" s="54">
        <f t="shared" si="112"/>
        <v>67.171832296620977</v>
      </c>
      <c r="BD57" t="str">
        <f t="shared" si="136"/>
        <v>42 Secretarial and related occupations</v>
      </c>
      <c r="BE57" s="335">
        <f t="shared" si="145"/>
        <v>2.1276164781780191</v>
      </c>
      <c r="BF57" s="335">
        <f t="shared" si="145"/>
        <v>1.8768904234823556</v>
      </c>
      <c r="BG57" s="335">
        <f t="shared" si="145"/>
        <v>1.8671895109737873</v>
      </c>
      <c r="BH57" s="335">
        <f t="shared" si="145"/>
        <v>1.7811732723253173</v>
      </c>
      <c r="BI57" s="335">
        <f t="shared" si="145"/>
        <v>0.62809924726124122</v>
      </c>
      <c r="BK57" s="278">
        <f t="shared" si="114"/>
        <v>-66.487439421588419</v>
      </c>
      <c r="BL57" s="54">
        <f t="shared" si="115"/>
        <v>36.537452918362924</v>
      </c>
      <c r="BM57" s="54">
        <f t="shared" si="116"/>
        <v>-29.949986503225489</v>
      </c>
      <c r="BO57" t="str">
        <f t="shared" si="137"/>
        <v>42 Secretarial and related occupations</v>
      </c>
      <c r="BP57" s="335">
        <f t="shared" si="146"/>
        <v>2.7972929279800325</v>
      </c>
      <c r="BQ57" s="335">
        <f t="shared" si="146"/>
        <v>2.2891666508708903</v>
      </c>
      <c r="BR57" s="335">
        <f t="shared" si="146"/>
        <v>2.2629670768309462</v>
      </c>
      <c r="BS57" s="335">
        <f t="shared" si="146"/>
        <v>1.6897866265716881</v>
      </c>
      <c r="BT57" s="335">
        <f t="shared" si="146"/>
        <v>0.47659516119120515</v>
      </c>
      <c r="BV57" s="278">
        <f t="shared" si="118"/>
        <v>-83.118252261132596</v>
      </c>
      <c r="BW57" s="54">
        <f t="shared" si="119"/>
        <v>25.212483170482624</v>
      </c>
      <c r="BX57" s="54">
        <f t="shared" si="120"/>
        <v>-57.905769090649969</v>
      </c>
      <c r="BZ57" t="str">
        <f t="shared" si="138"/>
        <v>42 Secretarial and related occupations</v>
      </c>
      <c r="CA57" s="335">
        <f t="shared" si="147"/>
        <v>3.5749695868029301</v>
      </c>
      <c r="CB57" s="335">
        <f t="shared" si="147"/>
        <v>3.2905215349945482</v>
      </c>
      <c r="CC57" s="335">
        <f t="shared" si="147"/>
        <v>3.2269086301506871</v>
      </c>
      <c r="CD57" s="335">
        <f t="shared" si="147"/>
        <v>1.9621188494674671</v>
      </c>
      <c r="CE57" s="335">
        <f t="shared" si="147"/>
        <v>0.66207040227385283</v>
      </c>
      <c r="CG57" s="278">
        <f t="shared" si="122"/>
        <v>-87.751208267705024</v>
      </c>
      <c r="CH57" s="54">
        <f t="shared" si="123"/>
        <v>18.754165212280377</v>
      </c>
      <c r="CI57" s="54">
        <f t="shared" si="124"/>
        <v>-68.997043055424641</v>
      </c>
      <c r="CK57" t="str">
        <f t="shared" si="139"/>
        <v>42 Secretarial and related occupations</v>
      </c>
      <c r="CL57" s="335">
        <f t="shared" si="148"/>
        <v>2.1903370257877945</v>
      </c>
      <c r="CM57" s="335">
        <f t="shared" si="148"/>
        <v>2.3818082058661907</v>
      </c>
      <c r="CN57" s="335">
        <f t="shared" si="148"/>
        <v>2.5788120583948264</v>
      </c>
      <c r="CO57" s="335">
        <f t="shared" si="148"/>
        <v>2.9746730015417122</v>
      </c>
      <c r="CP57" s="335">
        <f t="shared" si="148"/>
        <v>3.2145522808566218</v>
      </c>
      <c r="CR57" s="278">
        <f t="shared" si="126"/>
        <v>-24.064154990057084</v>
      </c>
      <c r="CS57" s="54">
        <f t="shared" si="127"/>
        <v>35.801933798754483</v>
      </c>
      <c r="CT57" s="54">
        <f t="shared" si="128"/>
        <v>11.737778808697398</v>
      </c>
    </row>
    <row r="58" spans="1:98">
      <c r="A58" t="str">
        <f t="shared" si="95"/>
        <v>51 Skilled agricultural and related trades</v>
      </c>
      <c r="B58" s="335">
        <f t="shared" si="140"/>
        <v>0.16862484939380515</v>
      </c>
      <c r="C58" s="335">
        <f t="shared" si="140"/>
        <v>0.19721835796250503</v>
      </c>
      <c r="D58" s="335">
        <f t="shared" si="140"/>
        <v>0.15427076932174566</v>
      </c>
      <c r="E58" s="335">
        <f t="shared" si="140"/>
        <v>0.15180595655527468</v>
      </c>
      <c r="F58" s="335">
        <f t="shared" si="140"/>
        <v>0.16750476437041101</v>
      </c>
      <c r="H58" s="278">
        <f t="shared" si="129"/>
        <v>94.071107418961134</v>
      </c>
      <c r="I58" s="54">
        <f t="shared" si="130"/>
        <v>104.06283623961727</v>
      </c>
      <c r="J58" s="54">
        <f t="shared" si="131"/>
        <v>198.1339436585784</v>
      </c>
      <c r="L58" t="str">
        <f t="shared" si="132"/>
        <v>51 Skilled agricultural and related trades</v>
      </c>
      <c r="M58" s="335">
        <f t="shared" si="141"/>
        <v>0.17284461222110706</v>
      </c>
      <c r="N58" s="335">
        <f t="shared" si="141"/>
        <v>0.1567012247560193</v>
      </c>
      <c r="O58" s="335">
        <f t="shared" si="141"/>
        <v>0.12758496210834191</v>
      </c>
      <c r="P58" s="335">
        <f t="shared" si="141"/>
        <v>0.12340164574086347</v>
      </c>
      <c r="Q58" s="335">
        <f t="shared" si="141"/>
        <v>0.1362877215367771</v>
      </c>
      <c r="S58" s="278">
        <f t="shared" si="98"/>
        <v>92.617938939616451</v>
      </c>
      <c r="T58" s="54">
        <f t="shared" si="99"/>
        <v>88.823183096478701</v>
      </c>
      <c r="U58" s="54">
        <f t="shared" si="100"/>
        <v>181.44112203609512</v>
      </c>
      <c r="W58" t="str">
        <f t="shared" si="133"/>
        <v>51 Skilled agricultural and related trades</v>
      </c>
      <c r="X58" s="335">
        <f t="shared" si="142"/>
        <v>0.64346915209048849</v>
      </c>
      <c r="Y58" s="335">
        <f t="shared" si="142"/>
        <v>0.61959563235087678</v>
      </c>
      <c r="Z58" s="335">
        <f t="shared" si="142"/>
        <v>0.64053270456841904</v>
      </c>
      <c r="AA58" s="335">
        <f t="shared" si="142"/>
        <v>0.67853052881511822</v>
      </c>
      <c r="AB58" s="335">
        <f t="shared" si="142"/>
        <v>0.84765512886371441</v>
      </c>
      <c r="AD58" s="278">
        <f t="shared" si="102"/>
        <v>57.382900669364808</v>
      </c>
      <c r="AE58" s="54">
        <f t="shared" si="103"/>
        <v>87.953064952959366</v>
      </c>
      <c r="AF58" s="54">
        <f t="shared" si="104"/>
        <v>145.33596562232418</v>
      </c>
      <c r="AH58" t="str">
        <f t="shared" si="134"/>
        <v>51 Skilled agricultural and related trades</v>
      </c>
      <c r="AI58" s="335">
        <f t="shared" si="143"/>
        <v>1.0265890348231406</v>
      </c>
      <c r="AJ58" s="335">
        <f t="shared" si="143"/>
        <v>1.1588216943913847</v>
      </c>
      <c r="AK58" s="335">
        <f t="shared" si="143"/>
        <v>1.0202251893535317</v>
      </c>
      <c r="AL58" s="335">
        <f t="shared" si="143"/>
        <v>1.1294342442021552</v>
      </c>
      <c r="AM58" s="335">
        <f t="shared" si="143"/>
        <v>1.3503334951300718</v>
      </c>
      <c r="AO58" s="278">
        <f t="shared" si="106"/>
        <v>44.982232675896569</v>
      </c>
      <c r="AP58" s="54">
        <f t="shared" si="107"/>
        <v>89.5851981445023</v>
      </c>
      <c r="AQ58" s="54">
        <f t="shared" si="108"/>
        <v>134.56743082039887</v>
      </c>
      <c r="AS58" t="str">
        <f t="shared" si="135"/>
        <v>51 Skilled agricultural and related trades</v>
      </c>
      <c r="AT58" s="335">
        <f t="shared" si="144"/>
        <v>1.5851906241020082</v>
      </c>
      <c r="AU58" s="335">
        <f t="shared" si="144"/>
        <v>1.6114135918837635</v>
      </c>
      <c r="AV58" s="335">
        <f t="shared" si="144"/>
        <v>1.4520680414638225</v>
      </c>
      <c r="AW58" s="335">
        <f t="shared" si="144"/>
        <v>1.5105178210985126</v>
      </c>
      <c r="AX58" s="335">
        <f t="shared" si="144"/>
        <v>1.8180301668175309</v>
      </c>
      <c r="AZ58" s="278">
        <f t="shared" si="110"/>
        <v>47.7026722143558</v>
      </c>
      <c r="BA58" s="54">
        <f t="shared" si="111"/>
        <v>80.113380490026344</v>
      </c>
      <c r="BB58" s="54">
        <f t="shared" si="112"/>
        <v>127.81605270438214</v>
      </c>
      <c r="BD58" t="str">
        <f t="shared" si="136"/>
        <v>51 Skilled agricultural and related trades</v>
      </c>
      <c r="BE58" s="335">
        <f t="shared" si="145"/>
        <v>0.81837682782982013</v>
      </c>
      <c r="BF58" s="335">
        <f t="shared" si="145"/>
        <v>0.78718640157480357</v>
      </c>
      <c r="BG58" s="335">
        <f t="shared" si="145"/>
        <v>0.69359859294070836</v>
      </c>
      <c r="BH58" s="335">
        <f t="shared" si="145"/>
        <v>0.64671726214135616</v>
      </c>
      <c r="BI58" s="335">
        <f t="shared" si="145"/>
        <v>0.66769650319306206</v>
      </c>
      <c r="BK58" s="278">
        <f t="shared" si="114"/>
        <v>-4.0955770656794499</v>
      </c>
      <c r="BL58" s="54">
        <f t="shared" si="115"/>
        <v>49.405773388858684</v>
      </c>
      <c r="BM58" s="54">
        <f t="shared" si="116"/>
        <v>45.310196323179234</v>
      </c>
      <c r="BO58" t="str">
        <f t="shared" si="137"/>
        <v>51 Skilled agricultural and related trades</v>
      </c>
      <c r="BP58" s="335">
        <f t="shared" si="146"/>
        <v>1.2652106163939656</v>
      </c>
      <c r="BQ58" s="335">
        <f t="shared" si="146"/>
        <v>1.2709956737830863</v>
      </c>
      <c r="BR58" s="335">
        <f t="shared" si="146"/>
        <v>1.160932371787941</v>
      </c>
      <c r="BS58" s="335">
        <f t="shared" si="146"/>
        <v>1.1525197536348382</v>
      </c>
      <c r="BT58" s="335">
        <f t="shared" si="146"/>
        <v>1.3515962109082442</v>
      </c>
      <c r="BV58" s="278">
        <f t="shared" si="118"/>
        <v>-6.6775659682765216</v>
      </c>
      <c r="BW58" s="54">
        <f t="shared" si="119"/>
        <v>52.07346543020882</v>
      </c>
      <c r="BX58" s="54">
        <f t="shared" si="120"/>
        <v>45.395899461932302</v>
      </c>
      <c r="BZ58" t="str">
        <f t="shared" si="138"/>
        <v>51 Skilled agricultural and related trades</v>
      </c>
      <c r="CA58" s="335">
        <f t="shared" si="147"/>
        <v>1.5066174599428053</v>
      </c>
      <c r="CB58" s="335">
        <f t="shared" si="147"/>
        <v>1.4797519040851361</v>
      </c>
      <c r="CC58" s="335">
        <f t="shared" si="147"/>
        <v>1.4435016028412995</v>
      </c>
      <c r="CD58" s="335">
        <f t="shared" si="147"/>
        <v>1.4640250825586267</v>
      </c>
      <c r="CE58" s="335">
        <f t="shared" si="147"/>
        <v>2.3743325808424633</v>
      </c>
      <c r="CG58" s="278">
        <f t="shared" si="122"/>
        <v>-1.802591374603955</v>
      </c>
      <c r="CH58" s="54">
        <f t="shared" si="123"/>
        <v>43.544889130548391</v>
      </c>
      <c r="CI58" s="54">
        <f t="shared" si="124"/>
        <v>41.742297755944435</v>
      </c>
      <c r="CK58" t="str">
        <f t="shared" si="139"/>
        <v>51 Skilled agricultural and related trades</v>
      </c>
      <c r="CL58" s="335">
        <f t="shared" si="148"/>
        <v>2.6191049829993891</v>
      </c>
      <c r="CM58" s="335">
        <f t="shared" si="148"/>
        <v>2.7841743866870043</v>
      </c>
      <c r="CN58" s="335">
        <f t="shared" si="148"/>
        <v>2.7163706685390054</v>
      </c>
      <c r="CO58" s="335">
        <f t="shared" si="148"/>
        <v>2.9879814521129129</v>
      </c>
      <c r="CP58" s="335">
        <f t="shared" si="148"/>
        <v>2.1873777292010299</v>
      </c>
      <c r="CR58" s="278">
        <f t="shared" si="126"/>
        <v>-50.945282083437824</v>
      </c>
      <c r="CS58" s="54">
        <f t="shared" si="127"/>
        <v>28.061430226574551</v>
      </c>
      <c r="CT58" s="54">
        <f t="shared" si="128"/>
        <v>-22.883851856863281</v>
      </c>
    </row>
    <row r="59" spans="1:98">
      <c r="A59" t="str">
        <f t="shared" si="95"/>
        <v>52 Skilled metal, electrical and electronic trades</v>
      </c>
      <c r="B59" s="335">
        <f t="shared" si="140"/>
        <v>0.2539827917019854</v>
      </c>
      <c r="C59" s="335">
        <f t="shared" si="140"/>
        <v>0.24250561283062111</v>
      </c>
      <c r="D59" s="335">
        <f t="shared" si="140"/>
        <v>0.24168627042345145</v>
      </c>
      <c r="E59" s="335">
        <f t="shared" si="140"/>
        <v>0.24887351688704182</v>
      </c>
      <c r="F59" s="335">
        <f t="shared" si="140"/>
        <v>0.28329524126399247</v>
      </c>
      <c r="H59" s="278">
        <f t="shared" si="129"/>
        <v>109.50995545086606</v>
      </c>
      <c r="I59" s="54">
        <f t="shared" si="130"/>
        <v>70.972511479873873</v>
      </c>
      <c r="J59" s="54">
        <f t="shared" si="131"/>
        <v>180.48246693073995</v>
      </c>
      <c r="L59" t="str">
        <f t="shared" si="132"/>
        <v>52 Skilled metal, electrical and electronic trades</v>
      </c>
      <c r="M59" s="335">
        <f t="shared" si="141"/>
        <v>0.6825522270889357</v>
      </c>
      <c r="N59" s="335">
        <f t="shared" si="141"/>
        <v>0.68105106352424027</v>
      </c>
      <c r="O59" s="335">
        <f t="shared" si="141"/>
        <v>0.55438294311270531</v>
      </c>
      <c r="P59" s="335">
        <f t="shared" si="141"/>
        <v>0.67905447255810569</v>
      </c>
      <c r="Q59" s="335">
        <f t="shared" si="141"/>
        <v>0.8018803607355145</v>
      </c>
      <c r="S59" s="278">
        <f t="shared" si="98"/>
        <v>160.8189887781179</v>
      </c>
      <c r="T59" s="54">
        <f t="shared" si="99"/>
        <v>90.045904355591105</v>
      </c>
      <c r="U59" s="54">
        <f t="shared" si="100"/>
        <v>250.86489313370902</v>
      </c>
      <c r="W59" t="str">
        <f t="shared" si="133"/>
        <v>52 Skilled metal, electrical and electronic trades</v>
      </c>
      <c r="X59" s="335">
        <f t="shared" si="142"/>
        <v>1.0247682376120328</v>
      </c>
      <c r="Y59" s="335">
        <f t="shared" si="142"/>
        <v>1.0158271507848462</v>
      </c>
      <c r="Z59" s="335">
        <f t="shared" si="142"/>
        <v>0.82672359194110712</v>
      </c>
      <c r="AA59" s="335">
        <f t="shared" si="142"/>
        <v>0.92724826079915812</v>
      </c>
      <c r="AB59" s="335">
        <f t="shared" si="142"/>
        <v>1.037662824451542</v>
      </c>
      <c r="AD59" s="278">
        <f t="shared" si="102"/>
        <v>49.271049757489116</v>
      </c>
      <c r="AE59" s="54">
        <f t="shared" si="103"/>
        <v>63.634951475227467</v>
      </c>
      <c r="AF59" s="54">
        <f t="shared" si="104"/>
        <v>112.90600123271659</v>
      </c>
      <c r="AH59" t="str">
        <f t="shared" si="134"/>
        <v>52 Skilled metal, electrical and electronic trades</v>
      </c>
      <c r="AI59" s="335">
        <f t="shared" si="143"/>
        <v>1.2595068584148568</v>
      </c>
      <c r="AJ59" s="335">
        <f t="shared" si="143"/>
        <v>1.336600513632241</v>
      </c>
      <c r="AK59" s="335">
        <f t="shared" si="143"/>
        <v>1.1636002640304617</v>
      </c>
      <c r="AL59" s="335">
        <f t="shared" si="143"/>
        <v>1.3654510771510677</v>
      </c>
      <c r="AM59" s="335">
        <f t="shared" si="143"/>
        <v>1.6425218796670451</v>
      </c>
      <c r="AO59" s="278">
        <f t="shared" si="106"/>
        <v>54.624083085464846</v>
      </c>
      <c r="AP59" s="54">
        <f t="shared" si="107"/>
        <v>59.611320554562553</v>
      </c>
      <c r="AQ59" s="54">
        <f t="shared" si="108"/>
        <v>114.2354036400274</v>
      </c>
      <c r="AS59" t="str">
        <f t="shared" si="135"/>
        <v>52 Skilled metal, electrical and electronic trades</v>
      </c>
      <c r="AT59" s="335">
        <f t="shared" si="144"/>
        <v>5.401719814662024</v>
      </c>
      <c r="AU59" s="335">
        <f t="shared" si="144"/>
        <v>5.2240943208806128</v>
      </c>
      <c r="AV59" s="335">
        <f t="shared" si="144"/>
        <v>4.4792333523247256</v>
      </c>
      <c r="AW59" s="335">
        <f t="shared" si="144"/>
        <v>4.6670751211074366</v>
      </c>
      <c r="AX59" s="335">
        <f t="shared" si="144"/>
        <v>4.9874466943636211</v>
      </c>
      <c r="AZ59" s="278">
        <f t="shared" si="110"/>
        <v>31.355666751741506</v>
      </c>
      <c r="BA59" s="54">
        <f t="shared" si="111"/>
        <v>52.877282482402499</v>
      </c>
      <c r="BB59" s="54">
        <f t="shared" si="112"/>
        <v>84.232949234144002</v>
      </c>
      <c r="BD59" t="str">
        <f t="shared" si="136"/>
        <v>52 Skilled metal, electrical and electronic trades</v>
      </c>
      <c r="BE59" s="335">
        <f t="shared" si="145"/>
        <v>7.4863760549484901</v>
      </c>
      <c r="BF59" s="335">
        <f t="shared" si="145"/>
        <v>7.4128782725973741</v>
      </c>
      <c r="BG59" s="335">
        <f t="shared" si="145"/>
        <v>6.6105174471934856</v>
      </c>
      <c r="BH59" s="335">
        <f t="shared" si="145"/>
        <v>6.4413176412543836</v>
      </c>
      <c r="BI59" s="335">
        <f t="shared" si="145"/>
        <v>6.0363497448323891</v>
      </c>
      <c r="BK59" s="278">
        <f t="shared" si="114"/>
        <v>-9.0282232080108731</v>
      </c>
      <c r="BL59" s="54">
        <f t="shared" si="115"/>
        <v>33.207166375573763</v>
      </c>
      <c r="BM59" s="54">
        <f t="shared" si="116"/>
        <v>24.178943167562895</v>
      </c>
      <c r="BO59" t="str">
        <f t="shared" si="137"/>
        <v>52 Skilled metal, electrical and electronic trades</v>
      </c>
      <c r="BP59" s="335">
        <f t="shared" si="146"/>
        <v>4.4745973973092488</v>
      </c>
      <c r="BQ59" s="335">
        <f t="shared" si="146"/>
        <v>4.4696310815453781</v>
      </c>
      <c r="BR59" s="335">
        <f t="shared" si="146"/>
        <v>4.0995907083500063</v>
      </c>
      <c r="BS59" s="335">
        <f t="shared" si="146"/>
        <v>4.0314240152237533</v>
      </c>
      <c r="BT59" s="335">
        <f t="shared" si="146"/>
        <v>3.9710480746197145</v>
      </c>
      <c r="BV59" s="278">
        <f t="shared" si="118"/>
        <v>-22.355507094263309</v>
      </c>
      <c r="BW59" s="54">
        <f t="shared" si="119"/>
        <v>32.967295325809005</v>
      </c>
      <c r="BX59" s="54">
        <f t="shared" si="120"/>
        <v>10.611788231545699</v>
      </c>
      <c r="BZ59" t="str">
        <f t="shared" si="138"/>
        <v>52 Skilled metal, electrical and electronic trades</v>
      </c>
      <c r="CA59" s="335">
        <f t="shared" si="147"/>
        <v>3.3912434438932317</v>
      </c>
      <c r="CB59" s="335">
        <f t="shared" si="147"/>
        <v>3.3586569753024493</v>
      </c>
      <c r="CC59" s="335">
        <f t="shared" si="147"/>
        <v>3.0501980151028398</v>
      </c>
      <c r="CD59" s="335">
        <f t="shared" si="147"/>
        <v>3.08690610953155</v>
      </c>
      <c r="CE59" s="335">
        <f t="shared" si="147"/>
        <v>2.5855964811819119</v>
      </c>
      <c r="CG59" s="278">
        <f t="shared" si="122"/>
        <v>-49.393248598911228</v>
      </c>
      <c r="CH59" s="54">
        <f t="shared" si="123"/>
        <v>27.841414192527509</v>
      </c>
      <c r="CI59" s="54">
        <f t="shared" si="124"/>
        <v>-21.551834406383716</v>
      </c>
      <c r="CK59" t="str">
        <f t="shared" si="139"/>
        <v>52 Skilled metal, electrical and electronic trades</v>
      </c>
      <c r="CL59" s="335">
        <f t="shared" si="148"/>
        <v>3.4300779044217786</v>
      </c>
      <c r="CM59" s="335">
        <f t="shared" si="148"/>
        <v>3.8662176094477982</v>
      </c>
      <c r="CN59" s="335">
        <f t="shared" si="148"/>
        <v>3.5329820193115382</v>
      </c>
      <c r="CO59" s="335">
        <f t="shared" si="148"/>
        <v>3.823622231775007</v>
      </c>
      <c r="CP59" s="335">
        <f t="shared" si="148"/>
        <v>3.3264998475425815</v>
      </c>
      <c r="CR59" s="278">
        <f t="shared" si="126"/>
        <v>-42.642249607439517</v>
      </c>
      <c r="CS59" s="54">
        <f t="shared" si="127"/>
        <v>25.963148360913685</v>
      </c>
      <c r="CT59" s="54">
        <f t="shared" si="128"/>
        <v>-16.679101246525835</v>
      </c>
    </row>
    <row r="60" spans="1:98">
      <c r="A60" t="str">
        <f t="shared" si="95"/>
        <v>53 Skilled construction and building trades</v>
      </c>
      <c r="B60" s="335">
        <f t="shared" si="140"/>
        <v>0.13793172988699198</v>
      </c>
      <c r="C60" s="335">
        <f t="shared" si="140"/>
        <v>8.297260629893756E-2</v>
      </c>
      <c r="D60" s="335">
        <f t="shared" si="140"/>
        <v>6.1569207060139436E-2</v>
      </c>
      <c r="E60" s="335">
        <f t="shared" si="140"/>
        <v>8.6897110032408922E-2</v>
      </c>
      <c r="F60" s="335">
        <f t="shared" si="140"/>
        <v>7.9729263133797898E-2</v>
      </c>
      <c r="H60" s="278">
        <f t="shared" si="129"/>
        <v>131.4576582985041</v>
      </c>
      <c r="I60" s="54">
        <f t="shared" si="130"/>
        <v>87.546530477414962</v>
      </c>
      <c r="J60" s="54">
        <f t="shared" si="131"/>
        <v>219.00418877591906</v>
      </c>
      <c r="L60" t="str">
        <f t="shared" si="132"/>
        <v>53 Skilled construction and building trades</v>
      </c>
      <c r="M60" s="335">
        <f t="shared" si="141"/>
        <v>0.35965010978132567</v>
      </c>
      <c r="N60" s="335">
        <f t="shared" si="141"/>
        <v>0.32597419572877312</v>
      </c>
      <c r="O60" s="335">
        <f t="shared" si="141"/>
        <v>0.25952773487191799</v>
      </c>
      <c r="P60" s="335">
        <f t="shared" si="141"/>
        <v>0.2963539283415827</v>
      </c>
      <c r="Q60" s="335">
        <f t="shared" si="141"/>
        <v>0.33526206443518769</v>
      </c>
      <c r="S60" s="278">
        <f t="shared" si="98"/>
        <v>132.93788509060681</v>
      </c>
      <c r="T60" s="54">
        <f t="shared" si="99"/>
        <v>87.861754862425016</v>
      </c>
      <c r="U60" s="54">
        <f t="shared" si="100"/>
        <v>220.79963995303186</v>
      </c>
      <c r="W60" t="str">
        <f t="shared" si="133"/>
        <v>53 Skilled construction and building trades</v>
      </c>
      <c r="X60" s="335">
        <f t="shared" si="142"/>
        <v>0.61346512327373615</v>
      </c>
      <c r="Y60" s="335">
        <f t="shared" si="142"/>
        <v>0.54609456210380836</v>
      </c>
      <c r="Z60" s="335">
        <f t="shared" si="142"/>
        <v>0.45942158564216951</v>
      </c>
      <c r="AA60" s="335">
        <f t="shared" si="142"/>
        <v>0.50406578640659327</v>
      </c>
      <c r="AB60" s="335">
        <f t="shared" si="142"/>
        <v>0.52138524452866786</v>
      </c>
      <c r="AD60" s="278">
        <f t="shared" si="102"/>
        <v>34.966815239894245</v>
      </c>
      <c r="AE60" s="54">
        <f t="shared" si="103"/>
        <v>65.629860152470314</v>
      </c>
      <c r="AF60" s="54">
        <f t="shared" si="104"/>
        <v>100.59667539236455</v>
      </c>
      <c r="AH60" t="str">
        <f t="shared" si="134"/>
        <v>53 Skilled construction and building trades</v>
      </c>
      <c r="AI60" s="335">
        <f t="shared" si="143"/>
        <v>1.262272284889985</v>
      </c>
      <c r="AJ60" s="335">
        <f t="shared" si="143"/>
        <v>1.3930130074625946</v>
      </c>
      <c r="AK60" s="335">
        <f t="shared" si="143"/>
        <v>1.1689553197334652</v>
      </c>
      <c r="AL60" s="335">
        <f t="shared" si="143"/>
        <v>1.3999292459906463</v>
      </c>
      <c r="AM60" s="335">
        <f t="shared" si="143"/>
        <v>1.5478007640188922</v>
      </c>
      <c r="AO60" s="278">
        <f t="shared" si="106"/>
        <v>45.039712425055939</v>
      </c>
      <c r="AP60" s="54">
        <f t="shared" si="107"/>
        <v>72.738435975489111</v>
      </c>
      <c r="AQ60" s="54">
        <f t="shared" si="108"/>
        <v>117.77814840054506</v>
      </c>
      <c r="AS60" t="str">
        <f t="shared" si="135"/>
        <v>53 Skilled construction and building trades</v>
      </c>
      <c r="AT60" s="335">
        <f t="shared" si="144"/>
        <v>2.0999153997686935</v>
      </c>
      <c r="AU60" s="335">
        <f t="shared" si="144"/>
        <v>1.9343151565649384</v>
      </c>
      <c r="AV60" s="335">
        <f t="shared" si="144"/>
        <v>1.6782728389989738</v>
      </c>
      <c r="AW60" s="335">
        <f t="shared" si="144"/>
        <v>1.8863534367441106</v>
      </c>
      <c r="AX60" s="335">
        <f t="shared" si="144"/>
        <v>1.856496141499133</v>
      </c>
      <c r="AZ60" s="278">
        <f t="shared" si="110"/>
        <v>30.498559976186595</v>
      </c>
      <c r="BA60" s="54">
        <f t="shared" si="111"/>
        <v>67.248400379450246</v>
      </c>
      <c r="BB60" s="54">
        <f t="shared" si="112"/>
        <v>97.746960355636844</v>
      </c>
      <c r="BD60" t="str">
        <f t="shared" si="136"/>
        <v>53 Skilled construction and building trades</v>
      </c>
      <c r="BE60" s="335">
        <f t="shared" si="145"/>
        <v>5.5843842656215976</v>
      </c>
      <c r="BF60" s="335">
        <f t="shared" si="145"/>
        <v>5.1302197524776103</v>
      </c>
      <c r="BG60" s="335">
        <f t="shared" si="145"/>
        <v>4.4994599047982007</v>
      </c>
      <c r="BH60" s="335">
        <f t="shared" si="145"/>
        <v>4.332633384106396</v>
      </c>
      <c r="BI60" s="335">
        <f t="shared" si="145"/>
        <v>3.7761724556417637</v>
      </c>
      <c r="BK60" s="278">
        <f t="shared" si="114"/>
        <v>-16.389817366155327</v>
      </c>
      <c r="BL60" s="54">
        <f t="shared" si="115"/>
        <v>34.931649267286417</v>
      </c>
      <c r="BM60" s="54">
        <f t="shared" si="116"/>
        <v>18.54183190113109</v>
      </c>
      <c r="BO60" t="str">
        <f t="shared" si="137"/>
        <v>53 Skilled construction and building trades</v>
      </c>
      <c r="BP60" s="335">
        <f t="shared" si="146"/>
        <v>4.8016062901929697</v>
      </c>
      <c r="BQ60" s="335">
        <f t="shared" si="146"/>
        <v>5.0464482747044119</v>
      </c>
      <c r="BR60" s="335">
        <f t="shared" si="146"/>
        <v>4.5836737035979347</v>
      </c>
      <c r="BS60" s="335">
        <f t="shared" si="146"/>
        <v>5.0197063283623873</v>
      </c>
      <c r="BT60" s="335">
        <f t="shared" si="146"/>
        <v>5.8517055124667881</v>
      </c>
      <c r="BV60" s="278">
        <f t="shared" si="118"/>
        <v>2.3327820853728665</v>
      </c>
      <c r="BW60" s="54">
        <f t="shared" si="119"/>
        <v>46.213317516583302</v>
      </c>
      <c r="BX60" s="54">
        <f t="shared" si="120"/>
        <v>48.546099601956165</v>
      </c>
      <c r="BZ60" t="str">
        <f t="shared" si="138"/>
        <v>53 Skilled construction and building trades</v>
      </c>
      <c r="CA60" s="335">
        <f t="shared" si="147"/>
        <v>3.793604897937493</v>
      </c>
      <c r="CB60" s="335">
        <f t="shared" si="147"/>
        <v>3.7763004839103407</v>
      </c>
      <c r="CC60" s="335">
        <f t="shared" si="147"/>
        <v>3.4226224969246806</v>
      </c>
      <c r="CD60" s="335">
        <f t="shared" si="147"/>
        <v>3.8485069432923029</v>
      </c>
      <c r="CE60" s="335">
        <f t="shared" si="147"/>
        <v>5.3292034375033444</v>
      </c>
      <c r="CG60" s="278">
        <f t="shared" si="122"/>
        <v>-7.0436538869428116</v>
      </c>
      <c r="CH60" s="54">
        <f t="shared" si="123"/>
        <v>38.427796896975927</v>
      </c>
      <c r="CI60" s="54">
        <f t="shared" si="124"/>
        <v>31.384143010033117</v>
      </c>
      <c r="CK60" t="str">
        <f t="shared" si="139"/>
        <v>53 Skilled construction and building trades</v>
      </c>
      <c r="CL60" s="335">
        <f t="shared" si="148"/>
        <v>5.5817022502919134</v>
      </c>
      <c r="CM60" s="335">
        <f t="shared" si="148"/>
        <v>5.5683608115448529</v>
      </c>
      <c r="CN60" s="335">
        <f t="shared" si="148"/>
        <v>4.9576360974360894</v>
      </c>
      <c r="CO60" s="335">
        <f t="shared" si="148"/>
        <v>4.2632479516261323</v>
      </c>
      <c r="CP60" s="335">
        <f t="shared" si="148"/>
        <v>1.4009532539147607</v>
      </c>
      <c r="CR60" s="278">
        <f t="shared" si="126"/>
        <v>-82.785475627105086</v>
      </c>
      <c r="CS60" s="54">
        <f t="shared" si="127"/>
        <v>15.655571129560958</v>
      </c>
      <c r="CT60" s="54">
        <f t="shared" si="128"/>
        <v>-67.129904497544118</v>
      </c>
    </row>
    <row r="61" spans="1:98">
      <c r="A61" t="str">
        <f t="shared" si="95"/>
        <v>54 Textiles, printing and other skilled trades</v>
      </c>
      <c r="B61" s="335">
        <f t="shared" si="140"/>
        <v>0.51461447358191847</v>
      </c>
      <c r="C61" s="335">
        <f t="shared" si="140"/>
        <v>0.4304520946734291</v>
      </c>
      <c r="D61" s="335">
        <f t="shared" si="140"/>
        <v>0.41107549240942415</v>
      </c>
      <c r="E61" s="335">
        <f t="shared" si="140"/>
        <v>0.48732874387015512</v>
      </c>
      <c r="F61" s="335">
        <f t="shared" si="140"/>
        <v>0.54280824094451086</v>
      </c>
      <c r="H61" s="278">
        <f t="shared" si="129"/>
        <v>136.01641641060985</v>
      </c>
      <c r="I61" s="54">
        <f t="shared" si="130"/>
        <v>89.77975088067474</v>
      </c>
      <c r="J61" s="54">
        <f t="shared" si="131"/>
        <v>225.79616729128458</v>
      </c>
      <c r="L61" t="str">
        <f t="shared" si="132"/>
        <v>54 Textiles, printing and other skilled trades</v>
      </c>
      <c r="M61" s="335">
        <f t="shared" si="141"/>
        <v>0.62907266410439266</v>
      </c>
      <c r="N61" s="335">
        <f t="shared" si="141"/>
        <v>0.59733424586304729</v>
      </c>
      <c r="O61" s="335">
        <f t="shared" si="141"/>
        <v>0.5868208768167662</v>
      </c>
      <c r="P61" s="335">
        <f t="shared" si="141"/>
        <v>0.68124947056864749</v>
      </c>
      <c r="Q61" s="335">
        <f t="shared" si="141"/>
        <v>0.87055685581464148</v>
      </c>
      <c r="S61" s="278">
        <f t="shared" si="98"/>
        <v>167.5044884809173</v>
      </c>
      <c r="T61" s="54">
        <f t="shared" si="99"/>
        <v>98.159544936368192</v>
      </c>
      <c r="U61" s="54">
        <f t="shared" si="100"/>
        <v>265.66403341728551</v>
      </c>
      <c r="W61" t="str">
        <f t="shared" si="133"/>
        <v>54 Textiles, printing and other skilled trades</v>
      </c>
      <c r="X61" s="335">
        <f t="shared" si="142"/>
        <v>0.93207352564464041</v>
      </c>
      <c r="Y61" s="335">
        <f t="shared" si="142"/>
        <v>0.86106307112157732</v>
      </c>
      <c r="Z61" s="335">
        <f t="shared" si="142"/>
        <v>0.80597013061150924</v>
      </c>
      <c r="AA61" s="335">
        <f t="shared" si="142"/>
        <v>0.98049450770511903</v>
      </c>
      <c r="AB61" s="335">
        <f t="shared" si="142"/>
        <v>1.1555733720806762</v>
      </c>
      <c r="AD61" s="278">
        <f t="shared" si="102"/>
        <v>70.513291951108101</v>
      </c>
      <c r="AE61" s="54">
        <f t="shared" si="103"/>
        <v>78.338245440599621</v>
      </c>
      <c r="AF61" s="54">
        <f t="shared" si="104"/>
        <v>148.85153739170772</v>
      </c>
      <c r="AH61" t="str">
        <f t="shared" si="134"/>
        <v>54 Textiles, printing and other skilled trades</v>
      </c>
      <c r="AI61" s="335">
        <f t="shared" si="143"/>
        <v>1.2145205831502637</v>
      </c>
      <c r="AJ61" s="335">
        <f t="shared" si="143"/>
        <v>1.1711289396158977</v>
      </c>
      <c r="AK61" s="335">
        <f t="shared" si="143"/>
        <v>1.1817203824243931</v>
      </c>
      <c r="AL61" s="335">
        <f t="shared" si="143"/>
        <v>1.323975270763817</v>
      </c>
      <c r="AM61" s="335">
        <f t="shared" si="143"/>
        <v>1.5360090036696752</v>
      </c>
      <c r="AO61" s="278">
        <f t="shared" si="106"/>
        <v>42.379944751870674</v>
      </c>
      <c r="AP61" s="54">
        <f t="shared" si="107"/>
        <v>68.765760069099983</v>
      </c>
      <c r="AQ61" s="54">
        <f t="shared" si="108"/>
        <v>111.14570482097066</v>
      </c>
      <c r="AS61" t="str">
        <f t="shared" si="135"/>
        <v>54 Textiles, printing and other skilled trades</v>
      </c>
      <c r="AT61" s="335">
        <f t="shared" si="144"/>
        <v>1.541897388585902</v>
      </c>
      <c r="AU61" s="335">
        <f t="shared" si="144"/>
        <v>1.3902632951251064</v>
      </c>
      <c r="AV61" s="335">
        <f t="shared" si="144"/>
        <v>1.3367040754216839</v>
      </c>
      <c r="AW61" s="335">
        <f t="shared" si="144"/>
        <v>1.5121927799415809</v>
      </c>
      <c r="AX61" s="335">
        <f t="shared" si="144"/>
        <v>1.6316829990701596</v>
      </c>
      <c r="AZ61" s="278">
        <f t="shared" si="110"/>
        <v>44.004064718604418</v>
      </c>
      <c r="BA61" s="54">
        <f t="shared" si="111"/>
        <v>68.19670751583547</v>
      </c>
      <c r="BB61" s="54">
        <f t="shared" si="112"/>
        <v>112.2007722344399</v>
      </c>
      <c r="BD61" t="str">
        <f t="shared" si="136"/>
        <v>54 Textiles, printing and other skilled trades</v>
      </c>
      <c r="BE61" s="335">
        <f t="shared" si="145"/>
        <v>2.6643323320260559</v>
      </c>
      <c r="BF61" s="335">
        <f t="shared" si="145"/>
        <v>2.4203135930131974</v>
      </c>
      <c r="BG61" s="335">
        <f t="shared" si="145"/>
        <v>2.2912844270007717</v>
      </c>
      <c r="BH61" s="335">
        <f t="shared" si="145"/>
        <v>2.5719188708872869</v>
      </c>
      <c r="BI61" s="335">
        <f t="shared" si="145"/>
        <v>2.6726482758435783</v>
      </c>
      <c r="BK61" s="278">
        <f t="shared" si="114"/>
        <v>16.206532799786384</v>
      </c>
      <c r="BL61" s="54">
        <f t="shared" si="115"/>
        <v>46.067210498795511</v>
      </c>
      <c r="BM61" s="54">
        <f t="shared" si="116"/>
        <v>62.273743298581884</v>
      </c>
      <c r="BO61" t="str">
        <f t="shared" si="137"/>
        <v>54 Textiles, printing and other skilled trades</v>
      </c>
      <c r="BP61" s="335">
        <f t="shared" si="146"/>
        <v>2.8345725845843361</v>
      </c>
      <c r="BQ61" s="335">
        <f t="shared" si="146"/>
        <v>2.4040255789844207</v>
      </c>
      <c r="BR61" s="335">
        <f t="shared" si="146"/>
        <v>2.4396596417407541</v>
      </c>
      <c r="BS61" s="335">
        <f t="shared" si="146"/>
        <v>2.363840475595588</v>
      </c>
      <c r="BT61" s="335">
        <f t="shared" si="146"/>
        <v>2.4397718703083382</v>
      </c>
      <c r="BV61" s="278">
        <f t="shared" si="118"/>
        <v>-19.838471222226332</v>
      </c>
      <c r="BW61" s="54">
        <f t="shared" si="119"/>
        <v>35.198110182395048</v>
      </c>
      <c r="BX61" s="54">
        <f t="shared" si="120"/>
        <v>15.359638960168716</v>
      </c>
      <c r="BZ61" t="str">
        <f t="shared" si="138"/>
        <v>54 Textiles, printing and other skilled trades</v>
      </c>
      <c r="CA61" s="335">
        <f t="shared" si="147"/>
        <v>3.5731542185163208</v>
      </c>
      <c r="CB61" s="335">
        <f t="shared" si="147"/>
        <v>3.3266440139830058</v>
      </c>
      <c r="CC61" s="335">
        <f t="shared" si="147"/>
        <v>3.3581798180693934</v>
      </c>
      <c r="CD61" s="335">
        <f t="shared" si="147"/>
        <v>3.9051431024910546</v>
      </c>
      <c r="CE61" s="335">
        <f t="shared" si="147"/>
        <v>4.5304029180155805</v>
      </c>
      <c r="CG61" s="278">
        <f t="shared" si="122"/>
        <v>-19.460556087676984</v>
      </c>
      <c r="CH61" s="54">
        <f t="shared" si="123"/>
        <v>34.581457426908862</v>
      </c>
      <c r="CI61" s="54">
        <f t="shared" si="124"/>
        <v>15.120901339231882</v>
      </c>
      <c r="CK61" t="str">
        <f t="shared" si="139"/>
        <v>54 Textiles, printing and other skilled trades</v>
      </c>
      <c r="CL61" s="335">
        <f t="shared" si="148"/>
        <v>4.2722278134447</v>
      </c>
      <c r="CM61" s="335">
        <f t="shared" si="148"/>
        <v>3.9642778076843155</v>
      </c>
      <c r="CN61" s="335">
        <f t="shared" si="148"/>
        <v>3.9972224300993937</v>
      </c>
      <c r="CO61" s="335">
        <f t="shared" si="148"/>
        <v>3.4247553654607459</v>
      </c>
      <c r="CP61" s="335">
        <f t="shared" si="148"/>
        <v>3.0119481575865792</v>
      </c>
      <c r="CR61" s="278">
        <f t="shared" si="126"/>
        <v>-54.097619821805544</v>
      </c>
      <c r="CS61" s="54">
        <f t="shared" si="127"/>
        <v>20.04806778707081</v>
      </c>
      <c r="CT61" s="54">
        <f t="shared" si="128"/>
        <v>-34.049552034734731</v>
      </c>
    </row>
    <row r="62" spans="1:98">
      <c r="A62" t="str">
        <f t="shared" si="95"/>
        <v>61 Caring personal service occupations</v>
      </c>
      <c r="B62" s="335">
        <f t="shared" si="140"/>
        <v>0.39234354947552952</v>
      </c>
      <c r="C62" s="335">
        <f t="shared" si="140"/>
        <v>0.37235033612819834</v>
      </c>
      <c r="D62" s="335">
        <f t="shared" si="140"/>
        <v>0.35561711274716312</v>
      </c>
      <c r="E62" s="335">
        <f t="shared" si="140"/>
        <v>0.41961297565231026</v>
      </c>
      <c r="F62" s="335">
        <f t="shared" si="140"/>
        <v>0.49653594909232796</v>
      </c>
      <c r="H62" s="278">
        <f t="shared" si="129"/>
        <v>149.5659953937371</v>
      </c>
      <c r="I62" s="54">
        <f t="shared" si="130"/>
        <v>97.923661360719436</v>
      </c>
      <c r="J62" s="54">
        <f t="shared" si="131"/>
        <v>247.48965675445652</v>
      </c>
      <c r="L62" t="str">
        <f t="shared" si="132"/>
        <v>61 Caring personal service occupations</v>
      </c>
      <c r="M62" s="335">
        <f t="shared" si="141"/>
        <v>2.5769512247269737</v>
      </c>
      <c r="N62" s="335">
        <f t="shared" si="141"/>
        <v>2.697822296974405</v>
      </c>
      <c r="O62" s="335">
        <f t="shared" si="141"/>
        <v>2.5289348961191402</v>
      </c>
      <c r="P62" s="335">
        <f t="shared" si="141"/>
        <v>2.8830915970155484</v>
      </c>
      <c r="Q62" s="335">
        <f t="shared" si="141"/>
        <v>3.2857703875779567</v>
      </c>
      <c r="S62" s="278">
        <f t="shared" si="98"/>
        <v>134.28206943047772</v>
      </c>
      <c r="T62" s="54">
        <f t="shared" si="99"/>
        <v>100.57317552790354</v>
      </c>
      <c r="U62" s="54">
        <f t="shared" si="100"/>
        <v>234.85524495838126</v>
      </c>
      <c r="W62" t="str">
        <f t="shared" si="133"/>
        <v>61 Caring personal service occupations</v>
      </c>
      <c r="X62" s="335">
        <f t="shared" si="142"/>
        <v>4.1406595113466826</v>
      </c>
      <c r="Y62" s="335">
        <f t="shared" si="142"/>
        <v>4.2366450904158839</v>
      </c>
      <c r="Z62" s="335">
        <f t="shared" si="142"/>
        <v>4.1110190863780538</v>
      </c>
      <c r="AA62" s="335">
        <f t="shared" si="142"/>
        <v>4.4879358976316928</v>
      </c>
      <c r="AB62" s="335">
        <f t="shared" si="142"/>
        <v>4.8915340418427871</v>
      </c>
      <c r="AD62" s="278">
        <f t="shared" si="102"/>
        <v>41.506127942836358</v>
      </c>
      <c r="AE62" s="54">
        <f t="shared" si="103"/>
        <v>80.772001145434587</v>
      </c>
      <c r="AF62" s="54">
        <f t="shared" si="104"/>
        <v>122.27812908827093</v>
      </c>
      <c r="AH62" t="str">
        <f t="shared" si="134"/>
        <v>61 Caring personal service occupations</v>
      </c>
      <c r="AI62" s="335">
        <f t="shared" si="143"/>
        <v>12.855254126966726</v>
      </c>
      <c r="AJ62" s="335">
        <f t="shared" si="143"/>
        <v>12.713608729564264</v>
      </c>
      <c r="AK62" s="335">
        <f t="shared" si="143"/>
        <v>12.438026883294805</v>
      </c>
      <c r="AL62" s="335">
        <f t="shared" si="143"/>
        <v>12.299702849876077</v>
      </c>
      <c r="AM62" s="335">
        <f t="shared" si="143"/>
        <v>11.742170498274376</v>
      </c>
      <c r="AO62" s="278">
        <f t="shared" si="106"/>
        <v>3.4109852672478054</v>
      </c>
      <c r="AP62" s="54">
        <f t="shared" si="107"/>
        <v>59.680741413470187</v>
      </c>
      <c r="AQ62" s="54">
        <f t="shared" si="108"/>
        <v>63.091726680717976</v>
      </c>
      <c r="AS62" t="str">
        <f t="shared" si="135"/>
        <v>61 Caring personal service occupations</v>
      </c>
      <c r="AT62" s="335">
        <f t="shared" si="144"/>
        <v>7.2344550608103519</v>
      </c>
      <c r="AU62" s="335">
        <f t="shared" si="144"/>
        <v>7.3171054462100464</v>
      </c>
      <c r="AV62" s="335">
        <f t="shared" si="144"/>
        <v>7.1382141848324601</v>
      </c>
      <c r="AW62" s="335">
        <f t="shared" si="144"/>
        <v>6.9953020064727545</v>
      </c>
      <c r="AX62" s="335">
        <f t="shared" si="144"/>
        <v>6.800456402182399</v>
      </c>
      <c r="AZ62" s="278">
        <f t="shared" si="110"/>
        <v>12.388718739807031</v>
      </c>
      <c r="BA62" s="54">
        <f t="shared" si="111"/>
        <v>63.851958182159429</v>
      </c>
      <c r="BB62" s="54">
        <f t="shared" si="112"/>
        <v>76.240676921966468</v>
      </c>
      <c r="BD62" t="str">
        <f t="shared" si="136"/>
        <v>61 Caring personal service occupations</v>
      </c>
      <c r="BE62" s="335">
        <f t="shared" si="145"/>
        <v>11.822509213966534</v>
      </c>
      <c r="BF62" s="335">
        <f t="shared" si="145"/>
        <v>12.708451525050513</v>
      </c>
      <c r="BG62" s="335">
        <f t="shared" si="145"/>
        <v>12.54706173516022</v>
      </c>
      <c r="BH62" s="335">
        <f t="shared" si="145"/>
        <v>13.477098358729403</v>
      </c>
      <c r="BI62" s="335">
        <f t="shared" si="145"/>
        <v>15.273582883726627</v>
      </c>
      <c r="BK62" s="278">
        <f t="shared" si="114"/>
        <v>21.273700393807474</v>
      </c>
      <c r="BL62" s="54">
        <f t="shared" si="115"/>
        <v>62.033646534844259</v>
      </c>
      <c r="BM62" s="54">
        <f t="shared" si="116"/>
        <v>83.307346928651711</v>
      </c>
      <c r="BO62" t="str">
        <f t="shared" si="137"/>
        <v>61 Caring personal service occupations</v>
      </c>
      <c r="BP62" s="335">
        <f t="shared" si="146"/>
        <v>9.6019277073254354</v>
      </c>
      <c r="BQ62" s="335">
        <f t="shared" si="146"/>
        <v>9.4212092817204489</v>
      </c>
      <c r="BR62" s="335">
        <f t="shared" si="146"/>
        <v>9.1840239689202967</v>
      </c>
      <c r="BS62" s="335">
        <f t="shared" si="146"/>
        <v>9.1252176001472129</v>
      </c>
      <c r="BT62" s="335">
        <f t="shared" si="146"/>
        <v>8.7367219330389485</v>
      </c>
      <c r="BV62" s="278">
        <f t="shared" si="118"/>
        <v>-23.746195214139863</v>
      </c>
      <c r="BW62" s="54">
        <f t="shared" si="119"/>
        <v>44.033317668131509</v>
      </c>
      <c r="BX62" s="54">
        <f t="shared" si="120"/>
        <v>20.28712245399165</v>
      </c>
      <c r="BZ62" t="str">
        <f t="shared" si="138"/>
        <v>61 Caring personal service occupations</v>
      </c>
      <c r="CA62" s="335">
        <f t="shared" si="147"/>
        <v>4.183362403706008</v>
      </c>
      <c r="CB62" s="335">
        <f t="shared" si="147"/>
        <v>2.5765833768742672</v>
      </c>
      <c r="CC62" s="335">
        <f t="shared" si="147"/>
        <v>2.3894266676285909</v>
      </c>
      <c r="CD62" s="335">
        <f t="shared" si="147"/>
        <v>2.014105405682471</v>
      </c>
      <c r="CE62" s="335">
        <f t="shared" si="147"/>
        <v>2.5034567417966525</v>
      </c>
      <c r="CG62" s="278">
        <f t="shared" si="122"/>
        <v>-37.450746538272725</v>
      </c>
      <c r="CH62" s="54">
        <f t="shared" si="123"/>
        <v>23.626614000511964</v>
      </c>
      <c r="CI62" s="54">
        <f t="shared" si="124"/>
        <v>-13.824132537760761</v>
      </c>
      <c r="CK62" t="str">
        <f t="shared" si="139"/>
        <v>61 Caring personal service occupations</v>
      </c>
      <c r="CL62" s="335">
        <f t="shared" si="148"/>
        <v>1.7676471650078185</v>
      </c>
      <c r="CM62" s="335">
        <f t="shared" si="148"/>
        <v>1.6831519587223693</v>
      </c>
      <c r="CN62" s="335">
        <f t="shared" si="148"/>
        <v>1.7346364377090011</v>
      </c>
      <c r="CO62" s="335">
        <f t="shared" si="148"/>
        <v>2.250751302166055</v>
      </c>
      <c r="CP62" s="335">
        <f t="shared" si="148"/>
        <v>2.9906423579586647</v>
      </c>
      <c r="CR62" s="278">
        <f t="shared" si="126"/>
        <v>5.0272620869357754</v>
      </c>
      <c r="CS62" s="54">
        <f t="shared" si="127"/>
        <v>29.950347261691029</v>
      </c>
      <c r="CT62" s="54">
        <f t="shared" si="128"/>
        <v>34.977609348626807</v>
      </c>
    </row>
    <row r="63" spans="1:98">
      <c r="A63" t="str">
        <f t="shared" si="95"/>
        <v>62 Leisure, travel and related personal service occupations</v>
      </c>
      <c r="B63" s="335">
        <f t="shared" si="140"/>
        <v>0.17251990477576146</v>
      </c>
      <c r="C63" s="335">
        <f t="shared" si="140"/>
        <v>0.20332091079707468</v>
      </c>
      <c r="D63" s="335">
        <f t="shared" si="140"/>
        <v>0.20248661520274935</v>
      </c>
      <c r="E63" s="335">
        <f t="shared" si="140"/>
        <v>0.21279969949120053</v>
      </c>
      <c r="F63" s="335">
        <f t="shared" si="140"/>
        <v>0.24777459971761276</v>
      </c>
      <c r="H63" s="278">
        <f t="shared" si="129"/>
        <v>118.71462659794238</v>
      </c>
      <c r="I63" s="54">
        <f t="shared" si="130"/>
        <v>89.42529178050313</v>
      </c>
      <c r="J63" s="54">
        <f t="shared" si="131"/>
        <v>208.13991837844554</v>
      </c>
      <c r="L63" t="str">
        <f t="shared" si="132"/>
        <v>62 Leisure, travel and related personal service occupations</v>
      </c>
      <c r="M63" s="335">
        <f t="shared" si="141"/>
        <v>0.50076636401306984</v>
      </c>
      <c r="N63" s="335">
        <f t="shared" si="141"/>
        <v>0.51063236001924717</v>
      </c>
      <c r="O63" s="335">
        <f t="shared" si="141"/>
        <v>0.44330413963589199</v>
      </c>
      <c r="P63" s="335">
        <f t="shared" si="141"/>
        <v>0.42703539275746633</v>
      </c>
      <c r="Q63" s="335">
        <f t="shared" si="141"/>
        <v>0.47824373526563246</v>
      </c>
      <c r="S63" s="278">
        <f t="shared" si="98"/>
        <v>94.530181642437</v>
      </c>
      <c r="T63" s="54">
        <f t="shared" si="99"/>
        <v>80.78908289488929</v>
      </c>
      <c r="U63" s="54">
        <f t="shared" si="100"/>
        <v>175.31926453732632</v>
      </c>
      <c r="W63" t="str">
        <f t="shared" si="133"/>
        <v>62 Leisure, travel and related personal service occupations</v>
      </c>
      <c r="X63" s="335">
        <f t="shared" si="142"/>
        <v>1.096858870479124</v>
      </c>
      <c r="Y63" s="335">
        <f t="shared" si="142"/>
        <v>1.2252545594326238</v>
      </c>
      <c r="Z63" s="335">
        <f t="shared" si="142"/>
        <v>1.1152985235676693</v>
      </c>
      <c r="AA63" s="335">
        <f t="shared" si="142"/>
        <v>1.2079374092923847</v>
      </c>
      <c r="AB63" s="335">
        <f t="shared" si="142"/>
        <v>1.4525139212743021</v>
      </c>
      <c r="AD63" s="278">
        <f t="shared" si="102"/>
        <v>54.884813257526702</v>
      </c>
      <c r="AE63" s="54">
        <f t="shared" si="103"/>
        <v>78.506075326694869</v>
      </c>
      <c r="AF63" s="54">
        <f t="shared" si="104"/>
        <v>133.39088858422156</v>
      </c>
      <c r="AH63" t="str">
        <f t="shared" si="134"/>
        <v>62 Leisure, travel and related personal service occupations</v>
      </c>
      <c r="AI63" s="335">
        <f t="shared" si="143"/>
        <v>2.2626274159775179</v>
      </c>
      <c r="AJ63" s="335">
        <f t="shared" si="143"/>
        <v>2.7896852374878356</v>
      </c>
      <c r="AK63" s="335">
        <f t="shared" si="143"/>
        <v>2.6121756038822741</v>
      </c>
      <c r="AL63" s="335">
        <f t="shared" si="143"/>
        <v>2.7768469448981419</v>
      </c>
      <c r="AM63" s="335">
        <f t="shared" si="143"/>
        <v>3.3546311315452186</v>
      </c>
      <c r="AO63" s="278">
        <f t="shared" si="106"/>
        <v>40.673466289231996</v>
      </c>
      <c r="AP63" s="54">
        <f t="shared" si="107"/>
        <v>73.6377675757345</v>
      </c>
      <c r="AQ63" s="54">
        <f t="shared" si="108"/>
        <v>114.31123386496651</v>
      </c>
      <c r="AS63" t="str">
        <f t="shared" si="135"/>
        <v>62 Leisure, travel and related personal service occupations</v>
      </c>
      <c r="AT63" s="335">
        <f t="shared" si="144"/>
        <v>2.8026856849716411</v>
      </c>
      <c r="AU63" s="335">
        <f t="shared" si="144"/>
        <v>3.2825955584187576</v>
      </c>
      <c r="AV63" s="335">
        <f t="shared" si="144"/>
        <v>3.2863828911984716</v>
      </c>
      <c r="AW63" s="335">
        <f t="shared" si="144"/>
        <v>3.3933109843103959</v>
      </c>
      <c r="AX63" s="335">
        <f t="shared" si="144"/>
        <v>4.1680431378339762</v>
      </c>
      <c r="AZ63" s="278">
        <f t="shared" si="110"/>
        <v>49.619527390484336</v>
      </c>
      <c r="BA63" s="54">
        <f t="shared" si="111"/>
        <v>76.609264947395872</v>
      </c>
      <c r="BB63" s="54">
        <f t="shared" si="112"/>
        <v>126.22879233788021</v>
      </c>
      <c r="BD63" t="str">
        <f t="shared" si="136"/>
        <v>62 Leisure, travel and related personal service occupations</v>
      </c>
      <c r="BE63" s="335">
        <f t="shared" si="145"/>
        <v>2.8280021337699797</v>
      </c>
      <c r="BF63" s="335">
        <f t="shared" si="145"/>
        <v>2.8559484984419239</v>
      </c>
      <c r="BG63" s="335">
        <f t="shared" si="145"/>
        <v>2.6728091584591209</v>
      </c>
      <c r="BH63" s="335">
        <f t="shared" si="145"/>
        <v>2.4479099357586391</v>
      </c>
      <c r="BI63" s="335">
        <f t="shared" si="145"/>
        <v>2.2294590673428085</v>
      </c>
      <c r="BK63" s="278">
        <f t="shared" si="114"/>
        <v>-16.900331645881963</v>
      </c>
      <c r="BL63" s="54">
        <f t="shared" si="115"/>
        <v>40.781214686648731</v>
      </c>
      <c r="BM63" s="54">
        <f t="shared" si="116"/>
        <v>23.880883040766765</v>
      </c>
      <c r="BO63" t="str">
        <f t="shared" si="137"/>
        <v>62 Leisure, travel and related personal service occupations</v>
      </c>
      <c r="BP63" s="335">
        <f t="shared" si="146"/>
        <v>2.8853625265334726</v>
      </c>
      <c r="BQ63" s="335">
        <f t="shared" si="146"/>
        <v>2.9373542076142858</v>
      </c>
      <c r="BR63" s="335">
        <f t="shared" si="146"/>
        <v>2.8049099096779151</v>
      </c>
      <c r="BS63" s="335">
        <f t="shared" si="146"/>
        <v>2.4682788322735534</v>
      </c>
      <c r="BT63" s="335">
        <f t="shared" si="146"/>
        <v>2.307220563902574</v>
      </c>
      <c r="BV63" s="278">
        <f t="shared" si="118"/>
        <v>-34.0649696634094</v>
      </c>
      <c r="BW63" s="54">
        <f t="shared" si="119"/>
        <v>37.428561310523087</v>
      </c>
      <c r="BX63" s="54">
        <f t="shared" si="120"/>
        <v>3.3635916471136889</v>
      </c>
      <c r="BZ63" t="str">
        <f t="shared" si="138"/>
        <v>62 Leisure, travel and related personal service occupations</v>
      </c>
      <c r="CA63" s="335">
        <f t="shared" si="147"/>
        <v>2.6749685812220236</v>
      </c>
      <c r="CB63" s="335">
        <f t="shared" si="147"/>
        <v>2.9647977976085707</v>
      </c>
      <c r="CC63" s="335">
        <f t="shared" si="147"/>
        <v>2.8882827663043042</v>
      </c>
      <c r="CD63" s="335">
        <f t="shared" si="147"/>
        <v>2.8805857680875202</v>
      </c>
      <c r="CE63" s="335">
        <f t="shared" si="147"/>
        <v>3.3129513688686782</v>
      </c>
      <c r="CG63" s="278">
        <f t="shared" si="122"/>
        <v>-31.521995282159391</v>
      </c>
      <c r="CH63" s="54">
        <f t="shared" si="123"/>
        <v>34.424299834632407</v>
      </c>
      <c r="CI63" s="54">
        <f t="shared" si="124"/>
        <v>2.9023045524730118</v>
      </c>
      <c r="CK63" t="str">
        <f t="shared" si="139"/>
        <v>62 Leisure, travel and related personal service occupations</v>
      </c>
      <c r="CL63" s="335">
        <f t="shared" si="148"/>
        <v>2.8658909108718942</v>
      </c>
      <c r="CM63" s="335">
        <f t="shared" si="148"/>
        <v>2.8749010268988346</v>
      </c>
      <c r="CN63" s="335">
        <f t="shared" si="148"/>
        <v>2.8463068033746564</v>
      </c>
      <c r="CO63" s="335">
        <f t="shared" si="148"/>
        <v>2.3212856456957467</v>
      </c>
      <c r="CP63" s="335">
        <f t="shared" si="148"/>
        <v>1.9688564333330156</v>
      </c>
      <c r="CR63" s="278">
        <f t="shared" si="126"/>
        <v>-57.861568390808991</v>
      </c>
      <c r="CS63" s="54">
        <f t="shared" si="127"/>
        <v>19.569415761597764</v>
      </c>
      <c r="CT63" s="54">
        <f t="shared" si="128"/>
        <v>-38.292152629211223</v>
      </c>
    </row>
    <row r="64" spans="1:98">
      <c r="A64" t="str">
        <f t="shared" si="95"/>
        <v>63 Community and civil enforcement occupations</v>
      </c>
      <c r="B64" s="335">
        <f t="shared" si="140"/>
        <v>1.6509722290152799E-2</v>
      </c>
      <c r="C64" s="335">
        <f t="shared" si="140"/>
        <v>1.4136551901005167E-2</v>
      </c>
      <c r="D64" s="335">
        <f t="shared" si="140"/>
        <v>1.4776532208342843E-2</v>
      </c>
      <c r="E64" s="335">
        <f t="shared" si="140"/>
        <v>1.3916641948017098E-2</v>
      </c>
      <c r="F64" s="335">
        <f t="shared" si="140"/>
        <v>1.5972989371854977E-2</v>
      </c>
      <c r="H64" s="278">
        <f t="shared" si="129"/>
        <v>93.210641741807478</v>
      </c>
      <c r="I64" s="54">
        <f t="shared" si="130"/>
        <v>80.952952846367353</v>
      </c>
      <c r="J64" s="54">
        <f t="shared" si="131"/>
        <v>174.16359458817482</v>
      </c>
      <c r="L64" t="str">
        <f t="shared" si="132"/>
        <v>63 Community and civil enforcement occupations</v>
      </c>
      <c r="M64" s="335">
        <f t="shared" si="141"/>
        <v>3.980931104821632E-2</v>
      </c>
      <c r="N64" s="335">
        <f t="shared" si="141"/>
        <v>3.1590361459277544E-2</v>
      </c>
      <c r="O64" s="335">
        <f t="shared" si="141"/>
        <v>4.0218283164257095E-2</v>
      </c>
      <c r="P64" s="335">
        <f t="shared" si="141"/>
        <v>3.0061350686691045E-2</v>
      </c>
      <c r="Q64" s="335">
        <f t="shared" si="141"/>
        <v>3.6360397977340551E-2</v>
      </c>
      <c r="S64" s="278">
        <f t="shared" si="98"/>
        <v>63.02138930927579</v>
      </c>
      <c r="T64" s="54">
        <f t="shared" si="99"/>
        <v>65.321207340795112</v>
      </c>
      <c r="U64" s="54">
        <f t="shared" si="100"/>
        <v>128.3425966500709</v>
      </c>
      <c r="W64" t="str">
        <f t="shared" si="133"/>
        <v>63 Community and civil enforcement occupations</v>
      </c>
      <c r="X64" s="335">
        <f t="shared" si="142"/>
        <v>8.4698909662779709E-2</v>
      </c>
      <c r="Y64" s="335">
        <f t="shared" si="142"/>
        <v>8.0356376265192597E-2</v>
      </c>
      <c r="Z64" s="335">
        <f t="shared" si="142"/>
        <v>8.6073237214617168E-2</v>
      </c>
      <c r="AA64" s="335">
        <f t="shared" si="142"/>
        <v>8.2109095281258759E-2</v>
      </c>
      <c r="AB64" s="335">
        <f t="shared" si="142"/>
        <v>9.1160471937821438E-2</v>
      </c>
      <c r="AD64" s="278">
        <f t="shared" si="102"/>
        <v>25.955776044390365</v>
      </c>
      <c r="AE64" s="54">
        <f t="shared" si="103"/>
        <v>71.835081452217466</v>
      </c>
      <c r="AF64" s="54">
        <f t="shared" si="104"/>
        <v>97.790857496607813</v>
      </c>
      <c r="AH64" t="str">
        <f t="shared" si="134"/>
        <v>63 Community and civil enforcement occupations</v>
      </c>
      <c r="AI64" s="335">
        <f t="shared" si="143"/>
        <v>8.3186123033149345E-2</v>
      </c>
      <c r="AJ64" s="335">
        <f t="shared" si="143"/>
        <v>7.9081507465567538E-2</v>
      </c>
      <c r="AK64" s="335">
        <f t="shared" si="143"/>
        <v>0.10053863364113687</v>
      </c>
      <c r="AL64" s="335">
        <f t="shared" si="143"/>
        <v>7.8091914197487039E-2</v>
      </c>
      <c r="AM64" s="335">
        <f t="shared" si="143"/>
        <v>8.7515029172904477E-2</v>
      </c>
      <c r="AO64" s="278">
        <f t="shared" si="106"/>
        <v>-4.6502742596473521</v>
      </c>
      <c r="AP64" s="54">
        <f t="shared" si="107"/>
        <v>51.794370211424237</v>
      </c>
      <c r="AQ64" s="54">
        <f t="shared" si="108"/>
        <v>47.14409595177689</v>
      </c>
      <c r="AS64" t="str">
        <f t="shared" si="135"/>
        <v>63 Community and civil enforcement occupations</v>
      </c>
      <c r="AT64" s="335">
        <f t="shared" si="144"/>
        <v>8.7594213170107696E-2</v>
      </c>
      <c r="AU64" s="335">
        <f t="shared" si="144"/>
        <v>7.126231206070914E-2</v>
      </c>
      <c r="AV64" s="335">
        <f t="shared" si="144"/>
        <v>8.564219979010515E-2</v>
      </c>
      <c r="AW64" s="335">
        <f t="shared" si="144"/>
        <v>5.878400460911376E-2</v>
      </c>
      <c r="AX64" s="335">
        <f t="shared" si="144"/>
        <v>5.5743587371173589E-2</v>
      </c>
      <c r="AZ64" s="278">
        <f t="shared" si="110"/>
        <v>-23.214125499633472</v>
      </c>
      <c r="BA64" s="54">
        <f t="shared" si="111"/>
        <v>47.175478801941331</v>
      </c>
      <c r="BB64" s="54">
        <f t="shared" si="112"/>
        <v>23.96135330230786</v>
      </c>
      <c r="BD64" t="str">
        <f t="shared" si="136"/>
        <v>63 Community and civil enforcement occupations</v>
      </c>
      <c r="BE64" s="335">
        <f t="shared" si="145"/>
        <v>9.0166311935829718E-2</v>
      </c>
      <c r="BF64" s="335">
        <f t="shared" si="145"/>
        <v>6.1141177110878832E-2</v>
      </c>
      <c r="BG64" s="335">
        <f t="shared" si="145"/>
        <v>8.7574842003585063E-2</v>
      </c>
      <c r="BH64" s="335">
        <f t="shared" si="145"/>
        <v>5.4195093006000852E-2</v>
      </c>
      <c r="BI64" s="335">
        <f t="shared" si="145"/>
        <v>5.8993760108429445E-2</v>
      </c>
      <c r="BK64" s="278">
        <f t="shared" si="114"/>
        <v>-32.888885126627009</v>
      </c>
      <c r="BL64" s="54">
        <f t="shared" si="115"/>
        <v>25.301238748303902</v>
      </c>
      <c r="BM64" s="54">
        <f t="shared" si="116"/>
        <v>-7.5876463783231092</v>
      </c>
      <c r="BO64" t="str">
        <f t="shared" si="137"/>
        <v>63 Community and civil enforcement occupations</v>
      </c>
      <c r="BP64" s="335">
        <f t="shared" si="146"/>
        <v>0.12412750563786262</v>
      </c>
      <c r="BQ64" s="335">
        <f t="shared" si="146"/>
        <v>0.10531731486813756</v>
      </c>
      <c r="BR64" s="335">
        <f t="shared" si="146"/>
        <v>0.13959526625662932</v>
      </c>
      <c r="BS64" s="335">
        <f t="shared" si="146"/>
        <v>9.8924490680240798E-2</v>
      </c>
      <c r="BT64" s="335">
        <f t="shared" si="146"/>
        <v>0.11517073312936039</v>
      </c>
      <c r="BV64" s="278">
        <f t="shared" si="118"/>
        <v>-33.867117380382481</v>
      </c>
      <c r="BW64" s="54">
        <f t="shared" si="119"/>
        <v>29.893100943123503</v>
      </c>
      <c r="BX64" s="54">
        <f t="shared" si="120"/>
        <v>-3.9740164372589808</v>
      </c>
      <c r="BZ64" t="str">
        <f t="shared" si="138"/>
        <v>63 Community and civil enforcement occupations</v>
      </c>
      <c r="CA64" s="335">
        <f t="shared" si="147"/>
        <v>0.15295161874142985</v>
      </c>
      <c r="CB64" s="335">
        <f t="shared" si="147"/>
        <v>0.13929505640418402</v>
      </c>
      <c r="CC64" s="335">
        <f t="shared" si="147"/>
        <v>0.18656070277251632</v>
      </c>
      <c r="CD64" s="335">
        <f t="shared" si="147"/>
        <v>0.14754465829201763</v>
      </c>
      <c r="CE64" s="335">
        <f t="shared" si="147"/>
        <v>0.19385219935263281</v>
      </c>
      <c r="CG64" s="278">
        <f t="shared" si="122"/>
        <v>-37.966496575540312</v>
      </c>
      <c r="CH64" s="54">
        <f t="shared" si="123"/>
        <v>28.217052709977903</v>
      </c>
      <c r="CI64" s="54">
        <f t="shared" si="124"/>
        <v>-9.7494438655624123</v>
      </c>
      <c r="CK64" t="str">
        <f t="shared" si="139"/>
        <v>63 Community and civil enforcement occupations</v>
      </c>
      <c r="CL64" s="335">
        <f t="shared" si="148"/>
        <v>0.14001270010777958</v>
      </c>
      <c r="CM64" s="335">
        <f t="shared" si="148"/>
        <v>0.10354934220679736</v>
      </c>
      <c r="CN64" s="335">
        <f t="shared" si="148"/>
        <v>0.15374750259876266</v>
      </c>
      <c r="CO64" s="335">
        <f t="shared" si="148"/>
        <v>7.5894414394544113E-2</v>
      </c>
      <c r="CP64" s="335">
        <f t="shared" si="148"/>
        <v>6.6835305457613403E-2</v>
      </c>
      <c r="CR64" s="278">
        <f t="shared" si="126"/>
        <v>-73.518419826654494</v>
      </c>
      <c r="CS64" s="54">
        <f t="shared" si="127"/>
        <v>10.635329405155128</v>
      </c>
      <c r="CT64" s="54">
        <f t="shared" si="128"/>
        <v>-62.883090421499368</v>
      </c>
    </row>
    <row r="65" spans="1:98">
      <c r="A65" t="str">
        <f t="shared" si="95"/>
        <v>71 Sales occupations</v>
      </c>
      <c r="B65" s="335">
        <f t="shared" ref="B65:F70" si="149">B28/B$35*100</f>
        <v>1.2213775144501686</v>
      </c>
      <c r="C65" s="335">
        <f t="shared" si="149"/>
        <v>1.0940072892205583</v>
      </c>
      <c r="D65" s="335">
        <f t="shared" si="149"/>
        <v>0.95299403071133038</v>
      </c>
      <c r="E65" s="335">
        <f t="shared" si="149"/>
        <v>0.97234585984021171</v>
      </c>
      <c r="F65" s="335">
        <f t="shared" si="149"/>
        <v>1.0403939662026078</v>
      </c>
      <c r="H65" s="278">
        <f t="shared" si="129"/>
        <v>95.13043357837681</v>
      </c>
      <c r="I65" s="54">
        <f t="shared" si="130"/>
        <v>70.920652580759693</v>
      </c>
      <c r="J65" s="54">
        <f t="shared" si="131"/>
        <v>166.0510861591365</v>
      </c>
      <c r="L65" t="str">
        <f t="shared" si="132"/>
        <v>71 Sales occupations</v>
      </c>
      <c r="M65" s="335">
        <f t="shared" ref="M65:Q70" si="150">M28/M$35*100</f>
        <v>2.1720569933496687</v>
      </c>
      <c r="N65" s="335">
        <f t="shared" si="150"/>
        <v>2.0080725502325043</v>
      </c>
      <c r="O65" s="335">
        <f t="shared" si="150"/>
        <v>1.9714181468057104</v>
      </c>
      <c r="P65" s="335">
        <f t="shared" si="150"/>
        <v>2.1548143205152992</v>
      </c>
      <c r="Q65" s="335">
        <f t="shared" si="150"/>
        <v>2.6317985782419155</v>
      </c>
      <c r="S65" s="278">
        <f t="shared" si="98"/>
        <v>140.72067221019373</v>
      </c>
      <c r="T65" s="54">
        <f t="shared" si="99"/>
        <v>82.038400938658327</v>
      </c>
      <c r="U65" s="54">
        <f t="shared" si="100"/>
        <v>222.75907314885205</v>
      </c>
      <c r="W65" t="str">
        <f t="shared" si="133"/>
        <v>71 Sales occupations</v>
      </c>
      <c r="X65" s="335">
        <f t="shared" ref="X65:AB70" si="151">X28/X$35*100</f>
        <v>4.2518688455136404</v>
      </c>
      <c r="Y65" s="335">
        <f t="shared" si="151"/>
        <v>4.0388240142772451</v>
      </c>
      <c r="Z65" s="335">
        <f t="shared" si="151"/>
        <v>4.0728345906357015</v>
      </c>
      <c r="AA65" s="335">
        <f t="shared" si="151"/>
        <v>4.3128281122956347</v>
      </c>
      <c r="AB65" s="335">
        <f t="shared" si="151"/>
        <v>4.925607462246183</v>
      </c>
      <c r="AD65" s="278">
        <f t="shared" si="102"/>
        <v>43.827749924132632</v>
      </c>
      <c r="AE65" s="54">
        <f t="shared" si="103"/>
        <v>67.490033724737671</v>
      </c>
      <c r="AF65" s="54">
        <f t="shared" si="104"/>
        <v>111.3177836488703</v>
      </c>
      <c r="AH65" t="str">
        <f t="shared" si="134"/>
        <v>71 Sales occupations</v>
      </c>
      <c r="AI65" s="335">
        <f t="shared" ref="AI65:AM70" si="152">AI28/AI$35*100</f>
        <v>4.829572953300687</v>
      </c>
      <c r="AJ65" s="335">
        <f t="shared" si="152"/>
        <v>4.8007707794117573</v>
      </c>
      <c r="AK65" s="335">
        <f t="shared" si="152"/>
        <v>4.938543162478334</v>
      </c>
      <c r="AL65" s="335">
        <f t="shared" si="152"/>
        <v>5.2465926883585912</v>
      </c>
      <c r="AM65" s="335">
        <f t="shared" si="152"/>
        <v>6.0009393811108751</v>
      </c>
      <c r="AO65" s="278">
        <f t="shared" si="106"/>
        <v>33.103713121356947</v>
      </c>
      <c r="AP65" s="54">
        <f t="shared" si="107"/>
        <v>64.332894168905767</v>
      </c>
      <c r="AQ65" s="54">
        <f t="shared" si="108"/>
        <v>97.436607290262714</v>
      </c>
      <c r="AS65" t="str">
        <f t="shared" si="135"/>
        <v>71 Sales occupations</v>
      </c>
      <c r="AT65" s="335">
        <f t="shared" ref="AT65:AX70" si="153">AT28/AT$35*100</f>
        <v>4.419888785323824</v>
      </c>
      <c r="AU65" s="335">
        <f t="shared" si="153"/>
        <v>3.9729386596759628</v>
      </c>
      <c r="AV65" s="335">
        <f t="shared" si="153"/>
        <v>3.9396198519649803</v>
      </c>
      <c r="AW65" s="335">
        <f t="shared" si="153"/>
        <v>3.883844647950343</v>
      </c>
      <c r="AX65" s="335">
        <f t="shared" si="153"/>
        <v>4.1639853068857553</v>
      </c>
      <c r="AZ65" s="278">
        <f t="shared" si="110"/>
        <v>24.689276686624058</v>
      </c>
      <c r="BA65" s="54">
        <f t="shared" si="111"/>
        <v>53.158083035640544</v>
      </c>
      <c r="BB65" s="54">
        <f t="shared" si="112"/>
        <v>77.847359722264599</v>
      </c>
      <c r="BD65" t="str">
        <f t="shared" si="136"/>
        <v>71 Sales occupations</v>
      </c>
      <c r="BE65" s="335">
        <f t="shared" ref="BE65:BI70" si="154">BE28/BE$35*100</f>
        <v>8.7437938583460681</v>
      </c>
      <c r="BF65" s="335">
        <f t="shared" si="154"/>
        <v>8.2444713676819639</v>
      </c>
      <c r="BG65" s="335">
        <f t="shared" si="154"/>
        <v>8.4949907380400003</v>
      </c>
      <c r="BH65" s="335">
        <f t="shared" si="154"/>
        <v>8.5700905273718355</v>
      </c>
      <c r="BI65" s="335">
        <f t="shared" si="154"/>
        <v>8.8108250323547264</v>
      </c>
      <c r="BK65" s="278">
        <f t="shared" si="114"/>
        <v>3.328804678462534</v>
      </c>
      <c r="BL65" s="54">
        <f t="shared" si="115"/>
        <v>46.29867981037723</v>
      </c>
      <c r="BM65" s="54">
        <f t="shared" si="116"/>
        <v>49.627484488839762</v>
      </c>
      <c r="BO65" t="str">
        <f t="shared" si="137"/>
        <v>71 Sales occupations</v>
      </c>
      <c r="BP65" s="335">
        <f t="shared" ref="BP65:BT70" si="155">BP28/BP$35*100</f>
        <v>9.1889108146616554</v>
      </c>
      <c r="BQ65" s="335">
        <f t="shared" si="155"/>
        <v>8.262570811213175</v>
      </c>
      <c r="BR65" s="335">
        <f t="shared" si="155"/>
        <v>8.398154868737068</v>
      </c>
      <c r="BS65" s="335">
        <f t="shared" si="155"/>
        <v>8.2676134687733835</v>
      </c>
      <c r="BT65" s="335">
        <f t="shared" si="155"/>
        <v>8.1235665890002906</v>
      </c>
      <c r="BV65" s="278">
        <f t="shared" si="118"/>
        <v>-22.463020479528875</v>
      </c>
      <c r="BW65" s="54">
        <f t="shared" si="119"/>
        <v>41.66781139431496</v>
      </c>
      <c r="BX65" s="54">
        <f t="shared" si="120"/>
        <v>19.204790914786081</v>
      </c>
      <c r="BZ65" t="str">
        <f t="shared" si="138"/>
        <v>71 Sales occupations</v>
      </c>
      <c r="CA65" s="335">
        <f t="shared" ref="CA65:CE70" si="156">CA28/CA$35*100</f>
        <v>9.218054302174238</v>
      </c>
      <c r="CB65" s="335">
        <f t="shared" si="156"/>
        <v>8.840115017343857</v>
      </c>
      <c r="CC65" s="335">
        <f t="shared" si="156"/>
        <v>8.9427950186321343</v>
      </c>
      <c r="CD65" s="335">
        <f t="shared" si="156"/>
        <v>8.430536261729781</v>
      </c>
      <c r="CE65" s="335">
        <f t="shared" si="156"/>
        <v>5.1334264856236</v>
      </c>
      <c r="CG65" s="278">
        <f t="shared" si="122"/>
        <v>-65.730338366749947</v>
      </c>
      <c r="CH65" s="54">
        <f t="shared" si="123"/>
        <v>24.936132328137123</v>
      </c>
      <c r="CI65" s="54">
        <f t="shared" si="124"/>
        <v>-40.79420603861282</v>
      </c>
      <c r="CK65" t="str">
        <f t="shared" si="139"/>
        <v>71 Sales occupations</v>
      </c>
      <c r="CL65" s="335">
        <f t="shared" ref="CL65:CP70" si="157">CL28/CL$35*100</f>
        <v>11.063247346113959</v>
      </c>
      <c r="CM65" s="335">
        <f t="shared" si="157"/>
        <v>9.8949411554607085</v>
      </c>
      <c r="CN65" s="335">
        <f t="shared" si="157"/>
        <v>9.9008861762240574</v>
      </c>
      <c r="CO65" s="335">
        <f t="shared" si="157"/>
        <v>8.810075015754478</v>
      </c>
      <c r="CP65" s="335">
        <f t="shared" si="157"/>
        <v>7.4061276340060056</v>
      </c>
      <c r="CR65" s="278">
        <f t="shared" si="126"/>
        <v>-54.431665730148616</v>
      </c>
      <c r="CS65" s="54">
        <f t="shared" si="127"/>
        <v>17.85229948922991</v>
      </c>
      <c r="CT65" s="54">
        <f t="shared" si="128"/>
        <v>-36.579366240918702</v>
      </c>
    </row>
    <row r="66" spans="1:98">
      <c r="A66" t="str">
        <f t="shared" si="95"/>
        <v>72 Customer service occupations</v>
      </c>
      <c r="B66" s="335">
        <f t="shared" si="149"/>
        <v>0.41014811945688578</v>
      </c>
      <c r="C66" s="335">
        <f t="shared" si="149"/>
        <v>0.3908305746978275</v>
      </c>
      <c r="D66" s="335">
        <f t="shared" si="149"/>
        <v>0.417984685518479</v>
      </c>
      <c r="E66" s="335">
        <f t="shared" si="149"/>
        <v>0.51672317795522982</v>
      </c>
      <c r="F66" s="335">
        <f t="shared" si="149"/>
        <v>0.59449900607697248</v>
      </c>
      <c r="H66" s="278">
        <f t="shared" si="129"/>
        <v>154.21907135026669</v>
      </c>
      <c r="I66" s="54">
        <f t="shared" si="130"/>
        <v>85.379613555688451</v>
      </c>
      <c r="J66" s="54">
        <f t="shared" si="131"/>
        <v>239.59868490595517</v>
      </c>
      <c r="L66" t="str">
        <f t="shared" si="132"/>
        <v>72 Customer service occupations</v>
      </c>
      <c r="M66" s="335">
        <f t="shared" si="150"/>
        <v>0.65639747529587456</v>
      </c>
      <c r="N66" s="335">
        <f t="shared" si="150"/>
        <v>0.67185864186554078</v>
      </c>
      <c r="O66" s="335">
        <f t="shared" si="150"/>
        <v>0.66527856082401315</v>
      </c>
      <c r="P66" s="335">
        <f t="shared" si="150"/>
        <v>0.75898597943470114</v>
      </c>
      <c r="Q66" s="335">
        <f t="shared" si="150"/>
        <v>0.8383993519702071</v>
      </c>
      <c r="S66" s="278">
        <f t="shared" si="98"/>
        <v>127.24110645341966</v>
      </c>
      <c r="T66" s="54">
        <f t="shared" si="99"/>
        <v>83.377147231975897</v>
      </c>
      <c r="U66" s="54">
        <f t="shared" si="100"/>
        <v>210.61825368539556</v>
      </c>
      <c r="W66" t="str">
        <f t="shared" si="133"/>
        <v>72 Customer service occupations</v>
      </c>
      <c r="X66" s="335">
        <f t="shared" si="151"/>
        <v>1.3089263877948625</v>
      </c>
      <c r="Y66" s="335">
        <f t="shared" si="151"/>
        <v>1.3425567725468428</v>
      </c>
      <c r="Z66" s="335">
        <f t="shared" si="151"/>
        <v>1.393891756889007</v>
      </c>
      <c r="AA66" s="335">
        <f t="shared" si="151"/>
        <v>1.5673018309599083</v>
      </c>
      <c r="AB66" s="335">
        <f t="shared" si="151"/>
        <v>1.8062114037265178</v>
      </c>
      <c r="AD66" s="278">
        <f t="shared" si="102"/>
        <v>54.105873118542434</v>
      </c>
      <c r="AE66" s="54">
        <f t="shared" si="103"/>
        <v>66.788747795781134</v>
      </c>
      <c r="AF66" s="54">
        <f t="shared" si="104"/>
        <v>120.89462091432357</v>
      </c>
      <c r="AH66" t="str">
        <f t="shared" si="134"/>
        <v>72 Customer service occupations</v>
      </c>
      <c r="AI66" s="335">
        <f t="shared" si="152"/>
        <v>1.3237162208922153</v>
      </c>
      <c r="AJ66" s="335">
        <f t="shared" si="152"/>
        <v>1.555791193968207</v>
      </c>
      <c r="AK66" s="335">
        <f t="shared" si="152"/>
        <v>1.6808881508258318</v>
      </c>
      <c r="AL66" s="335">
        <f t="shared" si="152"/>
        <v>2.0032932643258956</v>
      </c>
      <c r="AM66" s="335">
        <f t="shared" si="152"/>
        <v>2.3192912760404463</v>
      </c>
      <c r="AO66" s="278">
        <f t="shared" si="106"/>
        <v>51.142382453339472</v>
      </c>
      <c r="AP66" s="54">
        <f t="shared" si="107"/>
        <v>70.0188613706149</v>
      </c>
      <c r="AQ66" s="54">
        <f t="shared" si="108"/>
        <v>121.16124382395436</v>
      </c>
      <c r="AS66" t="str">
        <f t="shared" si="135"/>
        <v>72 Customer service occupations</v>
      </c>
      <c r="AT66" s="335">
        <f t="shared" si="153"/>
        <v>2.0293850666230937</v>
      </c>
      <c r="AU66" s="335">
        <f t="shared" si="153"/>
        <v>2.0767028843345581</v>
      </c>
      <c r="AV66" s="335">
        <f t="shared" si="153"/>
        <v>2.0670170829349672</v>
      </c>
      <c r="AW66" s="335">
        <f t="shared" si="153"/>
        <v>2.3528996484131315</v>
      </c>
      <c r="AX66" s="335">
        <f t="shared" si="153"/>
        <v>2.4059445158599906</v>
      </c>
      <c r="AZ66" s="278">
        <f t="shared" si="110"/>
        <v>37.314302852588995</v>
      </c>
      <c r="BA66" s="54">
        <f t="shared" si="111"/>
        <v>58.536714026717284</v>
      </c>
      <c r="BB66" s="54">
        <f t="shared" si="112"/>
        <v>95.851016879306286</v>
      </c>
      <c r="BD66" t="str">
        <f t="shared" si="136"/>
        <v>72 Customer service occupations</v>
      </c>
      <c r="BE66" s="335">
        <f t="shared" si="154"/>
        <v>1.9770931889566861</v>
      </c>
      <c r="BF66" s="335">
        <f t="shared" si="154"/>
        <v>2.0393969397680491</v>
      </c>
      <c r="BG66" s="335">
        <f t="shared" si="154"/>
        <v>2.1344067139674214</v>
      </c>
      <c r="BH66" s="335">
        <f t="shared" si="154"/>
        <v>2.3133387745203557</v>
      </c>
      <c r="BI66" s="335">
        <f t="shared" si="154"/>
        <v>2.5104690382272277</v>
      </c>
      <c r="BK66" s="278">
        <f t="shared" si="114"/>
        <v>17.177824131805956</v>
      </c>
      <c r="BL66" s="54">
        <f t="shared" si="115"/>
        <v>47.066125144478079</v>
      </c>
      <c r="BM66" s="54">
        <f t="shared" si="116"/>
        <v>64.243949276284027</v>
      </c>
      <c r="BO66" t="str">
        <f t="shared" si="137"/>
        <v>72 Customer service occupations</v>
      </c>
      <c r="BP66" s="335">
        <f t="shared" si="155"/>
        <v>2.1090769075902394</v>
      </c>
      <c r="BQ66" s="335">
        <f t="shared" si="155"/>
        <v>2.2493022592337799</v>
      </c>
      <c r="BR66" s="335">
        <f t="shared" si="155"/>
        <v>2.307780519477689</v>
      </c>
      <c r="BS66" s="335">
        <f t="shared" si="155"/>
        <v>2.5287224476883163</v>
      </c>
      <c r="BT66" s="335">
        <f t="shared" si="155"/>
        <v>2.7475078209545623</v>
      </c>
      <c r="BV66" s="278">
        <f t="shared" si="118"/>
        <v>-4.5687862260339163</v>
      </c>
      <c r="BW66" s="54">
        <f t="shared" si="119"/>
        <v>46.911539079649323</v>
      </c>
      <c r="BX66" s="54">
        <f t="shared" si="120"/>
        <v>42.342752853615409</v>
      </c>
      <c r="BZ66" t="str">
        <f t="shared" si="138"/>
        <v>72 Customer service occupations</v>
      </c>
      <c r="CA66" s="335">
        <f t="shared" si="156"/>
        <v>1.6194519341348499</v>
      </c>
      <c r="CB66" s="335">
        <f t="shared" si="156"/>
        <v>1.6177598828818873</v>
      </c>
      <c r="CC66" s="335">
        <f t="shared" si="156"/>
        <v>1.726924227357298</v>
      </c>
      <c r="CD66" s="335">
        <f t="shared" si="156"/>
        <v>1.833339296185021</v>
      </c>
      <c r="CE66" s="335">
        <f t="shared" si="156"/>
        <v>2.4341213420805938</v>
      </c>
      <c r="CG66" s="278">
        <f t="shared" si="122"/>
        <v>-15.851827709113717</v>
      </c>
      <c r="CH66" s="54">
        <f t="shared" si="123"/>
        <v>30.125370947826312</v>
      </c>
      <c r="CI66" s="54">
        <f t="shared" si="124"/>
        <v>14.2735432387126</v>
      </c>
      <c r="CK66" t="str">
        <f t="shared" si="139"/>
        <v>72 Customer service occupations</v>
      </c>
      <c r="CL66" s="335">
        <f t="shared" si="157"/>
        <v>1.2527066954645241</v>
      </c>
      <c r="CM66" s="335">
        <f t="shared" si="157"/>
        <v>1.5942050725398142</v>
      </c>
      <c r="CN66" s="335">
        <f t="shared" si="157"/>
        <v>1.7917141230619091</v>
      </c>
      <c r="CO66" s="335">
        <f t="shared" si="157"/>
        <v>2.548575780295951</v>
      </c>
      <c r="CP66" s="335">
        <f t="shared" si="157"/>
        <v>3.777513491862134</v>
      </c>
      <c r="CR66" s="278">
        <f t="shared" si="126"/>
        <v>28.434984047862354</v>
      </c>
      <c r="CS66" s="54">
        <f t="shared" si="127"/>
        <v>38.726124995992073</v>
      </c>
      <c r="CT66" s="54">
        <f t="shared" si="128"/>
        <v>67.161109043854424</v>
      </c>
    </row>
    <row r="67" spans="1:98">
      <c r="A67" t="str">
        <f t="shared" si="95"/>
        <v>81 Process, plant and machine operatives</v>
      </c>
      <c r="B67" s="335">
        <f t="shared" si="149"/>
        <v>0.30762198625749831</v>
      </c>
      <c r="C67" s="335">
        <f t="shared" si="149"/>
        <v>0.31707391876332147</v>
      </c>
      <c r="D67" s="335">
        <f t="shared" si="149"/>
        <v>0.26097360549055704</v>
      </c>
      <c r="E67" s="335">
        <f t="shared" si="149"/>
        <v>0.33738032886383468</v>
      </c>
      <c r="F67" s="335">
        <f t="shared" si="149"/>
        <v>0.4783163242495575</v>
      </c>
      <c r="H67" s="278">
        <f t="shared" si="129"/>
        <v>227.59403282982743</v>
      </c>
      <c r="I67" s="54">
        <f t="shared" si="130"/>
        <v>111.99109002267701</v>
      </c>
      <c r="J67" s="54">
        <f t="shared" si="131"/>
        <v>339.58512285250447</v>
      </c>
      <c r="L67" t="str">
        <f t="shared" si="132"/>
        <v>81 Process, plant and machine operatives</v>
      </c>
      <c r="M67" s="335">
        <f t="shared" si="150"/>
        <v>0.29764683346449905</v>
      </c>
      <c r="N67" s="335">
        <f t="shared" si="150"/>
        <v>0.3006131633869803</v>
      </c>
      <c r="O67" s="335">
        <f t="shared" si="150"/>
        <v>0.2552450776032073</v>
      </c>
      <c r="P67" s="335">
        <f t="shared" si="150"/>
        <v>0.33387778790430384</v>
      </c>
      <c r="Q67" s="335">
        <f t="shared" si="150"/>
        <v>0.43115946677996997</v>
      </c>
      <c r="S67" s="278">
        <f t="shared" si="98"/>
        <v>204.59308536595259</v>
      </c>
      <c r="T67" s="54">
        <f t="shared" si="99"/>
        <v>104.67265100168679</v>
      </c>
      <c r="U67" s="54">
        <f t="shared" si="100"/>
        <v>309.26573636763936</v>
      </c>
      <c r="W67" t="str">
        <f t="shared" si="133"/>
        <v>81 Process, plant and machine operatives</v>
      </c>
      <c r="X67" s="335">
        <f t="shared" si="151"/>
        <v>0.4433672159174033</v>
      </c>
      <c r="Y67" s="335">
        <f t="shared" si="151"/>
        <v>0.41205724992949649</v>
      </c>
      <c r="Z67" s="335">
        <f t="shared" si="151"/>
        <v>0.37224909695940284</v>
      </c>
      <c r="AA67" s="335">
        <f t="shared" si="151"/>
        <v>0.52942608469757013</v>
      </c>
      <c r="AB67" s="335">
        <f t="shared" si="151"/>
        <v>0.77821998149514515</v>
      </c>
      <c r="AD67" s="278">
        <f t="shared" si="102"/>
        <v>148.62705451753979</v>
      </c>
      <c r="AE67" s="54">
        <f t="shared" si="103"/>
        <v>94.755119994142888</v>
      </c>
      <c r="AF67" s="54">
        <f t="shared" si="104"/>
        <v>243.38217451168271</v>
      </c>
      <c r="AH67" t="str">
        <f t="shared" si="134"/>
        <v>81 Process, plant and machine operatives</v>
      </c>
      <c r="AI67" s="335">
        <f t="shared" si="152"/>
        <v>0.67179121877178116</v>
      </c>
      <c r="AJ67" s="335">
        <f t="shared" si="152"/>
        <v>0.69286724680392031</v>
      </c>
      <c r="AK67" s="335">
        <f t="shared" si="152"/>
        <v>0.65342025270662385</v>
      </c>
      <c r="AL67" s="335">
        <f t="shared" si="152"/>
        <v>0.91208009264195034</v>
      </c>
      <c r="AM67" s="335">
        <f t="shared" si="152"/>
        <v>1.2287147874702242</v>
      </c>
      <c r="AO67" s="278">
        <f t="shared" si="106"/>
        <v>105.98152954486537</v>
      </c>
      <c r="AP67" s="54">
        <f t="shared" si="107"/>
        <v>77.057892442786539</v>
      </c>
      <c r="AQ67" s="54">
        <f t="shared" si="108"/>
        <v>183.03942198765191</v>
      </c>
      <c r="AS67" t="str">
        <f t="shared" si="135"/>
        <v>81 Process, plant and machine operatives</v>
      </c>
      <c r="AT67" s="335">
        <f t="shared" si="153"/>
        <v>1.5941554767763737</v>
      </c>
      <c r="AU67" s="335">
        <f t="shared" si="153"/>
        <v>1.5091710075620868</v>
      </c>
      <c r="AV67" s="335">
        <f t="shared" si="153"/>
        <v>1.3817288261057861</v>
      </c>
      <c r="AW67" s="335">
        <f t="shared" si="153"/>
        <v>1.6778721840354571</v>
      </c>
      <c r="AX67" s="335">
        <f t="shared" si="153"/>
        <v>1.9538946767695697</v>
      </c>
      <c r="AZ67" s="278">
        <f t="shared" si="110"/>
        <v>66.821709030141278</v>
      </c>
      <c r="BA67" s="54">
        <f t="shared" si="111"/>
        <v>67.701571182622359</v>
      </c>
      <c r="BB67" s="54">
        <f t="shared" si="112"/>
        <v>134.52328021276364</v>
      </c>
      <c r="BD67" t="str">
        <f t="shared" si="136"/>
        <v>81 Process, plant and machine operatives</v>
      </c>
      <c r="BE67" s="335">
        <f t="shared" si="154"/>
        <v>2.8344350902214415</v>
      </c>
      <c r="BF67" s="335">
        <f t="shared" si="154"/>
        <v>2.8262031478819027</v>
      </c>
      <c r="BG67" s="335">
        <f t="shared" si="154"/>
        <v>2.5848406261074195</v>
      </c>
      <c r="BH67" s="335">
        <f t="shared" si="154"/>
        <v>2.9451684636818349</v>
      </c>
      <c r="BI67" s="335">
        <f t="shared" si="154"/>
        <v>3.1851364073101811</v>
      </c>
      <c r="BK67" s="278">
        <f t="shared" si="114"/>
        <v>22.761448313248557</v>
      </c>
      <c r="BL67" s="54">
        <f t="shared" si="115"/>
        <v>42.647448715471548</v>
      </c>
      <c r="BM67" s="54">
        <f t="shared" si="116"/>
        <v>65.408897028720105</v>
      </c>
      <c r="BO67" t="str">
        <f t="shared" si="137"/>
        <v>81 Process, plant and machine operatives</v>
      </c>
      <c r="BP67" s="335">
        <f t="shared" si="155"/>
        <v>3.6817554712888922</v>
      </c>
      <c r="BQ67" s="335">
        <f t="shared" si="155"/>
        <v>3.6702142101422237</v>
      </c>
      <c r="BR67" s="335">
        <f t="shared" si="155"/>
        <v>3.4859861677605677</v>
      </c>
      <c r="BS67" s="335">
        <f t="shared" si="155"/>
        <v>3.9480309247487577</v>
      </c>
      <c r="BT67" s="335">
        <f t="shared" si="155"/>
        <v>4.2893806226819464</v>
      </c>
      <c r="BV67" s="278">
        <f t="shared" si="118"/>
        <v>-1.3686586757452153</v>
      </c>
      <c r="BW67" s="54">
        <f t="shared" si="119"/>
        <v>42.122204033564685</v>
      </c>
      <c r="BX67" s="54">
        <f t="shared" si="120"/>
        <v>40.753545357819469</v>
      </c>
      <c r="BZ67" t="str">
        <f t="shared" si="138"/>
        <v>81 Process, plant and machine operatives</v>
      </c>
      <c r="CA67" s="335">
        <f t="shared" si="156"/>
        <v>4.6311226151832505</v>
      </c>
      <c r="CB67" s="335">
        <f t="shared" si="156"/>
        <v>4.4905108647153211</v>
      </c>
      <c r="CC67" s="335">
        <f t="shared" si="156"/>
        <v>4.1994305085168664</v>
      </c>
      <c r="CD67" s="335">
        <f t="shared" si="156"/>
        <v>4.388107566687129</v>
      </c>
      <c r="CE67" s="335">
        <f t="shared" si="156"/>
        <v>2.9834302721810748</v>
      </c>
      <c r="CG67" s="278">
        <f t="shared" si="122"/>
        <v>-57.586780638156696</v>
      </c>
      <c r="CH67" s="54">
        <f t="shared" si="123"/>
        <v>27.196441905612538</v>
      </c>
      <c r="CI67" s="54">
        <f t="shared" si="124"/>
        <v>-30.390338732544159</v>
      </c>
      <c r="CK67" t="str">
        <f t="shared" si="139"/>
        <v>81 Process, plant and machine operatives</v>
      </c>
      <c r="CL67" s="335">
        <f t="shared" si="157"/>
        <v>6.2073097147280887</v>
      </c>
      <c r="CM67" s="335">
        <f t="shared" si="157"/>
        <v>5.3605536304632366</v>
      </c>
      <c r="CN67" s="335">
        <f t="shared" si="157"/>
        <v>5.1702912154259737</v>
      </c>
      <c r="CO67" s="335">
        <f t="shared" si="157"/>
        <v>3.1171855427100903</v>
      </c>
      <c r="CP67" s="335">
        <f t="shared" si="157"/>
        <v>1.8541066620637097</v>
      </c>
      <c r="CR67" s="278">
        <f t="shared" si="126"/>
        <v>-78.154311433423786</v>
      </c>
      <c r="CS67" s="54">
        <f t="shared" si="127"/>
        <v>11.669409126432543</v>
      </c>
      <c r="CT67" s="54">
        <f t="shared" si="128"/>
        <v>-66.484902306991245</v>
      </c>
    </row>
    <row r="68" spans="1:98">
      <c r="A68" t="str">
        <f t="shared" si="95"/>
        <v>82 Transport and mobile machine drivers and operatives</v>
      </c>
      <c r="B68" s="335">
        <f t="shared" si="149"/>
        <v>0.57536297023334848</v>
      </c>
      <c r="C68" s="335">
        <f t="shared" si="149"/>
        <v>0.67876527126947128</v>
      </c>
      <c r="D68" s="335">
        <f t="shared" si="149"/>
        <v>0.61427609136972916</v>
      </c>
      <c r="E68" s="335">
        <f t="shared" si="149"/>
        <v>0.77455749521740391</v>
      </c>
      <c r="F68" s="335">
        <f t="shared" si="149"/>
        <v>0.97383981918801288</v>
      </c>
      <c r="H68" s="278">
        <f t="shared" si="129"/>
        <v>183.36178605232334</v>
      </c>
      <c r="I68" s="54">
        <f t="shared" si="130"/>
        <v>129.00744532519047</v>
      </c>
      <c r="J68" s="54">
        <f t="shared" si="131"/>
        <v>312.36923137751381</v>
      </c>
      <c r="L68" t="str">
        <f t="shared" si="132"/>
        <v>82 Transport and mobile machine drivers and operatives</v>
      </c>
      <c r="M68" s="335">
        <f t="shared" si="150"/>
        <v>0.55956777794715462</v>
      </c>
      <c r="N68" s="335">
        <f t="shared" si="150"/>
        <v>0.62346138483602642</v>
      </c>
      <c r="O68" s="335">
        <f t="shared" si="150"/>
        <v>0.58149907548178537</v>
      </c>
      <c r="P68" s="335">
        <f t="shared" si="150"/>
        <v>0.67001332924445334</v>
      </c>
      <c r="Q68" s="335">
        <f t="shared" si="150"/>
        <v>0.81731973438194139</v>
      </c>
      <c r="S68" s="278">
        <f t="shared" si="98"/>
        <v>153.44425197396961</v>
      </c>
      <c r="T68" s="54">
        <f t="shared" si="99"/>
        <v>115.04157018679746</v>
      </c>
      <c r="U68" s="54">
        <f t="shared" si="100"/>
        <v>268.48582216076704</v>
      </c>
      <c r="W68" t="str">
        <f t="shared" si="133"/>
        <v>82 Transport and mobile machine drivers and operatives</v>
      </c>
      <c r="X68" s="335">
        <f t="shared" si="151"/>
        <v>0.83675535200513607</v>
      </c>
      <c r="Y68" s="335">
        <f t="shared" si="151"/>
        <v>0.9730361030944793</v>
      </c>
      <c r="Z68" s="335">
        <f t="shared" si="151"/>
        <v>0.93105468260983038</v>
      </c>
      <c r="AA68" s="335">
        <f t="shared" si="151"/>
        <v>1.0686748656298506</v>
      </c>
      <c r="AB68" s="335">
        <f t="shared" si="151"/>
        <v>1.2920089309493812</v>
      </c>
      <c r="AD68" s="278">
        <f t="shared" si="102"/>
        <v>65.032693296429997</v>
      </c>
      <c r="AE68" s="54">
        <f t="shared" si="103"/>
        <v>92.24792401987898</v>
      </c>
      <c r="AF68" s="54">
        <f t="shared" si="104"/>
        <v>157.28061731630899</v>
      </c>
      <c r="AH68" t="str">
        <f t="shared" si="134"/>
        <v>82 Transport and mobile machine drivers and operatives</v>
      </c>
      <c r="AI68" s="335">
        <f t="shared" si="152"/>
        <v>1.3325897396523183</v>
      </c>
      <c r="AJ68" s="335">
        <f t="shared" si="152"/>
        <v>1.7108079550857425</v>
      </c>
      <c r="AK68" s="335">
        <f t="shared" si="152"/>
        <v>1.6622549015071548</v>
      </c>
      <c r="AL68" s="335">
        <f t="shared" si="152"/>
        <v>2.0077410747725848</v>
      </c>
      <c r="AM68" s="335">
        <f t="shared" si="152"/>
        <v>2.3264950092088497</v>
      </c>
      <c r="AO68" s="278">
        <f t="shared" si="106"/>
        <v>53.311342977964628</v>
      </c>
      <c r="AP68" s="54">
        <f t="shared" si="107"/>
        <v>87.299376207946878</v>
      </c>
      <c r="AQ68" s="54">
        <f t="shared" si="108"/>
        <v>140.61071918591153</v>
      </c>
      <c r="AS68" t="str">
        <f t="shared" si="135"/>
        <v>82 Transport and mobile machine drivers and operatives</v>
      </c>
      <c r="AT68" s="335">
        <f t="shared" si="153"/>
        <v>2.4006133164787791</v>
      </c>
      <c r="AU68" s="335">
        <f t="shared" si="153"/>
        <v>2.6893424794178888</v>
      </c>
      <c r="AV68" s="335">
        <f t="shared" si="153"/>
        <v>2.5971364867585822</v>
      </c>
      <c r="AW68" s="335">
        <f t="shared" si="153"/>
        <v>2.866497081214054</v>
      </c>
      <c r="AX68" s="335">
        <f t="shared" si="153"/>
        <v>3.082716068812362</v>
      </c>
      <c r="AZ68" s="278">
        <f t="shared" si="110"/>
        <v>40.027387770366481</v>
      </c>
      <c r="BA68" s="54">
        <f t="shared" si="111"/>
        <v>83.772635332594959</v>
      </c>
      <c r="BB68" s="54">
        <f t="shared" si="112"/>
        <v>123.80002310296143</v>
      </c>
      <c r="BD68" t="str">
        <f t="shared" si="136"/>
        <v>82 Transport and mobile machine drivers and operatives</v>
      </c>
      <c r="BE68" s="335">
        <f t="shared" si="154"/>
        <v>3.5290801833656378</v>
      </c>
      <c r="BF68" s="335">
        <f t="shared" si="154"/>
        <v>3.852137299391817</v>
      </c>
      <c r="BG68" s="335">
        <f t="shared" si="154"/>
        <v>3.6729007495075363</v>
      </c>
      <c r="BH68" s="335">
        <f t="shared" si="154"/>
        <v>3.9600856871227017</v>
      </c>
      <c r="BI68" s="335">
        <f t="shared" si="154"/>
        <v>4.2951319326978865</v>
      </c>
      <c r="BK68" s="278">
        <f t="shared" si="114"/>
        <v>16.502448744467905</v>
      </c>
      <c r="BL68" s="54">
        <f t="shared" si="115"/>
        <v>55.855102087498132</v>
      </c>
      <c r="BM68" s="54">
        <f t="shared" si="116"/>
        <v>72.357550831966051</v>
      </c>
      <c r="BO68" t="str">
        <f t="shared" si="137"/>
        <v>82 Transport and mobile machine drivers and operatives</v>
      </c>
      <c r="BP68" s="335">
        <f t="shared" si="155"/>
        <v>5.4012840266857047</v>
      </c>
      <c r="BQ68" s="335">
        <f t="shared" si="155"/>
        <v>6.1499172301371878</v>
      </c>
      <c r="BR68" s="335">
        <f t="shared" si="155"/>
        <v>5.7808706792446474</v>
      </c>
      <c r="BS68" s="335">
        <f t="shared" si="155"/>
        <v>6.3369516248742954</v>
      </c>
      <c r="BT68" s="335">
        <f t="shared" si="155"/>
        <v>7.3704834825204291</v>
      </c>
      <c r="BV68" s="278">
        <f t="shared" si="118"/>
        <v>2.1994918506514032</v>
      </c>
      <c r="BW68" s="54">
        <f t="shared" si="119"/>
        <v>56.314182444186415</v>
      </c>
      <c r="BX68" s="54">
        <f t="shared" si="120"/>
        <v>58.513674294837813</v>
      </c>
      <c r="BZ68" t="str">
        <f t="shared" si="138"/>
        <v>82 Transport and mobile machine drivers and operatives</v>
      </c>
      <c r="CA68" s="335">
        <f t="shared" si="156"/>
        <v>7.5155224272801124</v>
      </c>
      <c r="CB68" s="335">
        <f t="shared" si="156"/>
        <v>7.9833344791248955</v>
      </c>
      <c r="CC68" s="335">
        <f t="shared" si="156"/>
        <v>7.5314527686952752</v>
      </c>
      <c r="CD68" s="335">
        <f t="shared" si="156"/>
        <v>7.7771150936945377</v>
      </c>
      <c r="CE68" s="335">
        <f t="shared" si="156"/>
        <v>8.8719933131190842</v>
      </c>
      <c r="CG68" s="278">
        <f t="shared" si="122"/>
        <v>-29.673631084768431</v>
      </c>
      <c r="CH68" s="54">
        <f t="shared" si="123"/>
        <v>39.34003230111405</v>
      </c>
      <c r="CI68" s="54">
        <f t="shared" si="124"/>
        <v>9.6664012163456157</v>
      </c>
      <c r="CK68" t="str">
        <f t="shared" si="139"/>
        <v>82 Transport and mobile machine drivers and operatives</v>
      </c>
      <c r="CL68" s="335">
        <f t="shared" si="157"/>
        <v>8.6951332661649001</v>
      </c>
      <c r="CM68" s="335">
        <f t="shared" si="157"/>
        <v>10.477322515850377</v>
      </c>
      <c r="CN68" s="335">
        <f t="shared" si="157"/>
        <v>10.260452649042724</v>
      </c>
      <c r="CO68" s="335">
        <f t="shared" si="157"/>
        <v>10.031136777074295</v>
      </c>
      <c r="CP68" s="335">
        <f t="shared" si="157"/>
        <v>7.3009339669450144</v>
      </c>
      <c r="CR68" s="278">
        <f t="shared" si="126"/>
        <v>-56.653111469942644</v>
      </c>
      <c r="CS68" s="54">
        <f t="shared" si="127"/>
        <v>27.41685130374842</v>
      </c>
      <c r="CT68" s="54">
        <f t="shared" si="128"/>
        <v>-29.236260166194221</v>
      </c>
    </row>
    <row r="69" spans="1:98">
      <c r="A69" t="str">
        <f t="shared" si="95"/>
        <v>91 Elementary trades and related occupations</v>
      </c>
      <c r="B69" s="335">
        <f t="shared" si="149"/>
        <v>5.7291847742248778E-3</v>
      </c>
      <c r="C69" s="335">
        <f t="shared" si="149"/>
        <v>4.307324217268667E-3</v>
      </c>
      <c r="D69" s="335">
        <f t="shared" si="149"/>
        <v>3.9161434849139098E-3</v>
      </c>
      <c r="E69" s="335">
        <f t="shared" si="149"/>
        <v>1.5167570329376823E-2</v>
      </c>
      <c r="F69" s="335">
        <f t="shared" si="149"/>
        <v>2.3978846734516675E-2</v>
      </c>
      <c r="H69" s="278">
        <f t="shared" si="129"/>
        <v>994.42766140127378</v>
      </c>
      <c r="I69" s="54">
        <f t="shared" si="130"/>
        <v>455.50261920540527</v>
      </c>
      <c r="J69" s="54">
        <f t="shared" si="131"/>
        <v>1449.9302806066789</v>
      </c>
      <c r="L69" t="str">
        <f t="shared" si="132"/>
        <v>91 Elementary trades and related occupations</v>
      </c>
      <c r="M69" s="335">
        <f t="shared" si="150"/>
        <v>0.18059326678774099</v>
      </c>
      <c r="N69" s="335">
        <f t="shared" si="150"/>
        <v>0.16702890493737657</v>
      </c>
      <c r="O69" s="335">
        <f t="shared" si="150"/>
        <v>0.13159227116385763</v>
      </c>
      <c r="P69" s="335">
        <f t="shared" si="150"/>
        <v>0.25954298863831288</v>
      </c>
      <c r="Q69" s="335">
        <f t="shared" si="150"/>
        <v>0.39486747232829883</v>
      </c>
      <c r="S69" s="278">
        <f t="shared" si="98"/>
        <v>441.07873572925928</v>
      </c>
      <c r="T69" s="54">
        <f t="shared" si="99"/>
        <v>197.2920509210295</v>
      </c>
      <c r="U69" s="54">
        <f t="shared" si="100"/>
        <v>638.37078665028889</v>
      </c>
      <c r="W69" t="str">
        <f t="shared" si="133"/>
        <v>91 Elementary trades and related occupations</v>
      </c>
      <c r="X69" s="335">
        <f t="shared" si="151"/>
        <v>0.33272867650782106</v>
      </c>
      <c r="Y69" s="335">
        <f t="shared" si="151"/>
        <v>0.30405867449266721</v>
      </c>
      <c r="Z69" s="335">
        <f t="shared" si="151"/>
        <v>0.26428335323074403</v>
      </c>
      <c r="AA69" s="335">
        <f t="shared" si="151"/>
        <v>0.65673330185223844</v>
      </c>
      <c r="AB69" s="335">
        <f t="shared" si="151"/>
        <v>0.88013456204740059</v>
      </c>
      <c r="AD69" s="278">
        <f t="shared" si="102"/>
        <v>296.05812527908211</v>
      </c>
      <c r="AE69" s="54">
        <f t="shared" si="103"/>
        <v>199.51300785689568</v>
      </c>
      <c r="AF69" s="54">
        <f t="shared" si="104"/>
        <v>495.57113313597785</v>
      </c>
      <c r="AH69" t="str">
        <f t="shared" si="134"/>
        <v>91 Elementary trades and related occupations</v>
      </c>
      <c r="AI69" s="335">
        <f t="shared" si="152"/>
        <v>0.76488610907114685</v>
      </c>
      <c r="AJ69" s="335">
        <f t="shared" si="152"/>
        <v>0.77560909557335467</v>
      </c>
      <c r="AK69" s="335">
        <f t="shared" si="152"/>
        <v>0.66613131373923684</v>
      </c>
      <c r="AL69" s="335">
        <f t="shared" si="152"/>
        <v>1.7016837649125389</v>
      </c>
      <c r="AM69" s="335">
        <f t="shared" si="152"/>
        <v>2.420363059607177</v>
      </c>
      <c r="AO69" s="278">
        <f t="shared" si="106"/>
        <v>298.0067626500956</v>
      </c>
      <c r="AP69" s="54">
        <f t="shared" si="107"/>
        <v>201.22378946622425</v>
      </c>
      <c r="AQ69" s="54">
        <f t="shared" si="108"/>
        <v>499.23055211631981</v>
      </c>
      <c r="AS69" t="str">
        <f t="shared" si="135"/>
        <v>91 Elementary trades and related occupations</v>
      </c>
      <c r="AT69" s="335">
        <f t="shared" si="153"/>
        <v>0.91368077713680562</v>
      </c>
      <c r="AU69" s="335">
        <f t="shared" si="153"/>
        <v>0.83653513293510218</v>
      </c>
      <c r="AV69" s="335">
        <f t="shared" si="153"/>
        <v>0.80793987865645212</v>
      </c>
      <c r="AW69" s="335">
        <f t="shared" si="153"/>
        <v>1.8721452798976328</v>
      </c>
      <c r="AX69" s="335">
        <f t="shared" si="153"/>
        <v>2.3692103598603014</v>
      </c>
      <c r="AZ69" s="278">
        <f t="shared" si="110"/>
        <v>245.93843209727743</v>
      </c>
      <c r="BA69" s="54">
        <f t="shared" si="111"/>
        <v>162.21042506256606</v>
      </c>
      <c r="BB69" s="54">
        <f t="shared" si="112"/>
        <v>408.14885715984349</v>
      </c>
      <c r="BD69" t="str">
        <f t="shared" si="136"/>
        <v>91 Elementary trades and related occupations</v>
      </c>
      <c r="BE69" s="335">
        <f t="shared" si="154"/>
        <v>1.2808364650441837</v>
      </c>
      <c r="BF69" s="335">
        <f t="shared" si="154"/>
        <v>1.120670746821776</v>
      </c>
      <c r="BG69" s="335">
        <f t="shared" si="154"/>
        <v>1.0397783102267026</v>
      </c>
      <c r="BH69" s="335">
        <f t="shared" si="154"/>
        <v>2.0419957447772141</v>
      </c>
      <c r="BI69" s="335">
        <f t="shared" si="154"/>
        <v>2.7104779365546379</v>
      </c>
      <c r="BK69" s="278">
        <f t="shared" si="114"/>
        <v>159.70054485468395</v>
      </c>
      <c r="BL69" s="54">
        <f t="shared" si="115"/>
        <v>97.775045410987801</v>
      </c>
      <c r="BM69" s="54">
        <f t="shared" si="116"/>
        <v>257.47559026567177</v>
      </c>
      <c r="BO69" t="str">
        <f t="shared" si="137"/>
        <v>91 Elementary trades and related occupations</v>
      </c>
      <c r="BP69" s="335">
        <f t="shared" si="155"/>
        <v>2.1407971566340493</v>
      </c>
      <c r="BQ69" s="335">
        <f t="shared" si="155"/>
        <v>1.8914442122858013</v>
      </c>
      <c r="BR69" s="335">
        <f t="shared" si="155"/>
        <v>1.8237047395246286</v>
      </c>
      <c r="BS69" s="335">
        <f t="shared" si="155"/>
        <v>3.2847409222440116</v>
      </c>
      <c r="BT69" s="335">
        <f t="shared" si="155"/>
        <v>4.1991581592015139</v>
      </c>
      <c r="BV69" s="278">
        <f t="shared" si="118"/>
        <v>84.56685797468441</v>
      </c>
      <c r="BW69" s="54">
        <f t="shared" si="119"/>
        <v>72.067502694664498</v>
      </c>
      <c r="BX69" s="54">
        <f t="shared" si="120"/>
        <v>156.63436066934892</v>
      </c>
      <c r="BZ69" t="str">
        <f t="shared" si="138"/>
        <v>91 Elementary trades and related occupations</v>
      </c>
      <c r="CA69" s="335">
        <f t="shared" si="156"/>
        <v>3.9242585766694336</v>
      </c>
      <c r="CB69" s="335">
        <f t="shared" si="156"/>
        <v>3.6318445386985387</v>
      </c>
      <c r="CC69" s="335">
        <f t="shared" si="156"/>
        <v>3.4227827709012248</v>
      </c>
      <c r="CD69" s="335">
        <f t="shared" si="156"/>
        <v>6.2669343391970989</v>
      </c>
      <c r="CE69" s="335">
        <f t="shared" si="156"/>
        <v>8.4450907823701726</v>
      </c>
      <c r="CG69" s="278">
        <f t="shared" si="122"/>
        <v>47.299316238167592</v>
      </c>
      <c r="CH69" s="54">
        <f t="shared" si="123"/>
        <v>64.040956820574152</v>
      </c>
      <c r="CI69" s="54">
        <f t="shared" si="124"/>
        <v>111.34027305874173</v>
      </c>
      <c r="CK69" t="str">
        <f t="shared" si="139"/>
        <v>91 Elementary trades and related occupations</v>
      </c>
      <c r="CL69" s="335">
        <f t="shared" si="157"/>
        <v>5.2257635411442172</v>
      </c>
      <c r="CM69" s="335">
        <f t="shared" si="157"/>
        <v>4.9106245276674905</v>
      </c>
      <c r="CN69" s="335">
        <f t="shared" si="157"/>
        <v>4.9680815745293163</v>
      </c>
      <c r="CO69" s="335">
        <f t="shared" si="157"/>
        <v>9.5966021937787787</v>
      </c>
      <c r="CP69" s="335">
        <f t="shared" si="157"/>
        <v>11.512739266844767</v>
      </c>
      <c r="CR69" s="278">
        <f t="shared" si="126"/>
        <v>41.167908337319552</v>
      </c>
      <c r="CS69" s="54">
        <f t="shared" si="127"/>
        <v>50.130660802106</v>
      </c>
      <c r="CT69" s="54">
        <f t="shared" si="128"/>
        <v>91.298569139425553</v>
      </c>
    </row>
    <row r="70" spans="1:98">
      <c r="A70" t="str">
        <f t="shared" si="95"/>
        <v>92 Elementary administration and service occupations</v>
      </c>
      <c r="B70" s="335">
        <f t="shared" si="149"/>
        <v>0.46568070033022174</v>
      </c>
      <c r="C70" s="335">
        <f t="shared" si="149"/>
        <v>0.46159478982071633</v>
      </c>
      <c r="D70" s="335">
        <f t="shared" si="149"/>
        <v>0.44188789687292002</v>
      </c>
      <c r="E70" s="335">
        <f t="shared" si="149"/>
        <v>0.44324810450742086</v>
      </c>
      <c r="F70" s="335">
        <f t="shared" si="149"/>
        <v>0.47292429143626186</v>
      </c>
      <c r="H70" s="278">
        <f t="shared" si="129"/>
        <v>91.292031931073907</v>
      </c>
      <c r="I70" s="54">
        <f t="shared" si="130"/>
        <v>83.416142033146983</v>
      </c>
      <c r="J70" s="54">
        <f t="shared" si="131"/>
        <v>174.70817396422086</v>
      </c>
      <c r="L70" t="str">
        <f t="shared" ref="L70" si="158">A70</f>
        <v>92 Elementary administration and service occupations</v>
      </c>
      <c r="M70" s="335">
        <f t="shared" si="150"/>
        <v>1.9324240253259988</v>
      </c>
      <c r="N70" s="335">
        <f t="shared" si="150"/>
        <v>2.0551327242658859</v>
      </c>
      <c r="O70" s="335">
        <f t="shared" si="150"/>
        <v>2.0305173124549376</v>
      </c>
      <c r="P70" s="335">
        <f t="shared" si="150"/>
        <v>2.1841954617237951</v>
      </c>
      <c r="Q70" s="335">
        <f t="shared" si="150"/>
        <v>2.722302628111859</v>
      </c>
      <c r="S70" s="278">
        <f t="shared" si="98"/>
        <v>141.75150986361277</v>
      </c>
      <c r="T70" s="54">
        <f t="shared" si="99"/>
        <v>98.919429333511289</v>
      </c>
      <c r="U70" s="54">
        <f t="shared" si="100"/>
        <v>240.67093919712406</v>
      </c>
      <c r="W70" t="str">
        <f t="shared" ref="W70" si="159">A70</f>
        <v>92 Elementary administration and service occupations</v>
      </c>
      <c r="X70" s="335">
        <f t="shared" si="151"/>
        <v>3.4019224564917945</v>
      </c>
      <c r="Y70" s="335">
        <f t="shared" si="151"/>
        <v>3.6903306876040731</v>
      </c>
      <c r="Z70" s="335">
        <f t="shared" si="151"/>
        <v>3.6441517082318069</v>
      </c>
      <c r="AA70" s="335">
        <f t="shared" si="151"/>
        <v>3.6957027452822375</v>
      </c>
      <c r="AB70" s="335">
        <f t="shared" si="151"/>
        <v>4.1495395176344552</v>
      </c>
      <c r="AD70" s="278">
        <f t="shared" si="102"/>
        <v>35.420095755808632</v>
      </c>
      <c r="AE70" s="54">
        <f t="shared" si="103"/>
        <v>75.925985446179183</v>
      </c>
      <c r="AF70" s="54">
        <f t="shared" si="104"/>
        <v>111.34608120198781</v>
      </c>
      <c r="AH70" t="str">
        <f t="shared" ref="AH70" si="160">L70</f>
        <v>92 Elementary administration and service occupations</v>
      </c>
      <c r="AI70" s="335">
        <f t="shared" si="152"/>
        <v>5.4841591695117016</v>
      </c>
      <c r="AJ70" s="335">
        <f t="shared" si="152"/>
        <v>6.5521474871162386</v>
      </c>
      <c r="AK70" s="335">
        <f t="shared" si="152"/>
        <v>6.5821727895036135</v>
      </c>
      <c r="AL70" s="335">
        <f t="shared" si="152"/>
        <v>6.9041625078765403</v>
      </c>
      <c r="AM70" s="335">
        <f t="shared" si="152"/>
        <v>7.9916554729393958</v>
      </c>
      <c r="AO70" s="278">
        <f t="shared" si="106"/>
        <v>32.995595682093779</v>
      </c>
      <c r="AP70" s="54">
        <f t="shared" si="107"/>
        <v>70.771388378959671</v>
      </c>
      <c r="AQ70" s="54">
        <f t="shared" si="108"/>
        <v>103.76698406105345</v>
      </c>
      <c r="AS70" t="str">
        <f t="shared" ref="AS70" si="161">W70</f>
        <v>92 Elementary administration and service occupations</v>
      </c>
      <c r="AT70" s="335">
        <f t="shared" si="153"/>
        <v>5.3350085607106914</v>
      </c>
      <c r="AU70" s="335">
        <f t="shared" si="153"/>
        <v>5.5952129939502511</v>
      </c>
      <c r="AV70" s="335">
        <f t="shared" si="153"/>
        <v>5.7787290544287373</v>
      </c>
      <c r="AW70" s="335">
        <f t="shared" si="153"/>
        <v>5.6714766493253501</v>
      </c>
      <c r="AX70" s="335">
        <f t="shared" si="153"/>
        <v>6.3688195753177927</v>
      </c>
      <c r="AZ70" s="278">
        <f t="shared" si="110"/>
        <v>30.017211653442384</v>
      </c>
      <c r="BA70" s="54">
        <f t="shared" si="111"/>
        <v>68.300710059180233</v>
      </c>
      <c r="BB70" s="54">
        <f t="shared" si="112"/>
        <v>98.317921712622621</v>
      </c>
      <c r="BD70" t="str">
        <f t="shared" ref="BD70" si="162">AH70</f>
        <v>92 Elementary administration and service occupations</v>
      </c>
      <c r="BE70" s="335">
        <f t="shared" si="154"/>
        <v>8.827811945797098</v>
      </c>
      <c r="BF70" s="335">
        <f t="shared" si="154"/>
        <v>8.3348378579263027</v>
      </c>
      <c r="BG70" s="335">
        <f t="shared" si="154"/>
        <v>7.9912853590956985</v>
      </c>
      <c r="BH70" s="335">
        <f t="shared" si="154"/>
        <v>6.8405609439211048</v>
      </c>
      <c r="BI70" s="335">
        <f t="shared" si="154"/>
        <v>6.3989189053288626</v>
      </c>
      <c r="BK70" s="278">
        <f t="shared" si="114"/>
        <v>-20.226672924048337</v>
      </c>
      <c r="BL70" s="54">
        <f t="shared" si="115"/>
        <v>41.784817245505742</v>
      </c>
      <c r="BM70" s="54">
        <f t="shared" si="116"/>
        <v>21.558144321457405</v>
      </c>
      <c r="BO70" t="str">
        <f t="shared" ref="BO70" si="163">AS70</f>
        <v>92 Elementary administration and service occupations</v>
      </c>
      <c r="BP70" s="335">
        <f t="shared" si="155"/>
        <v>13.886764721731989</v>
      </c>
      <c r="BQ70" s="335">
        <f t="shared" si="155"/>
        <v>14.341087623642496</v>
      </c>
      <c r="BR70" s="335">
        <f t="shared" si="155"/>
        <v>13.718915173886501</v>
      </c>
      <c r="BS70" s="335">
        <f t="shared" si="155"/>
        <v>13.167545896633451</v>
      </c>
      <c r="BT70" s="335">
        <f t="shared" si="155"/>
        <v>13.555618878922825</v>
      </c>
      <c r="BV70" s="278">
        <f t="shared" si="118"/>
        <v>-20.796277686048327</v>
      </c>
      <c r="BW70" s="54">
        <f t="shared" si="119"/>
        <v>42.041238578359682</v>
      </c>
      <c r="BX70" s="54">
        <f t="shared" si="120"/>
        <v>21.244960892311354</v>
      </c>
      <c r="BZ70" t="str">
        <f t="shared" ref="BZ70" si="164">BD70</f>
        <v>92 Elementary administration and service occupations</v>
      </c>
      <c r="CA70" s="335">
        <f t="shared" si="156"/>
        <v>18.828393781576885</v>
      </c>
      <c r="CB70" s="335">
        <f t="shared" si="156"/>
        <v>19.734525287268571</v>
      </c>
      <c r="CC70" s="335">
        <f t="shared" si="156"/>
        <v>19.139192985617758</v>
      </c>
      <c r="CD70" s="335">
        <f t="shared" si="156"/>
        <v>18.514979187212397</v>
      </c>
      <c r="CE70" s="335">
        <f t="shared" si="156"/>
        <v>18.803742209559747</v>
      </c>
      <c r="CG70" s="278">
        <f t="shared" si="122"/>
        <v>-41.346165066291483</v>
      </c>
      <c r="CH70" s="54">
        <f t="shared" si="123"/>
        <v>31.137145504057351</v>
      </c>
      <c r="CI70" s="54">
        <f t="shared" si="124"/>
        <v>-10.209019562234138</v>
      </c>
      <c r="CK70" t="str">
        <f t="shared" ref="CK70" si="165">BO70</f>
        <v>92 Elementary administration and service occupations</v>
      </c>
      <c r="CL70" s="335">
        <f t="shared" si="157"/>
        <v>25.676933181293531</v>
      </c>
      <c r="CM70" s="335">
        <f t="shared" si="157"/>
        <v>22.529879631488573</v>
      </c>
      <c r="CN70" s="335">
        <f t="shared" si="157"/>
        <v>20.87135526040403</v>
      </c>
      <c r="CO70" s="335">
        <f t="shared" si="157"/>
        <v>15.511597866024093</v>
      </c>
      <c r="CP70" s="335">
        <f t="shared" si="157"/>
        <v>12.904867144684177</v>
      </c>
      <c r="CR70" s="278">
        <f t="shared" si="126"/>
        <v>-62.334050798193942</v>
      </c>
      <c r="CS70" s="54">
        <f t="shared" si="127"/>
        <v>15.703134223622872</v>
      </c>
      <c r="CT70" s="54">
        <f t="shared" si="128"/>
        <v>-46.63091657457106</v>
      </c>
    </row>
    <row r="71" spans="1:98">
      <c r="B71" s="335"/>
      <c r="C71" s="335"/>
      <c r="D71" s="335"/>
      <c r="E71" s="335"/>
      <c r="F71" s="335"/>
      <c r="H71" s="278"/>
      <c r="I71" s="54"/>
      <c r="J71" s="54"/>
      <c r="M71" s="335"/>
      <c r="N71" s="335"/>
      <c r="O71" s="335"/>
      <c r="P71" s="335"/>
      <c r="Q71" s="335"/>
      <c r="S71" s="278"/>
      <c r="T71" s="54"/>
      <c r="U71" s="54"/>
      <c r="X71" s="335"/>
      <c r="Y71" s="335"/>
      <c r="Z71" s="335"/>
      <c r="AA71" s="335"/>
      <c r="AB71" s="335"/>
      <c r="AD71" s="278"/>
      <c r="AE71" s="54"/>
      <c r="AF71" s="54"/>
      <c r="AI71" s="335"/>
      <c r="AJ71" s="335"/>
      <c r="AK71" s="335"/>
      <c r="AL71" s="335"/>
      <c r="AM71" s="335"/>
      <c r="AO71" s="278"/>
      <c r="AP71" s="54"/>
      <c r="AQ71" s="54"/>
      <c r="AT71" s="335"/>
      <c r="AU71" s="335"/>
      <c r="AV71" s="335"/>
      <c r="AW71" s="335"/>
      <c r="AX71" s="335"/>
      <c r="AZ71" s="278"/>
      <c r="BA71" s="54"/>
      <c r="BB71" s="54"/>
      <c r="BE71" s="335"/>
      <c r="BF71" s="335"/>
      <c r="BG71" s="335"/>
      <c r="BH71" s="335"/>
      <c r="BI71" s="335"/>
      <c r="BK71" s="278"/>
      <c r="BL71" s="54"/>
      <c r="BM71" s="54"/>
      <c r="BP71" s="335"/>
      <c r="BQ71" s="335"/>
      <c r="BR71" s="335"/>
      <c r="BS71" s="335"/>
      <c r="BT71" s="335"/>
      <c r="BV71" s="278"/>
      <c r="BW71" s="54"/>
      <c r="BX71" s="54"/>
      <c r="CA71" s="335"/>
      <c r="CB71" s="335"/>
      <c r="CC71" s="335"/>
      <c r="CD71" s="335"/>
      <c r="CE71" s="335"/>
      <c r="CG71" s="278"/>
      <c r="CH71" s="54"/>
      <c r="CI71" s="54"/>
      <c r="CL71" s="335"/>
      <c r="CM71" s="335"/>
      <c r="CN71" s="335"/>
      <c r="CO71" s="335"/>
      <c r="CP71" s="335"/>
      <c r="CR71" s="278"/>
      <c r="CS71" s="54"/>
      <c r="CT71" s="54"/>
    </row>
    <row r="72" spans="1:98">
      <c r="A72" s="21" t="str">
        <f>A35</f>
        <v>All occupations</v>
      </c>
      <c r="B72" s="336">
        <f>B35/B$35*100</f>
        <v>100</v>
      </c>
      <c r="C72" s="336">
        <f>C35/C$35*100</f>
        <v>100</v>
      </c>
      <c r="D72" s="336">
        <f>D35/D$35*100</f>
        <v>100</v>
      </c>
      <c r="E72" s="336">
        <f>E35/E$35*100</f>
        <v>100</v>
      </c>
      <c r="F72" s="336">
        <f>F35/F$35*100</f>
        <v>100</v>
      </c>
      <c r="H72" s="344">
        <f>IF(D35&gt;0,(H35/D35)*100,0)</f>
        <v>78.738193848860831</v>
      </c>
      <c r="I72" s="53">
        <f>IF(D35&gt;0,I35/D35*100,0)</f>
        <v>68.690672816479946</v>
      </c>
      <c r="J72" s="53">
        <f>IF(D35&gt;0,(J35/D35)*100,0)</f>
        <v>147.42886666534076</v>
      </c>
      <c r="L72" s="21" t="str">
        <f>L35</f>
        <v>All occupations</v>
      </c>
      <c r="M72" s="336">
        <f>M35/M$35*100</f>
        <v>100</v>
      </c>
      <c r="N72" s="336">
        <f>N35/N$35*100</f>
        <v>100</v>
      </c>
      <c r="O72" s="336">
        <f>O35/O$35*100</f>
        <v>100</v>
      </c>
      <c r="P72" s="336">
        <f>P35/P$35*100</f>
        <v>100</v>
      </c>
      <c r="Q72" s="336">
        <f>Q35/Q$35*100</f>
        <v>100</v>
      </c>
      <c r="S72" s="344">
        <f t="shared" ref="S72" si="166">IF(O35&gt;0,(S35/O35)*100,0)</f>
        <v>80.318169266380366</v>
      </c>
      <c r="T72" s="53">
        <f t="shared" ref="T72" si="167">IF(O35&gt;0,T35/O35*100,0)</f>
        <v>72.333253010388106</v>
      </c>
      <c r="U72" s="53">
        <f t="shared" ref="U72" si="168">IF(O35&gt;0,(U35/O35)*100,0)</f>
        <v>152.65142227676847</v>
      </c>
      <c r="W72" s="21" t="str">
        <f>W35</f>
        <v>All occupations</v>
      </c>
      <c r="X72" s="336">
        <f>X35/X$35*100</f>
        <v>100</v>
      </c>
      <c r="Y72" s="336">
        <f>Y35/Y$35*100</f>
        <v>100</v>
      </c>
      <c r="Z72" s="336">
        <f>Z35/Z$35*100</f>
        <v>100</v>
      </c>
      <c r="AA72" s="336">
        <f>AA35/AA$35*100</f>
        <v>100</v>
      </c>
      <c r="AB72" s="336">
        <f>AB35/AB$35*100</f>
        <v>100</v>
      </c>
      <c r="AD72" s="344">
        <f t="shared" ref="AD72" si="169">IF(Z35&gt;0,(AD35/Z35)*100,0)</f>
        <v>18.926779990945004</v>
      </c>
      <c r="AE72" s="53">
        <f t="shared" ref="AE72" si="170">IF(Z35&gt;0,AE35/Z35*100,0)</f>
        <v>60.218299380796083</v>
      </c>
      <c r="AF72" s="53">
        <f t="shared" ref="AF72" si="171">IF(Z35&gt;0,(AF35/Z35)*100,0)</f>
        <v>79.145079371741076</v>
      </c>
      <c r="AH72" s="21" t="str">
        <f>AH35</f>
        <v>All occupations</v>
      </c>
      <c r="AI72" s="336">
        <f>AI35/AI$35*100</f>
        <v>100</v>
      </c>
      <c r="AJ72" s="336">
        <f>AJ35/AJ$35*100</f>
        <v>100</v>
      </c>
      <c r="AK72" s="336">
        <f>AK35/AK$35*100</f>
        <v>100</v>
      </c>
      <c r="AL72" s="336">
        <f>AL35/AL$35*100</f>
        <v>100</v>
      </c>
      <c r="AM72" s="336">
        <f>AM35/AM$35*100</f>
        <v>100</v>
      </c>
      <c r="AO72" s="344">
        <f t="shared" ref="AO72" si="172">IF(AK35&gt;0,(AO35/AK35)*100,0)</f>
        <v>9.539255538067227</v>
      </c>
      <c r="AP72" s="53">
        <f t="shared" ref="AP72" si="173">IF(AK35&gt;0,AP35/AK35*100,0)</f>
        <v>55.799736183818062</v>
      </c>
      <c r="AQ72" s="53">
        <f t="shared" ref="AQ72" si="174">IF(AK35&gt;0,(AQ35/AK35)*100,0)</f>
        <v>65.338991721885293</v>
      </c>
      <c r="AS72" s="21" t="str">
        <f>AS35</f>
        <v>All occupations</v>
      </c>
      <c r="AT72" s="336">
        <f>AT35/AT$35*100</f>
        <v>100</v>
      </c>
      <c r="AU72" s="336">
        <f>AU35/AU$35*100</f>
        <v>100</v>
      </c>
      <c r="AV72" s="336">
        <f>AV35/AV$35*100</f>
        <v>100</v>
      </c>
      <c r="AW72" s="336">
        <f>AW35/AW$35*100</f>
        <v>100</v>
      </c>
      <c r="AX72" s="336">
        <f>AX35/AX$35*100</f>
        <v>100</v>
      </c>
      <c r="AZ72" s="344">
        <f t="shared" ref="AZ72" si="175">IF(AV35&gt;0,(AZ35/AV35)*100,0)</f>
        <v>17.970721210149527</v>
      </c>
      <c r="BA72" s="53">
        <f t="shared" ref="BA72" si="176">IF(AV35&gt;0,BA35/AV35*100,0)</f>
        <v>57.266904727642206</v>
      </c>
      <c r="BB72" s="53">
        <f t="shared" ref="BB72" si="177">IF(AV35&gt;0,(BB35/AV35)*100,0)</f>
        <v>75.237625937791748</v>
      </c>
      <c r="BD72" s="21" t="str">
        <f>BD35</f>
        <v>All occupations</v>
      </c>
      <c r="BE72" s="336">
        <f>BE35/BE$35*100</f>
        <v>100</v>
      </c>
      <c r="BF72" s="336">
        <f>BF35/BF$35*100</f>
        <v>100</v>
      </c>
      <c r="BG72" s="336">
        <f>BG35/BG$35*100</f>
        <v>100</v>
      </c>
      <c r="BH72" s="336">
        <f>BH35/BH$35*100</f>
        <v>100</v>
      </c>
      <c r="BI72" s="336">
        <f>BI35/BI$35*100</f>
        <v>100</v>
      </c>
      <c r="BK72" s="344">
        <f t="shared" ref="BK72" si="178">IF(BG35&gt;0,(BK35/BG35)*100,0)</f>
        <v>-0.37513677857085675</v>
      </c>
      <c r="BL72" s="53">
        <f t="shared" ref="BL72" si="179">IF(BG35&gt;0,BL35/BG35*100,0)</f>
        <v>45.157228459863511</v>
      </c>
      <c r="BM72" s="53">
        <f t="shared" ref="BM72" si="180">IF(BG35&gt;0,(BM35/BG35)*100,0)</f>
        <v>44.782091681292655</v>
      </c>
      <c r="BO72" s="21" t="str">
        <f>BO35</f>
        <v>All occupations</v>
      </c>
      <c r="BP72" s="336">
        <f>BP35/BP$35*100</f>
        <v>100</v>
      </c>
      <c r="BQ72" s="336">
        <f>BQ35/BQ$35*100</f>
        <v>100</v>
      </c>
      <c r="BR72" s="336">
        <f>BR35/BR$35*100</f>
        <v>100</v>
      </c>
      <c r="BS72" s="336">
        <f>BS35/BS$35*100</f>
        <v>100</v>
      </c>
      <c r="BT72" s="336">
        <f>BT35/BT$35*100</f>
        <v>100</v>
      </c>
      <c r="BV72" s="344">
        <f t="shared" ref="BV72" si="181">IF(BR35&gt;0,(BV35/BR35)*100,0)</f>
        <v>-19.842158621716248</v>
      </c>
      <c r="BW72" s="53">
        <f t="shared" ref="BW72" si="182">IF(BR35&gt;0,BW35/BR35*100,0)</f>
        <v>41.102963647592162</v>
      </c>
      <c r="BX72" s="53">
        <f t="shared" ref="BX72" si="183">IF(BR35&gt;0,(BX35/BR35)*100,0)</f>
        <v>21.260805025875918</v>
      </c>
      <c r="BZ72" s="21" t="str">
        <f>BZ35</f>
        <v>All occupations</v>
      </c>
      <c r="CA72" s="336">
        <f>CA35/CA$35*100</f>
        <v>100</v>
      </c>
      <c r="CB72" s="336">
        <f>CB35/CB$35*100</f>
        <v>100</v>
      </c>
      <c r="CC72" s="336">
        <f>CC35/CC$35*100</f>
        <v>100</v>
      </c>
      <c r="CD72" s="336">
        <f>CD35/CD$35*100</f>
        <v>100</v>
      </c>
      <c r="CE72" s="336">
        <f>CE35/CE$35*100</f>
        <v>100</v>
      </c>
      <c r="CG72" s="344">
        <f t="shared" ref="CG72" si="184">IF(CC35&gt;0,(CG35/CC35)*100,0)</f>
        <v>-40.299805558273555</v>
      </c>
      <c r="CH72" s="53">
        <f t="shared" ref="CH72" si="185">IF(CC35&gt;0,CH35/CC35*100,0)</f>
        <v>31.369643013935626</v>
      </c>
      <c r="CI72" s="53">
        <f t="shared" ref="CI72" si="186">IF(CC35&gt;0,(CI35/CC35)*100,0)</f>
        <v>-8.9301625443379304</v>
      </c>
      <c r="CK72" s="21" t="str">
        <f>CK35</f>
        <v>All occupations</v>
      </c>
      <c r="CL72" s="336">
        <f>CL35/CL$35*100</f>
        <v>100</v>
      </c>
      <c r="CM72" s="336">
        <f>CM35/CM$35*100</f>
        <v>100</v>
      </c>
      <c r="CN72" s="336">
        <f>CN35/CN$35*100</f>
        <v>100</v>
      </c>
      <c r="CO72" s="336">
        <f>CO35/CO$35*100</f>
        <v>100</v>
      </c>
      <c r="CP72" s="336">
        <f>CP35/CP$35*100</f>
        <v>100</v>
      </c>
      <c r="CR72" s="344">
        <f t="shared" ref="CR72" si="187">IF(CN35&gt;0,(CR35/CN35)*100,0)</f>
        <v>-39.081944959421335</v>
      </c>
      <c r="CS72" s="53">
        <f t="shared" ref="CS72" si="188">IF(CN35&gt;0,CS35/CN35*100,0)</f>
        <v>24.651695002782457</v>
      </c>
      <c r="CT72" s="53">
        <f t="shared" ref="CT72" si="189">IF(CN35&gt;0,(CT35/CN35)*100,0)</f>
        <v>-14.43024995663888</v>
      </c>
    </row>
    <row r="75" spans="1:98" ht="51" customHeight="1">
      <c r="A75" s="373" t="str">
        <f>CONCATENATE(A$1," (Continued)")</f>
        <v>Basic Table 2  Employment Change by Occupation and Replacement Demand, RQF8 Doctorate, 2015-2035, England (Continued)</v>
      </c>
      <c r="B75" s="373"/>
      <c r="C75" s="373"/>
      <c r="D75" s="373"/>
      <c r="E75" s="373"/>
      <c r="F75" s="373"/>
      <c r="G75" s="373"/>
      <c r="H75" s="373"/>
      <c r="I75" s="373"/>
      <c r="J75" s="373"/>
      <c r="L75" s="373" t="str">
        <f>CONCATENATE(L$1," (Continued)")</f>
        <v>Basic Table 2.1  Employment Change by Occupation and Replacement Demand, RQF7 Other higher degree, 2015-2035, England (Continued)</v>
      </c>
      <c r="M75" s="373"/>
      <c r="N75" s="373"/>
      <c r="O75" s="373"/>
      <c r="P75" s="373"/>
      <c r="Q75" s="373"/>
      <c r="R75" s="373"/>
      <c r="S75" s="373"/>
      <c r="T75" s="373"/>
      <c r="U75" s="373"/>
      <c r="W75" s="373" t="str">
        <f>CONCATENATE(W$1," (Continued)")</f>
        <v>Basic Table 2.2  Employment Change by Occupation and Replacement Demand, RQF6 First degree, 2015-2035, England (Continued)</v>
      </c>
      <c r="X75" s="373"/>
      <c r="Y75" s="373"/>
      <c r="Z75" s="373"/>
      <c r="AA75" s="373"/>
      <c r="AB75" s="373"/>
      <c r="AC75" s="373"/>
      <c r="AD75" s="373"/>
      <c r="AE75" s="373"/>
      <c r="AF75" s="373"/>
      <c r="AH75" s="373" t="str">
        <f>CONCATENATE(AH$1," (Continued)")</f>
        <v>Basic Table 2.3  Employment Change by Occupation and Replacement Demand, RQF5 Foundation degree;Nursing;Teaching, 2015-2035, England (Continued)</v>
      </c>
      <c r="AI75" s="373"/>
      <c r="AJ75" s="373"/>
      <c r="AK75" s="373"/>
      <c r="AL75" s="373"/>
      <c r="AM75" s="373"/>
      <c r="AN75" s="373"/>
      <c r="AO75" s="373"/>
      <c r="AP75" s="373"/>
      <c r="AQ75" s="373"/>
      <c r="AS75" s="373" t="str">
        <f>CONCATENATE(AS$1," (Continued)")</f>
        <v>Basic Table 2.4  Employment Change by Occupation and Replacement Demand, RQF4 HE below degree level, 2015-2035, England (Continued)</v>
      </c>
      <c r="AT75" s="373"/>
      <c r="AU75" s="373"/>
      <c r="AV75" s="373"/>
      <c r="AW75" s="373"/>
      <c r="AX75" s="373"/>
      <c r="AY75" s="373"/>
      <c r="AZ75" s="373"/>
      <c r="BA75" s="373"/>
      <c r="BB75" s="373"/>
      <c r="BD75" s="373" t="str">
        <f>CONCATENATE(BD$1," (Continued)")</f>
        <v>Basic Table 2.5  Employment Change by Occupation and Replacement Demand, RQF3 A level &amp; equivalent, 2015-2035, England (Continued)</v>
      </c>
      <c r="BE75" s="373"/>
      <c r="BF75" s="373"/>
      <c r="BG75" s="373"/>
      <c r="BH75" s="373"/>
      <c r="BI75" s="373"/>
      <c r="BJ75" s="373"/>
      <c r="BK75" s="373"/>
      <c r="BL75" s="373"/>
      <c r="BM75" s="373"/>
      <c r="BO75" s="373" t="str">
        <f>CONCATENATE(BO$1," (Continued)")</f>
        <v>Basic Table 2.6  Employment Change by Occupation and Replacement Demand, RQF2 GCSE(A-C) &amp; equivalent, 2015-2035, England (Continued)</v>
      </c>
      <c r="BP75" s="373"/>
      <c r="BQ75" s="373"/>
      <c r="BR75" s="373"/>
      <c r="BS75" s="373"/>
      <c r="BT75" s="373"/>
      <c r="BU75" s="373"/>
      <c r="BV75" s="373"/>
      <c r="BW75" s="373"/>
      <c r="BX75" s="373"/>
      <c r="BZ75" s="373" t="str">
        <f>CONCATENATE(BZ$1," (Continued)")</f>
        <v>Basic Table 2.7  Employment Change by Occupation and Replacement Demand, RQF1 GCSE(below grade C) &amp; equivalent, 2015-2035, England (Continued)</v>
      </c>
      <c r="CA75" s="373"/>
      <c r="CB75" s="373"/>
      <c r="CC75" s="373"/>
      <c r="CD75" s="373"/>
      <c r="CE75" s="373"/>
      <c r="CF75" s="373"/>
      <c r="CG75" s="373"/>
      <c r="CH75" s="373"/>
      <c r="CI75" s="373"/>
      <c r="CK75" s="373" t="str">
        <f>CONCATENATE(CK$1," (Continued)")</f>
        <v>Basic Table 2.8  Employment Change by Occupation and Replacement Demand, No Qualification, 2015-2035, England (Continued)</v>
      </c>
      <c r="CL75" s="373"/>
      <c r="CM75" s="373"/>
      <c r="CN75" s="373"/>
      <c r="CO75" s="373"/>
      <c r="CP75" s="373"/>
      <c r="CQ75" s="373"/>
      <c r="CR75" s="373"/>
      <c r="CS75" s="373"/>
      <c r="CT75" s="373"/>
    </row>
    <row r="77" spans="1:98">
      <c r="F77" s="15" t="s">
        <v>178</v>
      </c>
      <c r="J77" s="15" t="s">
        <v>178</v>
      </c>
      <c r="Q77" s="15" t="s">
        <v>178</v>
      </c>
      <c r="U77" s="15" t="s">
        <v>178</v>
      </c>
      <c r="AB77" s="15" t="s">
        <v>178</v>
      </c>
      <c r="AF77" s="15" t="s">
        <v>178</v>
      </c>
      <c r="AM77" s="15" t="s">
        <v>178</v>
      </c>
      <c r="AQ77" s="15" t="s">
        <v>178</v>
      </c>
      <c r="AX77" s="15" t="s">
        <v>178</v>
      </c>
      <c r="BB77" s="15" t="s">
        <v>178</v>
      </c>
      <c r="BI77" s="15" t="s">
        <v>178</v>
      </c>
      <c r="BM77" s="15" t="s">
        <v>178</v>
      </c>
      <c r="BT77" s="15" t="s">
        <v>178</v>
      </c>
      <c r="BX77" s="15" t="s">
        <v>178</v>
      </c>
      <c r="CE77" s="15" t="s">
        <v>178</v>
      </c>
      <c r="CI77" s="15" t="s">
        <v>178</v>
      </c>
      <c r="CP77" s="15" t="s">
        <v>178</v>
      </c>
      <c r="CT77" s="15" t="s">
        <v>178</v>
      </c>
    </row>
    <row r="78" spans="1:98" ht="12.95">
      <c r="A78" s="28"/>
      <c r="B78" s="28"/>
      <c r="C78" s="28"/>
      <c r="D78" s="28"/>
      <c r="E78" s="28"/>
      <c r="F78" s="28"/>
      <c r="H78" s="23" t="str">
        <f>$H$4</f>
        <v>2020-2035</v>
      </c>
      <c r="I78" s="28"/>
      <c r="J78" s="28"/>
      <c r="L78" s="28"/>
      <c r="M78" s="28"/>
      <c r="N78" s="28"/>
      <c r="O78" s="28"/>
      <c r="P78" s="28"/>
      <c r="Q78" s="28"/>
      <c r="S78" s="23" t="str">
        <f>$H$4</f>
        <v>2020-2035</v>
      </c>
      <c r="T78" s="28"/>
      <c r="U78" s="28"/>
      <c r="W78" s="28"/>
      <c r="X78" s="28"/>
      <c r="Y78" s="28"/>
      <c r="Z78" s="28"/>
      <c r="AA78" s="28"/>
      <c r="AB78" s="28"/>
      <c r="AD78" s="23" t="str">
        <f>$H$4</f>
        <v>2020-2035</v>
      </c>
      <c r="AE78" s="28"/>
      <c r="AF78" s="28"/>
      <c r="AH78" s="28"/>
      <c r="AI78" s="28"/>
      <c r="AJ78" s="28"/>
      <c r="AK78" s="28"/>
      <c r="AL78" s="28"/>
      <c r="AM78" s="28"/>
      <c r="AO78" s="23" t="str">
        <f>$H$4</f>
        <v>2020-2035</v>
      </c>
      <c r="AP78" s="28"/>
      <c r="AQ78" s="28"/>
      <c r="AS78" s="28"/>
      <c r="AT78" s="28"/>
      <c r="AU78" s="28"/>
      <c r="AV78" s="28"/>
      <c r="AW78" s="28"/>
      <c r="AX78" s="28"/>
      <c r="AZ78" s="23" t="str">
        <f>$H$4</f>
        <v>2020-2035</v>
      </c>
      <c r="BA78" s="28"/>
      <c r="BB78" s="28"/>
      <c r="BD78" s="28"/>
      <c r="BE78" s="28"/>
      <c r="BF78" s="28"/>
      <c r="BG78" s="28"/>
      <c r="BH78" s="28"/>
      <c r="BI78" s="28"/>
      <c r="BK78" s="23" t="str">
        <f>$H$4</f>
        <v>2020-2035</v>
      </c>
      <c r="BL78" s="28"/>
      <c r="BM78" s="28"/>
      <c r="BO78" s="28"/>
      <c r="BP78" s="28"/>
      <c r="BQ78" s="28"/>
      <c r="BR78" s="28"/>
      <c r="BS78" s="28"/>
      <c r="BT78" s="28"/>
      <c r="BV78" s="23" t="str">
        <f>$H$4</f>
        <v>2020-2035</v>
      </c>
      <c r="BW78" s="28"/>
      <c r="BX78" s="28"/>
      <c r="BZ78" s="28"/>
      <c r="CA78" s="28"/>
      <c r="CB78" s="28"/>
      <c r="CC78" s="28"/>
      <c r="CD78" s="28"/>
      <c r="CE78" s="28"/>
      <c r="CG78" s="23" t="str">
        <f>$H$4</f>
        <v>2020-2035</v>
      </c>
      <c r="CH78" s="28"/>
      <c r="CI78" s="28"/>
      <c r="CK78" s="28"/>
      <c r="CL78" s="28"/>
      <c r="CM78" s="28"/>
      <c r="CN78" s="28"/>
      <c r="CO78" s="28"/>
      <c r="CP78" s="28"/>
      <c r="CR78" s="23" t="str">
        <f>$H$4</f>
        <v>2020-2035</v>
      </c>
      <c r="CS78" s="28"/>
      <c r="CT78" s="28"/>
    </row>
    <row r="79" spans="1:98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ht="12.95">
      <c r="A80" s="31" t="s">
        <v>125</v>
      </c>
      <c r="B80" s="51" t="str">
        <f>CONCATENATE(B$6,"-",C$6)</f>
        <v>2015-2019</v>
      </c>
      <c r="C80" s="51" t="str">
        <f>CONCATENATE(C$6,"-",D$6)</f>
        <v>2019-2020</v>
      </c>
      <c r="D80" s="51" t="str">
        <f>CONCATENATE(D$6,"-",E$6)</f>
        <v>2020-2025</v>
      </c>
      <c r="E80" s="51" t="str">
        <f>CONCATENATE(E$6,"-",F$6)</f>
        <v>2025-2035</v>
      </c>
      <c r="F80" s="51" t="str">
        <f>CONCATENATE(C$6,"-",F$6)</f>
        <v>2019-2035</v>
      </c>
      <c r="H80" s="50" t="str">
        <f t="shared" si="190"/>
        <v>Change</v>
      </c>
      <c r="I80" s="50" t="str">
        <f t="shared" si="190"/>
        <v>Demand</v>
      </c>
      <c r="J80" s="50" t="str">
        <f t="shared" si="190"/>
        <v>Requirement</v>
      </c>
      <c r="L80" s="31" t="s">
        <v>125</v>
      </c>
      <c r="M80" s="51" t="str">
        <f>CONCATENATE(M$6,"-",N$6)</f>
        <v>2015-2019</v>
      </c>
      <c r="N80" s="51" t="str">
        <f>CONCATENATE(N$6,"-",O$6)</f>
        <v>2019-2020</v>
      </c>
      <c r="O80" s="51" t="str">
        <f>CONCATENATE(O$6,"-",P$6)</f>
        <v>2020-2025</v>
      </c>
      <c r="P80" s="51" t="str">
        <f>CONCATENATE(P$6,"-",Q$6)</f>
        <v>2025-2035</v>
      </c>
      <c r="Q80" s="51" t="str">
        <f>CONCATENATE(N$6,"-",Q$6)</f>
        <v>2019-2035</v>
      </c>
      <c r="S80" s="50" t="str">
        <f t="shared" si="191"/>
        <v>Change</v>
      </c>
      <c r="T80" s="50" t="str">
        <f t="shared" si="191"/>
        <v>Demand</v>
      </c>
      <c r="U80" s="50" t="str">
        <f t="shared" si="191"/>
        <v>Requirement</v>
      </c>
      <c r="W80" s="31" t="s">
        <v>125</v>
      </c>
      <c r="X80" s="51" t="str">
        <f>CONCATENATE(X$6,"-",Y$6)</f>
        <v>2015-2019</v>
      </c>
      <c r="Y80" s="51" t="str">
        <f>CONCATENATE(Y$6,"-",Z$6)</f>
        <v>2019-2020</v>
      </c>
      <c r="Z80" s="51" t="str">
        <f>CONCATENATE(Z$6,"-",AA$6)</f>
        <v>2020-2025</v>
      </c>
      <c r="AA80" s="51" t="str">
        <f>CONCATENATE(AA$6,"-",AB$6)</f>
        <v>2025-2035</v>
      </c>
      <c r="AB80" s="51" t="str">
        <f>CONCATENATE(Y$6,"-",AB$6)</f>
        <v>2019-2035</v>
      </c>
      <c r="AD80" s="50" t="str">
        <f t="shared" si="192"/>
        <v>Change</v>
      </c>
      <c r="AE80" s="50" t="str">
        <f t="shared" si="192"/>
        <v>Demand</v>
      </c>
      <c r="AF80" s="50" t="str">
        <f t="shared" si="192"/>
        <v>Requirement</v>
      </c>
      <c r="AH80" s="31" t="s">
        <v>125</v>
      </c>
      <c r="AI80" s="51" t="str">
        <f>CONCATENATE(AI$6,"-",AJ$6)</f>
        <v>2015-2019</v>
      </c>
      <c r="AJ80" s="51" t="str">
        <f>CONCATENATE(AJ$6,"-",AK$6)</f>
        <v>2019-2020</v>
      </c>
      <c r="AK80" s="51" t="str">
        <f>CONCATENATE(AK$6,"-",AL$6)</f>
        <v>2020-2025</v>
      </c>
      <c r="AL80" s="51" t="str">
        <f>CONCATENATE(AL$6,"-",AM$6)</f>
        <v>2025-2035</v>
      </c>
      <c r="AM80" s="51" t="str">
        <f>CONCATENATE(AJ$6,"-",AM$6)</f>
        <v>2019-2035</v>
      </c>
      <c r="AO80" s="50" t="str">
        <f t="shared" si="193"/>
        <v>Change</v>
      </c>
      <c r="AP80" s="50" t="str">
        <f t="shared" si="193"/>
        <v>Demand</v>
      </c>
      <c r="AQ80" s="50" t="str">
        <f t="shared" si="193"/>
        <v>Requirement</v>
      </c>
      <c r="AS80" s="31" t="s">
        <v>125</v>
      </c>
      <c r="AT80" s="51" t="str">
        <f>CONCATENATE(AT$6,"-",AU$6)</f>
        <v>2015-2019</v>
      </c>
      <c r="AU80" s="51" t="str">
        <f>CONCATENATE(AU$6,"-",AV$6)</f>
        <v>2019-2020</v>
      </c>
      <c r="AV80" s="51" t="str">
        <f>CONCATENATE(AV$6,"-",AW$6)</f>
        <v>2020-2025</v>
      </c>
      <c r="AW80" s="51" t="str">
        <f>CONCATENATE(AW$6,"-",AX$6)</f>
        <v>2025-2035</v>
      </c>
      <c r="AX80" s="51" t="str">
        <f>CONCATENATE(AU$6,"-",AX$6)</f>
        <v>2019-2035</v>
      </c>
      <c r="AZ80" s="50" t="str">
        <f t="shared" si="194"/>
        <v>Change</v>
      </c>
      <c r="BA80" s="50" t="str">
        <f t="shared" si="194"/>
        <v>Demand</v>
      </c>
      <c r="BB80" s="50" t="str">
        <f t="shared" si="194"/>
        <v>Requirement</v>
      </c>
      <c r="BD80" s="31" t="s">
        <v>125</v>
      </c>
      <c r="BE80" s="51" t="str">
        <f>CONCATENATE(BE$6,"-",BF$6)</f>
        <v>2015-2019</v>
      </c>
      <c r="BF80" s="51" t="str">
        <f>CONCATENATE(BF$6,"-",BG$6)</f>
        <v>2019-2020</v>
      </c>
      <c r="BG80" s="51" t="str">
        <f>CONCATENATE(BG$6,"-",BH$6)</f>
        <v>2020-2025</v>
      </c>
      <c r="BH80" s="51" t="str">
        <f>CONCATENATE(BH$6,"-",BI$6)</f>
        <v>2025-2035</v>
      </c>
      <c r="BI80" s="51" t="str">
        <f>CONCATENATE(BF$6,"-",BI$6)</f>
        <v>2019-2035</v>
      </c>
      <c r="BK80" s="50" t="str">
        <f t="shared" si="195"/>
        <v>Change</v>
      </c>
      <c r="BL80" s="50" t="str">
        <f t="shared" si="195"/>
        <v>Demand</v>
      </c>
      <c r="BM80" s="50" t="str">
        <f t="shared" si="195"/>
        <v>Requirement</v>
      </c>
      <c r="BO80" s="31" t="s">
        <v>125</v>
      </c>
      <c r="BP80" s="51" t="str">
        <f>CONCATENATE(BP$6,"-",BQ$6)</f>
        <v>2015-2019</v>
      </c>
      <c r="BQ80" s="51" t="str">
        <f>CONCATENATE(BQ$6,"-",BR$6)</f>
        <v>2019-2020</v>
      </c>
      <c r="BR80" s="51" t="str">
        <f>CONCATENATE(BR$6,"-",BS$6)</f>
        <v>2020-2025</v>
      </c>
      <c r="BS80" s="51" t="str">
        <f>CONCATENATE(BS$6,"-",BT$6)</f>
        <v>2025-2035</v>
      </c>
      <c r="BT80" s="51" t="str">
        <f>CONCATENATE(BQ$6,"-",BT$6)</f>
        <v>2019-2035</v>
      </c>
      <c r="BV80" s="50" t="str">
        <f t="shared" si="196"/>
        <v>Change</v>
      </c>
      <c r="BW80" s="50" t="str">
        <f t="shared" si="196"/>
        <v>Demand</v>
      </c>
      <c r="BX80" s="50" t="str">
        <f t="shared" si="196"/>
        <v>Requirement</v>
      </c>
      <c r="BZ80" s="31" t="s">
        <v>125</v>
      </c>
      <c r="CA80" s="51" t="str">
        <f>CONCATENATE(CA$6,"-",CB$6)</f>
        <v>2015-2019</v>
      </c>
      <c r="CB80" s="51" t="str">
        <f>CONCATENATE(CB$6,"-",CC$6)</f>
        <v>2019-2020</v>
      </c>
      <c r="CC80" s="51" t="str">
        <f>CONCATENATE(CC$6,"-",CD$6)</f>
        <v>2020-2025</v>
      </c>
      <c r="CD80" s="51" t="str">
        <f>CONCATENATE(CD$6,"-",CE$6)</f>
        <v>2025-2035</v>
      </c>
      <c r="CE80" s="51" t="str">
        <f>CONCATENATE(CB$6,"-",CE$6)</f>
        <v>2019-2035</v>
      </c>
      <c r="CG80" s="50" t="str">
        <f t="shared" si="197"/>
        <v>Change</v>
      </c>
      <c r="CH80" s="50" t="str">
        <f t="shared" si="197"/>
        <v>Demand</v>
      </c>
      <c r="CI80" s="50" t="str">
        <f t="shared" si="197"/>
        <v>Requirement</v>
      </c>
      <c r="CK80" s="31" t="s">
        <v>125</v>
      </c>
      <c r="CL80" s="51" t="str">
        <f>CONCATENATE(CL$6,"-",CM$6)</f>
        <v>2015-2019</v>
      </c>
      <c r="CM80" s="51" t="str">
        <f>CONCATENATE(CM$6,"-",CN$6)</f>
        <v>2019-2020</v>
      </c>
      <c r="CN80" s="51" t="str">
        <f>CONCATENATE(CN$6,"-",CO$6)</f>
        <v>2020-2025</v>
      </c>
      <c r="CO80" s="51" t="str">
        <f>CONCATENATE(CO$6,"-",CP$6)</f>
        <v>2025-2035</v>
      </c>
      <c r="CP80" s="51" t="str">
        <f>CONCATENATE(CM$6,"-",CP$6)</f>
        <v>2019-2035</v>
      </c>
      <c r="CR80" s="50" t="str">
        <f t="shared" si="198"/>
        <v>Change</v>
      </c>
      <c r="CS80" s="50" t="str">
        <f t="shared" si="198"/>
        <v>Demand</v>
      </c>
      <c r="CT80" s="50" t="str">
        <f t="shared" si="198"/>
        <v>Requirement</v>
      </c>
    </row>
    <row r="82" spans="1:98">
      <c r="A82" t="str">
        <f t="shared" ref="A82:A107" si="199">A8</f>
        <v>11 Corporate managers and directors</v>
      </c>
      <c r="B82" s="335">
        <f t="shared" ref="B82:E107" si="200">IF(AND(C$6-B$6 &lt;&gt; 0,B8&lt;&gt;0,C8&lt;&gt;0),(EXP(LN(C8/B8)/(C$6-B$6))-1)*100,0)</f>
        <v>8.187422314308602</v>
      </c>
      <c r="C82" s="335">
        <f t="shared" si="200"/>
        <v>4.603971303141785</v>
      </c>
      <c r="D82" s="335">
        <f t="shared" si="200"/>
        <v>3.3737336247241512</v>
      </c>
      <c r="E82" s="335">
        <f t="shared" si="200"/>
        <v>3.8912703441327912</v>
      </c>
      <c r="F82" s="335">
        <f t="shared" ref="F82:F107" si="201">IF(AND(F$6-C$6 &lt;&gt; 0,C8&lt;&gt;0,F8&lt;&gt;0),(EXP(LN(F8/C8)/(F$6-C$6))-1)*100,0)</f>
        <v>3.7735943587013931</v>
      </c>
      <c r="H82" s="335">
        <f t="shared" ref="H82:H107" si="202">IF($F$6-$D$6 &lt;&gt; 0,(EXP(LN(1+(H45/100))/($F$6-$D$6))-1)*100,0)</f>
        <v>3.7184708510332953</v>
      </c>
      <c r="I82" s="335">
        <f t="shared" ref="I82:I107" si="203">IF(D8&gt;0,((1+(I8/D8))^(1/($F$6-$D$6))-1)*100,0)</f>
        <v>3.6845875859091048</v>
      </c>
      <c r="J82" s="335">
        <f t="shared" ref="J82:J107" si="204">IF($F$6-$D$6 &lt;&gt; 0,(EXP(LN(1+(J45/100))/($F$6-$D$6))-1)*100,0)</f>
        <v>6.1557254432537123</v>
      </c>
      <c r="L82" t="str">
        <f>A82</f>
        <v>11 Corporate managers and directors</v>
      </c>
      <c r="M82" s="335">
        <f t="shared" ref="M82:P107" si="205">IF(AND(N$6-M$6 &lt;&gt; 0,M8&lt;&gt;0,N8&lt;&gt;0),(EXP(LN(N8/M8)/(N$6-M$6))-1)*100,0)</f>
        <v>8.8555200247521171</v>
      </c>
      <c r="N82" s="335">
        <f t="shared" si="205"/>
        <v>4.2206162688824378</v>
      </c>
      <c r="O82" s="335">
        <f t="shared" si="205"/>
        <v>2.6849189496200632</v>
      </c>
      <c r="P82" s="335">
        <f t="shared" si="205"/>
        <v>3.6153585214841133</v>
      </c>
      <c r="Q82" s="335">
        <f t="shared" ref="Q82:Q107" si="206">IF(AND(Q$6-N$6 &lt;&gt; 0,N8&lt;&gt;0,Q8&lt;&gt;0),(EXP(LN(Q8/N8)/(Q$6-N$6))-1)*100,0)</f>
        <v>3.3613132980422344</v>
      </c>
      <c r="S82" s="335">
        <f t="shared" ref="S82:S107" si="207">IF($F$6-$D$6 &lt;&gt; 0,(EXP(LN(1+(S45/100))/($F$6-$D$6))-1)*100,0)</f>
        <v>3.3042789926983174</v>
      </c>
      <c r="T82" s="335">
        <f t="shared" ref="T82:T107" si="208">IF(O8&gt;0,((1+(T8/O8))^(1/($F$6-$D$6))-1)*100,0)</f>
        <v>3.5797920244725168</v>
      </c>
      <c r="U82" s="335">
        <f t="shared" ref="U82:U107" si="209">IF($F$6-$D$6 &lt;&gt; 0,(EXP(LN(1+(U45/100))/($F$6-$D$6))-1)*100,0)</f>
        <v>5.7807765633836494</v>
      </c>
      <c r="W82" t="str">
        <f>A82</f>
        <v>11 Corporate managers and directors</v>
      </c>
      <c r="X82" s="335">
        <f t="shared" ref="X82:AA107" si="210">IF(AND(Y$6-X$6 &lt;&gt; 0,X8&lt;&gt;0,Y8&lt;&gt;0),(EXP(LN(Y8/X8)/(Y$6-X$6))-1)*100,0)</f>
        <v>4.6162315099695039</v>
      </c>
      <c r="Y82" s="335">
        <f t="shared" si="210"/>
        <v>2.4115215296029557</v>
      </c>
      <c r="Z82" s="335">
        <f t="shared" si="210"/>
        <v>-1.5903095320694782</v>
      </c>
      <c r="AA82" s="335">
        <f t="shared" si="210"/>
        <v>0.96525416787820451</v>
      </c>
      <c r="AB82" s="335">
        <f t="shared" ref="AB82:AB107" si="211">IF(AND(AB$6-Y$6 &lt;&gt; 0,Y8&lt;&gt;0,AB8&lt;&gt;0),(EXP(LN(AB8/Y8)/(AB$6-Y$6))-1)*100,0)</f>
        <v>0.24866515028383329</v>
      </c>
      <c r="AD82" s="335">
        <f t="shared" ref="AD82:AD107" si="212">IF($F$6-$D$6 &lt;&gt; 0,(EXP(LN(1+(AD45/100))/($F$6-$D$6))-1)*100,0)</f>
        <v>0.10610961103754146</v>
      </c>
      <c r="AE82" s="335">
        <f t="shared" ref="AE82:AE107" si="213">IF(Z8&gt;0,((1+(AE8/Z8))^(1/($F$6-$D$6))-1)*100,0)</f>
        <v>3.0142545008760457</v>
      </c>
      <c r="AF82" s="335">
        <f t="shared" ref="AF82:AF107" si="214">IF($F$6-$D$6 &lt;&gt; 0,(EXP(LN(1+(AF45/100))/($F$6-$D$6))-1)*100,0)</f>
        <v>3.0844562492933436</v>
      </c>
      <c r="AH82" t="str">
        <f>L82</f>
        <v>11 Corporate managers and directors</v>
      </c>
      <c r="AI82" s="335">
        <f t="shared" ref="AI82:AL107" si="215">IF(AND(AJ$6-AI$6 &lt;&gt; 0,AI8&lt;&gt;0,AJ8&lt;&gt;0),(EXP(LN(AJ8/AI8)/(AJ$6-AI$6))-1)*100,0)</f>
        <v>3.1309926540686206</v>
      </c>
      <c r="AJ82" s="335">
        <f t="shared" si="215"/>
        <v>7.223465657556849</v>
      </c>
      <c r="AK82" s="335">
        <f t="shared" si="215"/>
        <v>-2.4021221228146539</v>
      </c>
      <c r="AL82" s="335">
        <f t="shared" si="215"/>
        <v>0.7093315290393587</v>
      </c>
      <c r="AM82" s="335">
        <f t="shared" ref="AM82:AM107" si="216">IF(AND(AM$6-AJ$6 &lt;&gt; 0,AJ8&lt;&gt;0,AM8&lt;&gt;0),(EXP(LN(AM8/AJ8)/(AM$6-AJ$6))-1)*100,0)</f>
        <v>0.1179164423964707</v>
      </c>
      <c r="AO82" s="335">
        <f t="shared" ref="AO82:AO107" si="217">IF($F$6-$D$6 &lt;&gt; 0,(EXP(LN(1+(AO45/100))/($F$6-$D$6))-1)*100,0)</f>
        <v>-0.33868794514696487</v>
      </c>
      <c r="AP82" s="335">
        <f t="shared" ref="AP82:AP107" si="218">IF(AK8&gt;0,((1+(AP8/AK8))^(1/($F$6-$D$6))-1)*100,0)</f>
        <v>2.7080446560492133</v>
      </c>
      <c r="AQ82" s="335">
        <f t="shared" ref="AQ82:AQ107" si="219">IF($F$6-$D$6 &lt;&gt; 0,(EXP(LN(1+(AQ45/100))/($F$6-$D$6))-1)*100,0)</f>
        <v>2.4768918461496092</v>
      </c>
      <c r="AS82" t="str">
        <f>W82</f>
        <v>11 Corporate managers and directors</v>
      </c>
      <c r="AT82" s="335">
        <f t="shared" ref="AT82:AW107" si="220">IF(AND(AU$6-AT$6 &lt;&gt; 0,AT8&lt;&gt;0,AU8&lt;&gt;0),(EXP(LN(AU8/AT8)/(AU$6-AT$6))-1)*100,0)</f>
        <v>3.2455734067608377</v>
      </c>
      <c r="AU82" s="335">
        <f t="shared" si="220"/>
        <v>6.1926146546235517</v>
      </c>
      <c r="AV82" s="335">
        <f t="shared" si="220"/>
        <v>-2.8263948529509419</v>
      </c>
      <c r="AW82" s="335">
        <f t="shared" si="220"/>
        <v>0.69157170223934639</v>
      </c>
      <c r="AX82" s="335">
        <f t="shared" ref="AX82:AX107" si="221">IF(AND(AX$6-AU$6 &lt;&gt; 0,AU8&lt;&gt;0,AX8&lt;&gt;0),(EXP(LN(AX8/AU8)/(AX$6-AU$6))-1)*100,0)</f>
        <v>-8.9658576522622102E-2</v>
      </c>
      <c r="AZ82" s="335">
        <f t="shared" ref="AZ82:AZ107" si="222">IF($F$6-$D$6 &lt;&gt; 0,(EXP(LN(1+(AZ45/100))/($F$6-$D$6))-1)*100,0)</f>
        <v>-0.49501199442645305</v>
      </c>
      <c r="BA82" s="335">
        <f t="shared" ref="BA82:BA107" si="223">IF(AV8&gt;0,((1+(BA8/AV8))^(1/($F$6-$D$6))-1)*100,0)</f>
        <v>2.6815223718282377</v>
      </c>
      <c r="BB82" s="335">
        <f t="shared" ref="BB82:BB107" si="224">IF($F$6-$D$6 &lt;&gt; 0,(EXP(LN(1+(BB45/100))/($F$6-$D$6))-1)*100,0)</f>
        <v>2.3436815442087422</v>
      </c>
      <c r="BD82" t="str">
        <f>AH82</f>
        <v>11 Corporate managers and directors</v>
      </c>
      <c r="BE82" s="335">
        <f t="shared" ref="BE82:BH107" si="225">IF(AND(BF$6-BE$6 &lt;&gt; 0,BE8&lt;&gt;0,BF8&lt;&gt;0),(EXP(LN(BF8/BE8)/(BF$6-BE$6))-1)*100,0)</f>
        <v>3.5674151802373322</v>
      </c>
      <c r="BF82" s="335">
        <f t="shared" si="225"/>
        <v>4.9477926458733501</v>
      </c>
      <c r="BG82" s="335">
        <f t="shared" si="225"/>
        <v>-3.5389209580964143</v>
      </c>
      <c r="BH82" s="335">
        <f t="shared" si="225"/>
        <v>0.24020212306035127</v>
      </c>
      <c r="BI82" s="335">
        <f t="shared" ref="BI82:BI107" si="226">IF(AND(BI$6-BF$6 &lt;&gt; 0,BF8&lt;&gt;0,BI8&lt;&gt;0),(EXP(LN(BI8/BF8)/(BI$6-BF$6))-1)*100,0)</f>
        <v>-0.67191180643396686</v>
      </c>
      <c r="BK82" s="335">
        <f t="shared" ref="BK82:BK107" si="227">IF($F$6-$D$6 &lt;&gt; 0,(EXP(LN(1+(BK45/100))/($F$6-$D$6))-1)*100,0)</f>
        <v>-1.035676320128287</v>
      </c>
      <c r="BL82" s="335">
        <f t="shared" ref="BL82:BL107" si="228">IF(BG8&gt;0,((1+(BL8/BG8))^(1/($F$6-$D$6))-1)*100,0)</f>
        <v>2.1676450134508141</v>
      </c>
      <c r="BM82" s="335">
        <f t="shared" ref="BM82:BM107" si="229">IF($F$6-$D$6 &lt;&gt; 0,(EXP(LN(1+(BM45/100))/($F$6-$D$6))-1)*100,0)</f>
        <v>1.4162896648214351</v>
      </c>
      <c r="BO82" t="str">
        <f>AS82</f>
        <v>11 Corporate managers and directors</v>
      </c>
      <c r="BP82" s="335">
        <f t="shared" ref="BP82:BS107" si="230">IF(AND(BQ$6-BP$6 &lt;&gt; 0,BP8&lt;&gt;0,BQ8&lt;&gt;0),(EXP(LN(BQ8/BP8)/(BQ$6-BP$6))-1)*100,0)</f>
        <v>2.5893221113618692</v>
      </c>
      <c r="BQ82" s="335">
        <f t="shared" si="230"/>
        <v>-3.2438540334901345</v>
      </c>
      <c r="BR82" s="335">
        <f t="shared" si="230"/>
        <v>-4.4559182839299609</v>
      </c>
      <c r="BS82" s="335">
        <f t="shared" si="230"/>
        <v>-2.4869429090678907</v>
      </c>
      <c r="BT82" s="335">
        <f t="shared" ref="BT82:BT107" si="231">IF(AND(BT$6-BQ$6 &lt;&gt; 0,BQ8&lt;&gt;0,BT8&lt;&gt;0),(EXP(LN(BT8/BQ8)/(BT$6-BQ$6))-1)*100,0)</f>
        <v>-3.153745941364694</v>
      </c>
      <c r="BV82" s="335">
        <f t="shared" ref="BV82:BV107" si="232">IF($F$6-$D$6 &lt;&gt; 0,(EXP(LN(1+(BV45/100))/($F$6-$D$6))-1)*100,0)</f>
        <v>-3.1477357523778671</v>
      </c>
      <c r="BW82" s="335">
        <f t="shared" ref="BW82:BW107" si="233">IF(BR8&gt;0,((1+(BW8/BR8))^(1/($F$6-$D$6))-1)*100,0)</f>
        <v>1.9898079519792722</v>
      </c>
      <c r="BX82" s="335">
        <f t="shared" ref="BX82:BX107" si="234">IF($F$6-$D$6 &lt;&gt; 0,(EXP(LN(1+(BX45/100))/($F$6-$D$6))-1)*100,0)</f>
        <v>-0.25248152663293055</v>
      </c>
      <c r="BZ82" t="str">
        <f>BD82</f>
        <v>11 Corporate managers and directors</v>
      </c>
      <c r="CA82" s="335">
        <f t="shared" ref="CA82:CD107" si="235">IF(AND(CB$6-CA$6 &lt;&gt; 0,CA8&lt;&gt;0,CB8&lt;&gt;0),(EXP(LN(CB8/CA8)/(CB$6-CA$6))-1)*100,0)</f>
        <v>2.6754448174469259</v>
      </c>
      <c r="CB82" s="335">
        <f t="shared" si="235"/>
        <v>-0.31872771464243055</v>
      </c>
      <c r="CC82" s="335">
        <f t="shared" si="235"/>
        <v>-3.5941427706236762</v>
      </c>
      <c r="CD82" s="335">
        <f t="shared" si="235"/>
        <v>-2.9899289129855622</v>
      </c>
      <c r="CE82" s="335">
        <f t="shared" ref="CE82:CE107" si="236">IF(AND(CE$6-CB$6 &lt;&gt; 0,CB8&lt;&gt;0,CE8&lt;&gt;0),(EXP(LN(CE8/CB8)/(CE$6-CB$6))-1)*100,0)</f>
        <v>-3.0146401527306632</v>
      </c>
      <c r="CG82" s="335">
        <f t="shared" ref="CG82:CG107" si="237">IF($F$6-$D$6 &lt;&gt; 0,(EXP(LN(1+(CG45/100))/($F$6-$D$6))-1)*100,0)</f>
        <v>-3.1917531253873532</v>
      </c>
      <c r="CH82" s="335">
        <f t="shared" ref="CH82:CH107" si="238">IF(CC8&gt;0,((1+(CH8/CC8))^(1/($F$6-$D$6))-1)*100,0)</f>
        <v>1.9265993917738422</v>
      </c>
      <c r="CI82" s="335">
        <f t="shared" ref="CI82:CI107" si="239">IF($F$6-$D$6 &lt;&gt; 0,(EXP(LN(1+(CI45/100))/($F$6-$D$6))-1)*100,0)</f>
        <v>-0.36838265103369405</v>
      </c>
      <c r="CK82" t="str">
        <f>BO82</f>
        <v>11 Corporate managers and directors</v>
      </c>
      <c r="CL82" s="335">
        <f t="shared" ref="CL82:CO107" si="240">IF(AND(CM$6-CL$6 &lt;&gt; 0,CL8&lt;&gt;0,CM8&lt;&gt;0),(EXP(LN(CM8/CL8)/(CM$6-CL$6))-1)*100,0)</f>
        <v>3.5570679918633497</v>
      </c>
      <c r="CM82" s="335">
        <f t="shared" si="240"/>
        <v>-8.4207573422471533</v>
      </c>
      <c r="CN82" s="335">
        <f t="shared" si="240"/>
        <v>-2.6943108267430849</v>
      </c>
      <c r="CO82" s="335">
        <f t="shared" si="240"/>
        <v>-3.4819975431565897E-2</v>
      </c>
      <c r="CP82" s="335">
        <f t="shared" ref="CP82:CP107" si="241">IF(AND(CP$6-CM$6 &lt;&gt; 0,CM8&lt;&gt;0,CP8&lt;&gt;0),(EXP(LN(CP8/CM8)/(CP$6-CM$6))-1)*100,0)</f>
        <v>-1.4149675930394734</v>
      </c>
      <c r="CR82" s="335">
        <f t="shared" ref="CR82:CR107" si="242">IF($F$6-$D$6 &lt;&gt; 0,(EXP(LN(1+(CR45/100))/($F$6-$D$6))-1)*100,0)</f>
        <v>-0.92929672736496993</v>
      </c>
      <c r="CS82" s="335">
        <f t="shared" ref="CS82:CS107" si="243">IF(CN8&gt;0,((1+(CS8/CN8))^(1/($F$6-$D$6))-1)*100,0)</f>
        <v>1.7366230118680548</v>
      </c>
      <c r="CT82" s="335">
        <f t="shared" ref="CT82:CT107" si="244">IF($F$6-$D$6 &lt;&gt; 0,(EXP(LN(1+(CT45/100))/($F$6-$D$6))-1)*100,0)</f>
        <v>1.017500464760035</v>
      </c>
    </row>
    <row r="83" spans="1:98">
      <c r="A83" t="str">
        <f t="shared" si="199"/>
        <v>12 Other managers and proprietors</v>
      </c>
      <c r="B83" s="335">
        <f t="shared" si="200"/>
        <v>7.1718600766028429</v>
      </c>
      <c r="C83" s="335">
        <f t="shared" si="200"/>
        <v>-2.8149238456260828</v>
      </c>
      <c r="D83" s="335">
        <f t="shared" si="200"/>
        <v>6.7353377242804324</v>
      </c>
      <c r="E83" s="335">
        <f t="shared" si="200"/>
        <v>4.7042295290406155</v>
      </c>
      <c r="F83" s="335">
        <f t="shared" si="201"/>
        <v>4.845292585901273</v>
      </c>
      <c r="H83" s="335">
        <f t="shared" si="202"/>
        <v>5.3769343373534673</v>
      </c>
      <c r="I83" s="335">
        <f t="shared" si="203"/>
        <v>4.6434154378669268</v>
      </c>
      <c r="J83" s="335">
        <f t="shared" si="204"/>
        <v>7.9933447274229685</v>
      </c>
      <c r="L83" t="str">
        <f t="shared" ref="L83:L106" si="245">A83</f>
        <v>12 Other managers and proprietors</v>
      </c>
      <c r="M83" s="335">
        <f t="shared" si="205"/>
        <v>6.9331357740396893</v>
      </c>
      <c r="N83" s="335">
        <f t="shared" si="205"/>
        <v>3.58943957933473</v>
      </c>
      <c r="O83" s="335">
        <f t="shared" si="205"/>
        <v>5.5592331443111043</v>
      </c>
      <c r="P83" s="335">
        <f t="shared" si="205"/>
        <v>4.3433106119208142</v>
      </c>
      <c r="Q83" s="335">
        <f t="shared" si="206"/>
        <v>4.674325477097141</v>
      </c>
      <c r="S83" s="335">
        <f t="shared" si="207"/>
        <v>4.7470538742001578</v>
      </c>
      <c r="T83" s="335">
        <f t="shared" si="208"/>
        <v>4.3685072397313451</v>
      </c>
      <c r="U83" s="335">
        <f t="shared" si="209"/>
        <v>7.3662487117349906</v>
      </c>
      <c r="W83" t="str">
        <f t="shared" ref="W83:W106" si="246">A83</f>
        <v>12 Other managers and proprietors</v>
      </c>
      <c r="X83" s="335">
        <f t="shared" si="210"/>
        <v>2.2948937146931581</v>
      </c>
      <c r="Y83" s="335">
        <f t="shared" si="210"/>
        <v>3.2034778660018137</v>
      </c>
      <c r="Z83" s="335">
        <f t="shared" si="210"/>
        <v>1.6238062025023314</v>
      </c>
      <c r="AA83" s="335">
        <f t="shared" si="210"/>
        <v>1.7494519437232237</v>
      </c>
      <c r="AB83" s="335">
        <f t="shared" si="211"/>
        <v>1.8004095581091173</v>
      </c>
      <c r="AD83" s="335">
        <f t="shared" si="212"/>
        <v>1.707552778793664</v>
      </c>
      <c r="AE83" s="335">
        <f t="shared" si="213"/>
        <v>3.7435461848703167</v>
      </c>
      <c r="AF83" s="335">
        <f t="shared" si="214"/>
        <v>4.8148045353352042</v>
      </c>
      <c r="AH83" t="str">
        <f t="shared" ref="AH83:AH106" si="247">L83</f>
        <v>12 Other managers and proprietors</v>
      </c>
      <c r="AI83" s="335">
        <f t="shared" si="215"/>
        <v>2.3829353543573406</v>
      </c>
      <c r="AJ83" s="335">
        <f t="shared" si="215"/>
        <v>9.4237404107177838</v>
      </c>
      <c r="AK83" s="335">
        <f t="shared" si="215"/>
        <v>5.5044678200011354E-2</v>
      </c>
      <c r="AL83" s="335">
        <f t="shared" si="215"/>
        <v>1.8312744848318907</v>
      </c>
      <c r="AM83" s="335">
        <f t="shared" si="216"/>
        <v>1.7290277260799236</v>
      </c>
      <c r="AO83" s="335">
        <f t="shared" si="217"/>
        <v>1.235721624816577</v>
      </c>
      <c r="AP83" s="335">
        <f t="shared" si="218"/>
        <v>3.5481896957896941</v>
      </c>
      <c r="AQ83" s="335">
        <f t="shared" si="219"/>
        <v>4.3328682071751334</v>
      </c>
      <c r="AS83" t="str">
        <f t="shared" ref="AS83:AS106" si="248">W83</f>
        <v>12 Other managers and proprietors</v>
      </c>
      <c r="AT83" s="335">
        <f t="shared" si="220"/>
        <v>1.935940366953659</v>
      </c>
      <c r="AU83" s="335">
        <f t="shared" si="220"/>
        <v>4.7035794832341438</v>
      </c>
      <c r="AV83" s="335">
        <f t="shared" si="220"/>
        <v>1.4836498567189382</v>
      </c>
      <c r="AW83" s="335">
        <f t="shared" si="220"/>
        <v>1.2764490207666457</v>
      </c>
      <c r="AX83" s="335">
        <f t="shared" si="221"/>
        <v>1.5521590160524568</v>
      </c>
      <c r="AZ83" s="335">
        <f t="shared" si="222"/>
        <v>1.3454689183402868</v>
      </c>
      <c r="BA83" s="335">
        <f t="shared" si="223"/>
        <v>3.52229343914372</v>
      </c>
      <c r="BB83" s="335">
        <f t="shared" si="224"/>
        <v>4.381969856236223</v>
      </c>
      <c r="BD83" t="str">
        <f t="shared" ref="BD83:BD106" si="249">AH83</f>
        <v>12 Other managers and proprietors</v>
      </c>
      <c r="BE83" s="335">
        <f t="shared" si="225"/>
        <v>-0.56854362739368058</v>
      </c>
      <c r="BF83" s="335">
        <f t="shared" si="225"/>
        <v>4.0081291808278241</v>
      </c>
      <c r="BG83" s="335">
        <f t="shared" si="225"/>
        <v>-1.4547005967045723</v>
      </c>
      <c r="BH83" s="335">
        <f t="shared" si="225"/>
        <v>0.18062988724807383</v>
      </c>
      <c r="BI83" s="335">
        <f t="shared" si="226"/>
        <v>-9.947352650853114E-2</v>
      </c>
      <c r="BK83" s="335">
        <f t="shared" si="227"/>
        <v>-0.36747356244772877</v>
      </c>
      <c r="BL83" s="335">
        <f t="shared" si="228"/>
        <v>2.4635190797088979</v>
      </c>
      <c r="BM83" s="335">
        <f t="shared" si="229"/>
        <v>2.2042228148925425</v>
      </c>
      <c r="BO83" t="str">
        <f t="shared" ref="BO83:BO106" si="250">AS83</f>
        <v>12 Other managers and proprietors</v>
      </c>
      <c r="BP83" s="335">
        <f t="shared" si="230"/>
        <v>0.94355109321262454</v>
      </c>
      <c r="BQ83" s="335">
        <f t="shared" si="230"/>
        <v>-3.1674705808709125</v>
      </c>
      <c r="BR83" s="335">
        <f t="shared" si="230"/>
        <v>-0.71593401533416312</v>
      </c>
      <c r="BS83" s="335">
        <f t="shared" si="230"/>
        <v>-1.1839986003812308</v>
      </c>
      <c r="BT83" s="335">
        <f t="shared" si="231"/>
        <v>-1.1632996393968087</v>
      </c>
      <c r="BV83" s="335">
        <f t="shared" si="232"/>
        <v>-1.0282227696955526</v>
      </c>
      <c r="BW83" s="335">
        <f t="shared" si="233"/>
        <v>2.7329144899592483</v>
      </c>
      <c r="BX83" s="335">
        <f t="shared" si="234"/>
        <v>2.0452110460190243</v>
      </c>
      <c r="BZ83" t="str">
        <f t="shared" ref="BZ83:BZ106" si="251">BD83</f>
        <v>12 Other managers and proprietors</v>
      </c>
      <c r="CA83" s="335">
        <f t="shared" si="235"/>
        <v>0.63560734331484792</v>
      </c>
      <c r="CB83" s="335">
        <f t="shared" si="235"/>
        <v>-6.0659091191232362</v>
      </c>
      <c r="CC83" s="335">
        <f t="shared" si="235"/>
        <v>-1.5186127840375097</v>
      </c>
      <c r="CD83" s="335">
        <f t="shared" si="235"/>
        <v>-3.0293748971390255</v>
      </c>
      <c r="CE83" s="335">
        <f t="shared" si="236"/>
        <v>-2.7533278243810022</v>
      </c>
      <c r="CG83" s="335">
        <f t="shared" si="237"/>
        <v>-2.5283803503565627</v>
      </c>
      <c r="CH83" s="335">
        <f t="shared" si="238"/>
        <v>2.197070230640441</v>
      </c>
      <c r="CI83" s="335">
        <f t="shared" si="239"/>
        <v>0.42979208056843632</v>
      </c>
      <c r="CK83" t="str">
        <f t="shared" ref="CK83:CK106" si="252">BO83</f>
        <v>12 Other managers and proprietors</v>
      </c>
      <c r="CL83" s="335">
        <f t="shared" si="240"/>
        <v>-1.1486367896116123</v>
      </c>
      <c r="CM83" s="335">
        <f t="shared" si="240"/>
        <v>-10.168063174098974</v>
      </c>
      <c r="CN83" s="335">
        <f t="shared" si="240"/>
        <v>-0.4962467180443908</v>
      </c>
      <c r="CO83" s="335">
        <f t="shared" si="240"/>
        <v>-0.21549970032684884</v>
      </c>
      <c r="CP83" s="335">
        <f t="shared" si="241"/>
        <v>-0.95588310751824057</v>
      </c>
      <c r="CR83" s="335">
        <f t="shared" si="242"/>
        <v>-0.30916994268507247</v>
      </c>
      <c r="CS83" s="335">
        <f t="shared" si="243"/>
        <v>2.039382648452337</v>
      </c>
      <c r="CT83" s="335">
        <f t="shared" si="244"/>
        <v>1.8076625836207727</v>
      </c>
    </row>
    <row r="84" spans="1:98">
      <c r="A84" t="str">
        <f t="shared" si="199"/>
        <v>21 Science, research, engineering and technology professionals</v>
      </c>
      <c r="B84" s="335">
        <f t="shared" si="200"/>
        <v>6.913424480767616</v>
      </c>
      <c r="C84" s="335">
        <f t="shared" si="200"/>
        <v>1.6652923874527437</v>
      </c>
      <c r="D84" s="335">
        <f t="shared" si="200"/>
        <v>7.1559278311389196</v>
      </c>
      <c r="E84" s="335">
        <f t="shared" si="200"/>
        <v>3.1265920932011415</v>
      </c>
      <c r="F84" s="335">
        <f t="shared" si="201"/>
        <v>4.2761585981208938</v>
      </c>
      <c r="H84" s="335">
        <f t="shared" si="202"/>
        <v>4.4525815187967721</v>
      </c>
      <c r="I84" s="335">
        <f t="shared" si="203"/>
        <v>3.1623445808619977</v>
      </c>
      <c r="J84" s="335">
        <f t="shared" si="204"/>
        <v>6.3480954472270312</v>
      </c>
      <c r="L84" t="str">
        <f t="shared" si="245"/>
        <v>21 Science, research, engineering and technology professionals</v>
      </c>
      <c r="M84" s="335">
        <f t="shared" si="205"/>
        <v>7.9965805646517563</v>
      </c>
      <c r="N84" s="335">
        <f t="shared" si="205"/>
        <v>5.9230145967352321</v>
      </c>
      <c r="O84" s="335">
        <f t="shared" si="205"/>
        <v>8.8192531807731243</v>
      </c>
      <c r="P84" s="335">
        <f t="shared" si="205"/>
        <v>3.6787224462561774</v>
      </c>
      <c r="Q84" s="335">
        <f t="shared" si="206"/>
        <v>5.3994787344895601</v>
      </c>
      <c r="S84" s="335">
        <f t="shared" si="207"/>
        <v>5.3646684901867969</v>
      </c>
      <c r="T84" s="335">
        <f t="shared" si="208"/>
        <v>3.5274926872763235</v>
      </c>
      <c r="U84" s="335">
        <f t="shared" si="209"/>
        <v>7.2864882839327683</v>
      </c>
      <c r="W84" t="str">
        <f t="shared" si="246"/>
        <v>21 Science, research, engineering and technology professionals</v>
      </c>
      <c r="X84" s="335">
        <f t="shared" si="210"/>
        <v>2.4069844070885749</v>
      </c>
      <c r="Y84" s="335">
        <f t="shared" si="210"/>
        <v>3.771878557253161</v>
      </c>
      <c r="Z84" s="335">
        <f t="shared" si="210"/>
        <v>3.4039658258671279</v>
      </c>
      <c r="AA84" s="335">
        <f t="shared" si="210"/>
        <v>0.54226753866897237</v>
      </c>
      <c r="AB84" s="335">
        <f t="shared" si="211"/>
        <v>1.6285608912095295</v>
      </c>
      <c r="AD84" s="335">
        <f t="shared" si="212"/>
        <v>1.4872572490647551</v>
      </c>
      <c r="AE84" s="335">
        <f t="shared" si="213"/>
        <v>2.6349685291505054</v>
      </c>
      <c r="AF84" s="335">
        <f t="shared" si="214"/>
        <v>3.7019122347845101</v>
      </c>
      <c r="AH84" t="str">
        <f t="shared" si="247"/>
        <v>21 Science, research, engineering and technology professionals</v>
      </c>
      <c r="AI84" s="335">
        <f t="shared" si="215"/>
        <v>1.9453212353236049</v>
      </c>
      <c r="AJ84" s="335">
        <f t="shared" si="215"/>
        <v>9.8436477893545593</v>
      </c>
      <c r="AK84" s="335">
        <f t="shared" si="215"/>
        <v>3.6639361642258672</v>
      </c>
      <c r="AL84" s="335">
        <f t="shared" si="215"/>
        <v>1.0574325112054916</v>
      </c>
      <c r="AM84" s="335">
        <f t="shared" si="216"/>
        <v>2.3970043851551104</v>
      </c>
      <c r="AO84" s="335">
        <f t="shared" si="217"/>
        <v>1.9189025430864648</v>
      </c>
      <c r="AP84" s="335">
        <f t="shared" si="218"/>
        <v>2.6397951543416953</v>
      </c>
      <c r="AQ84" s="335">
        <f t="shared" si="219"/>
        <v>4.0275699865501169</v>
      </c>
      <c r="AS84" t="str">
        <f t="shared" si="248"/>
        <v>21 Science, research, engineering and technology professionals</v>
      </c>
      <c r="AT84" s="335">
        <f t="shared" si="220"/>
        <v>1.7441283580089006</v>
      </c>
      <c r="AU84" s="335">
        <f t="shared" si="220"/>
        <v>4.1998073990182849</v>
      </c>
      <c r="AV84" s="335">
        <f t="shared" si="220"/>
        <v>1.5951399976121827</v>
      </c>
      <c r="AW84" s="335">
        <f t="shared" si="220"/>
        <v>0.18347700238141584</v>
      </c>
      <c r="AX84" s="335">
        <f t="shared" si="221"/>
        <v>0.87000366474083712</v>
      </c>
      <c r="AZ84" s="335">
        <f t="shared" si="222"/>
        <v>0.65183831618378374</v>
      </c>
      <c r="BA84" s="335">
        <f t="shared" si="223"/>
        <v>2.2805503121593018</v>
      </c>
      <c r="BB84" s="335">
        <f t="shared" si="224"/>
        <v>2.7620466062351356</v>
      </c>
      <c r="BD84" t="str">
        <f t="shared" si="249"/>
        <v>21 Science, research, engineering and technology professionals</v>
      </c>
      <c r="BE84" s="335">
        <f t="shared" si="225"/>
        <v>1.8394442752762918</v>
      </c>
      <c r="BF84" s="335">
        <f t="shared" si="225"/>
        <v>6.2943805745219628</v>
      </c>
      <c r="BG84" s="335">
        <f t="shared" si="225"/>
        <v>1.3644908849380188</v>
      </c>
      <c r="BH84" s="335">
        <f t="shared" si="225"/>
        <v>-0.15866516588599611</v>
      </c>
      <c r="BI84" s="335">
        <f t="shared" si="226"/>
        <v>0.70828652694190364</v>
      </c>
      <c r="BK84" s="335">
        <f t="shared" si="227"/>
        <v>0.34649330099127962</v>
      </c>
      <c r="BL84" s="335">
        <f t="shared" si="228"/>
        <v>1.8223830883193237</v>
      </c>
      <c r="BM84" s="335">
        <f t="shared" si="229"/>
        <v>2.0930004222166954</v>
      </c>
      <c r="BO84" t="str">
        <f t="shared" si="250"/>
        <v>21 Science, research, engineering and technology professionals</v>
      </c>
      <c r="BP84" s="335">
        <f t="shared" si="230"/>
        <v>1.950332294858681</v>
      </c>
      <c r="BQ84" s="335">
        <f t="shared" si="230"/>
        <v>0.86943531480958569</v>
      </c>
      <c r="BR84" s="335">
        <f t="shared" si="230"/>
        <v>1.8188635787206753</v>
      </c>
      <c r="BS84" s="335">
        <f t="shared" si="230"/>
        <v>-1.1845997734139524</v>
      </c>
      <c r="BT84" s="335">
        <f t="shared" si="231"/>
        <v>-0.1273215322465493</v>
      </c>
      <c r="BV84" s="335">
        <f t="shared" si="232"/>
        <v>-0.19342069868304446</v>
      </c>
      <c r="BW84" s="335">
        <f t="shared" si="233"/>
        <v>2.0281759660740972</v>
      </c>
      <c r="BX84" s="335">
        <f t="shared" si="234"/>
        <v>1.8826699321395468</v>
      </c>
      <c r="BZ84" t="str">
        <f t="shared" si="251"/>
        <v>21 Science, research, engineering and technology professionals</v>
      </c>
      <c r="CA84" s="335">
        <f t="shared" si="235"/>
        <v>2.2761977146016799</v>
      </c>
      <c r="CB84" s="335">
        <f t="shared" si="235"/>
        <v>-1.6817214220154253</v>
      </c>
      <c r="CC84" s="335">
        <f t="shared" si="235"/>
        <v>1.7341800922436645</v>
      </c>
      <c r="CD84" s="335">
        <f t="shared" si="235"/>
        <v>-3.8356567713544121</v>
      </c>
      <c r="CE84" s="335">
        <f t="shared" si="236"/>
        <v>-1.9930580914458651</v>
      </c>
      <c r="CG84" s="335">
        <f t="shared" si="237"/>
        <v>-2.0137787811301378</v>
      </c>
      <c r="CH84" s="335">
        <f t="shared" si="238"/>
        <v>1.6973273064398553</v>
      </c>
      <c r="CI84" s="335">
        <f t="shared" si="239"/>
        <v>0.15956718079217502</v>
      </c>
      <c r="CK84" t="str">
        <f t="shared" si="252"/>
        <v>21 Science, research, engineering and technology professionals</v>
      </c>
      <c r="CL84" s="335">
        <f t="shared" si="240"/>
        <v>5.656422027028829</v>
      </c>
      <c r="CM84" s="335">
        <f t="shared" si="240"/>
        <v>-2.1972008261748499</v>
      </c>
      <c r="CN84" s="335">
        <f t="shared" si="240"/>
        <v>6.1383688350597598</v>
      </c>
      <c r="CO84" s="335">
        <f t="shared" si="240"/>
        <v>0.84774752905005801</v>
      </c>
      <c r="CP84" s="335">
        <f t="shared" si="241"/>
        <v>2.2759352837254054</v>
      </c>
      <c r="CR84" s="335">
        <f t="shared" si="242"/>
        <v>2.5813172013931185</v>
      </c>
      <c r="CS84" s="335">
        <f t="shared" si="243"/>
        <v>2.2645111814432184</v>
      </c>
      <c r="CT84" s="335">
        <f t="shared" si="244"/>
        <v>4.2419008624936305</v>
      </c>
    </row>
    <row r="85" spans="1:98">
      <c r="A85" t="str">
        <f t="shared" si="199"/>
        <v>22 Health professionals</v>
      </c>
      <c r="B85" s="335">
        <f t="shared" si="200"/>
        <v>8.4860891347900314</v>
      </c>
      <c r="C85" s="335">
        <f t="shared" si="200"/>
        <v>1.7161151033864286</v>
      </c>
      <c r="D85" s="335">
        <f t="shared" si="200"/>
        <v>5.1596029237126695</v>
      </c>
      <c r="E85" s="335">
        <f t="shared" si="200"/>
        <v>3.1881849858096611</v>
      </c>
      <c r="F85" s="335">
        <f t="shared" si="201"/>
        <v>3.7070753220136421</v>
      </c>
      <c r="H85" s="335">
        <f t="shared" si="202"/>
        <v>3.8411832602741391</v>
      </c>
      <c r="I85" s="335">
        <f t="shared" si="203"/>
        <v>3.6010348685145299</v>
      </c>
      <c r="J85" s="335">
        <f t="shared" si="204"/>
        <v>6.185307772297044</v>
      </c>
      <c r="L85" t="str">
        <f t="shared" si="245"/>
        <v>22 Health professionals</v>
      </c>
      <c r="M85" s="335">
        <f t="shared" si="205"/>
        <v>8.5678839592808522</v>
      </c>
      <c r="N85" s="335">
        <f t="shared" si="205"/>
        <v>0.84486253052684646</v>
      </c>
      <c r="O85" s="335">
        <f t="shared" si="205"/>
        <v>3.2411345124375046</v>
      </c>
      <c r="P85" s="335">
        <f t="shared" si="205"/>
        <v>2.6908651315582066</v>
      </c>
      <c r="Q85" s="335">
        <f t="shared" si="206"/>
        <v>2.7459552320601599</v>
      </c>
      <c r="S85" s="335">
        <f t="shared" si="207"/>
        <v>2.8739616058664819</v>
      </c>
      <c r="T85" s="335">
        <f t="shared" si="208"/>
        <v>3.4906815024378979</v>
      </c>
      <c r="U85" s="335">
        <f t="shared" si="209"/>
        <v>5.4056080142406593</v>
      </c>
      <c r="W85" t="str">
        <f t="shared" si="246"/>
        <v>22 Health professionals</v>
      </c>
      <c r="X85" s="335">
        <f t="shared" si="210"/>
        <v>4.0224011067686583</v>
      </c>
      <c r="Y85" s="335">
        <f t="shared" si="210"/>
        <v>2.6192084575339836</v>
      </c>
      <c r="Z85" s="335">
        <f t="shared" si="210"/>
        <v>-0.21331843831835506</v>
      </c>
      <c r="AA85" s="335">
        <f t="shared" si="210"/>
        <v>0.55581880592940891</v>
      </c>
      <c r="AB85" s="335">
        <f t="shared" si="211"/>
        <v>0.44226019126882843</v>
      </c>
      <c r="AD85" s="335">
        <f t="shared" si="212"/>
        <v>0.29878326347225759</v>
      </c>
      <c r="AE85" s="335">
        <f t="shared" si="213"/>
        <v>3.0989981229538888</v>
      </c>
      <c r="AF85" s="335">
        <f t="shared" si="214"/>
        <v>3.2953793358696082</v>
      </c>
      <c r="AH85" t="str">
        <f t="shared" si="247"/>
        <v>22 Health professionals</v>
      </c>
      <c r="AI85" s="335">
        <f t="shared" si="215"/>
        <v>-5.5907861744567295</v>
      </c>
      <c r="AJ85" s="335">
        <f t="shared" si="215"/>
        <v>-7.2057823253840692</v>
      </c>
      <c r="AK85" s="335">
        <f t="shared" si="215"/>
        <v>-11.930813625635217</v>
      </c>
      <c r="AL85" s="335">
        <f t="shared" si="215"/>
        <v>-8.8263421296048801</v>
      </c>
      <c r="AM85" s="335">
        <f t="shared" si="216"/>
        <v>-9.7086983176884907</v>
      </c>
      <c r="AO85" s="335">
        <f t="shared" si="217"/>
        <v>-9.8731385991753235</v>
      </c>
      <c r="AP85" s="335">
        <f t="shared" si="218"/>
        <v>1.1138012791469976</v>
      </c>
      <c r="AQ85" s="335">
        <f t="shared" si="219"/>
        <v>-6.0678442209184169</v>
      </c>
      <c r="AS85" t="str">
        <f t="shared" si="248"/>
        <v>22 Health professionals</v>
      </c>
      <c r="AT85" s="335">
        <f t="shared" si="220"/>
        <v>3.6782529276984555</v>
      </c>
      <c r="AU85" s="335">
        <f t="shared" si="220"/>
        <v>13.4745070348105</v>
      </c>
      <c r="AV85" s="335">
        <f t="shared" si="220"/>
        <v>0.32262939334999352</v>
      </c>
      <c r="AW85" s="335">
        <f t="shared" si="220"/>
        <v>0.90037496126136318</v>
      </c>
      <c r="AX85" s="335">
        <f t="shared" si="221"/>
        <v>1.4615026214484406</v>
      </c>
      <c r="AZ85" s="335">
        <f t="shared" si="222"/>
        <v>0.70742436333330883</v>
      </c>
      <c r="BA85" s="335">
        <f t="shared" si="223"/>
        <v>2.9118590115414511</v>
      </c>
      <c r="BB85" s="335">
        <f t="shared" si="224"/>
        <v>3.3932739709682025</v>
      </c>
      <c r="BD85" t="str">
        <f t="shared" si="249"/>
        <v>22 Health professionals</v>
      </c>
      <c r="BE85" s="335">
        <f t="shared" si="225"/>
        <v>5.9073975709951654</v>
      </c>
      <c r="BF85" s="335">
        <f t="shared" si="225"/>
        <v>2.2365359798486306</v>
      </c>
      <c r="BG85" s="335">
        <f t="shared" si="225"/>
        <v>0.49613662202099285</v>
      </c>
      <c r="BH85" s="335">
        <f t="shared" si="225"/>
        <v>0.50736425390782713</v>
      </c>
      <c r="BI85" s="335">
        <f t="shared" si="226"/>
        <v>0.61106297290665079</v>
      </c>
      <c r="BK85" s="335">
        <f t="shared" si="227"/>
        <v>0.50362157057759482</v>
      </c>
      <c r="BL85" s="335">
        <f t="shared" si="228"/>
        <v>3.0449451007632744</v>
      </c>
      <c r="BM85" s="335">
        <f t="shared" si="229"/>
        <v>3.3800583555433361</v>
      </c>
      <c r="BO85" t="str">
        <f t="shared" si="250"/>
        <v>22 Health professionals</v>
      </c>
      <c r="BP85" s="335">
        <f t="shared" si="230"/>
        <v>4.2349852430849433</v>
      </c>
      <c r="BQ85" s="335">
        <f t="shared" si="230"/>
        <v>-3.3830543189117934</v>
      </c>
      <c r="BR85" s="335">
        <f t="shared" si="230"/>
        <v>-1.3010644377404068</v>
      </c>
      <c r="BS85" s="335">
        <f t="shared" si="230"/>
        <v>-2.3466690102543875</v>
      </c>
      <c r="BT85" s="335">
        <f t="shared" si="231"/>
        <v>-2.0864286142563637</v>
      </c>
      <c r="BV85" s="335">
        <f t="shared" si="232"/>
        <v>-1.9993707624959445</v>
      </c>
      <c r="BW85" s="335">
        <f t="shared" si="233"/>
        <v>2.350301935187793</v>
      </c>
      <c r="BX85" s="335">
        <f t="shared" si="234"/>
        <v>0.96840258481780683</v>
      </c>
      <c r="BZ85" t="str">
        <f t="shared" si="251"/>
        <v>22 Health professionals</v>
      </c>
      <c r="CA85" s="335">
        <f t="shared" si="235"/>
        <v>4.4678825016263746</v>
      </c>
      <c r="CB85" s="335">
        <f t="shared" si="235"/>
        <v>-12.331321483630287</v>
      </c>
      <c r="CC85" s="335">
        <f t="shared" si="235"/>
        <v>-1.8197517284544995</v>
      </c>
      <c r="CD85" s="335">
        <f t="shared" si="235"/>
        <v>-4.4648466513725893</v>
      </c>
      <c r="CE85" s="335">
        <f t="shared" si="236"/>
        <v>-4.1620928500800458</v>
      </c>
      <c r="CG85" s="335">
        <f t="shared" si="237"/>
        <v>-3.5911626773538652</v>
      </c>
      <c r="CH85" s="335">
        <f t="shared" si="238"/>
        <v>1.9380307341693825</v>
      </c>
      <c r="CI85" s="335">
        <f t="shared" si="239"/>
        <v>-0.6164190763476074</v>
      </c>
      <c r="CK85" t="str">
        <f t="shared" si="252"/>
        <v>22 Health professionals</v>
      </c>
      <c r="CL85" s="335">
        <f t="shared" si="240"/>
        <v>6.7133390787992742</v>
      </c>
      <c r="CM85" s="335">
        <f t="shared" si="240"/>
        <v>1.3490716163233163</v>
      </c>
      <c r="CN85" s="335">
        <f t="shared" si="240"/>
        <v>0.48961360828772005</v>
      </c>
      <c r="CO85" s="335">
        <f t="shared" si="240"/>
        <v>1.4489953680336232</v>
      </c>
      <c r="CP85" s="335">
        <f t="shared" si="241"/>
        <v>1.1419791525833611</v>
      </c>
      <c r="CR85" s="335">
        <f t="shared" si="242"/>
        <v>1.1281880437429281</v>
      </c>
      <c r="CS85" s="335">
        <f t="shared" si="243"/>
        <v>2.3361660756684222</v>
      </c>
      <c r="CT85" s="335">
        <f t="shared" si="244"/>
        <v>3.1710400031937258</v>
      </c>
    </row>
    <row r="86" spans="1:98">
      <c r="A86" t="str">
        <f t="shared" si="199"/>
        <v>23 Teaching and other educational professionals</v>
      </c>
      <c r="B86" s="335">
        <f t="shared" si="200"/>
        <v>3.9175836931063301</v>
      </c>
      <c r="C86" s="335">
        <f t="shared" si="200"/>
        <v>3.3693070818938464</v>
      </c>
      <c r="D86" s="335">
        <f t="shared" si="200"/>
        <v>2.2050669341070472</v>
      </c>
      <c r="E86" s="335">
        <f t="shared" si="200"/>
        <v>1.9134176976702388</v>
      </c>
      <c r="F86" s="335">
        <f t="shared" si="201"/>
        <v>2.0949386545152437</v>
      </c>
      <c r="H86" s="335">
        <f t="shared" si="202"/>
        <v>2.0105415210884603</v>
      </c>
      <c r="I86" s="335">
        <f t="shared" si="203"/>
        <v>3.1403700431468895</v>
      </c>
      <c r="J86" s="335">
        <f t="shared" si="204"/>
        <v>4.5100553924806386</v>
      </c>
      <c r="L86" t="str">
        <f t="shared" si="245"/>
        <v>23 Teaching and other educational professionals</v>
      </c>
      <c r="M86" s="335">
        <f t="shared" si="205"/>
        <v>4.6053338554703505</v>
      </c>
      <c r="N86" s="335">
        <f t="shared" si="205"/>
        <v>3.6312320946684906</v>
      </c>
      <c r="O86" s="335">
        <f t="shared" si="205"/>
        <v>1.9288968213767355</v>
      </c>
      <c r="P86" s="335">
        <f t="shared" si="205"/>
        <v>1.7174643305563064</v>
      </c>
      <c r="Q86" s="335">
        <f t="shared" si="206"/>
        <v>1.902135037596886</v>
      </c>
      <c r="S86" s="335">
        <f t="shared" si="207"/>
        <v>1.7878930517075231</v>
      </c>
      <c r="T86" s="335">
        <f t="shared" si="208"/>
        <v>3.1981729365040401</v>
      </c>
      <c r="U86" s="335">
        <f t="shared" si="209"/>
        <v>4.4012622064862006</v>
      </c>
      <c r="W86" t="str">
        <f t="shared" si="246"/>
        <v>23 Teaching and other educational professionals</v>
      </c>
      <c r="X86" s="335">
        <f t="shared" si="210"/>
        <v>-2.6873017968699231</v>
      </c>
      <c r="Y86" s="335">
        <f t="shared" si="210"/>
        <v>6.1239968328596683</v>
      </c>
      <c r="Z86" s="335">
        <f t="shared" si="210"/>
        <v>-4.8120015012301565</v>
      </c>
      <c r="AA86" s="335">
        <f t="shared" si="210"/>
        <v>-2.5318511939664723</v>
      </c>
      <c r="AB86" s="335">
        <f t="shared" si="211"/>
        <v>-2.7343520220439399</v>
      </c>
      <c r="AD86" s="335">
        <f t="shared" si="212"/>
        <v>-3.2979063667829878</v>
      </c>
      <c r="AE86" s="335">
        <f t="shared" si="213"/>
        <v>2.2096062808864669</v>
      </c>
      <c r="AF86" s="335">
        <f t="shared" si="214"/>
        <v>-4.9144892105701388E-2</v>
      </c>
      <c r="AH86" t="str">
        <f t="shared" si="247"/>
        <v>23 Teaching and other educational professionals</v>
      </c>
      <c r="AI86" s="335">
        <f t="shared" si="215"/>
        <v>-12.353099667715583</v>
      </c>
      <c r="AJ86" s="335">
        <f t="shared" si="215"/>
        <v>-6.345124620415266</v>
      </c>
      <c r="AK86" s="335">
        <f t="shared" si="215"/>
        <v>-10.308212872391431</v>
      </c>
      <c r="AL86" s="335">
        <f t="shared" si="215"/>
        <v>-6.8761467582412195E-2</v>
      </c>
      <c r="AM86" s="335">
        <f t="shared" si="216"/>
        <v>-3.7791575756030982</v>
      </c>
      <c r="AO86" s="335">
        <f t="shared" si="217"/>
        <v>-3.6056144847766092</v>
      </c>
      <c r="AP86" s="335">
        <f t="shared" si="218"/>
        <v>1.1816590991259091</v>
      </c>
      <c r="AQ86" s="335">
        <f t="shared" si="219"/>
        <v>-1.7345117927665354</v>
      </c>
      <c r="AS86" t="str">
        <f t="shared" si="248"/>
        <v>23 Teaching and other educational professionals</v>
      </c>
      <c r="AT86" s="335">
        <f t="shared" si="220"/>
        <v>3.4157451342697875E-2</v>
      </c>
      <c r="AU86" s="335">
        <f t="shared" si="220"/>
        <v>7.0708784399697633</v>
      </c>
      <c r="AV86" s="335">
        <f t="shared" si="220"/>
        <v>-3.5445517928637371</v>
      </c>
      <c r="AW86" s="335">
        <f t="shared" si="220"/>
        <v>-0.92927588503253222</v>
      </c>
      <c r="AX86" s="335">
        <f t="shared" si="221"/>
        <v>-1.2760758362496905</v>
      </c>
      <c r="AZ86" s="335">
        <f t="shared" si="222"/>
        <v>-1.8088199536252403</v>
      </c>
      <c r="BA86" s="335">
        <f t="shared" si="223"/>
        <v>2.3501078053518976</v>
      </c>
      <c r="BB86" s="335">
        <f t="shared" si="224"/>
        <v>1.0942784247037096</v>
      </c>
      <c r="BD86" t="str">
        <f t="shared" si="249"/>
        <v>23 Teaching and other educational professionals</v>
      </c>
      <c r="BE86" s="335">
        <f t="shared" si="225"/>
        <v>0.79000280616048357</v>
      </c>
      <c r="BF86" s="335">
        <f t="shared" si="225"/>
        <v>11.735539746776125</v>
      </c>
      <c r="BG86" s="335">
        <f t="shared" si="225"/>
        <v>-2.0237488356717903</v>
      </c>
      <c r="BH86" s="335">
        <f t="shared" si="225"/>
        <v>0.82535129544425434</v>
      </c>
      <c r="BI86" s="335">
        <f t="shared" si="226"/>
        <v>0.56996611064645819</v>
      </c>
      <c r="BK86" s="335">
        <f t="shared" si="227"/>
        <v>-0.13343735286466263</v>
      </c>
      <c r="BL86" s="335">
        <f t="shared" si="228"/>
        <v>2.2239522816477786</v>
      </c>
      <c r="BM86" s="335">
        <f t="shared" si="229"/>
        <v>2.1261397380060165</v>
      </c>
      <c r="BO86" t="str">
        <f t="shared" si="250"/>
        <v>23 Teaching and other educational professionals</v>
      </c>
      <c r="BP86" s="335">
        <f t="shared" si="230"/>
        <v>0.7548298997986258</v>
      </c>
      <c r="BQ86" s="335">
        <f t="shared" si="230"/>
        <v>0.74007412956906826</v>
      </c>
      <c r="BR86" s="335">
        <f t="shared" si="230"/>
        <v>-2.6959860591879603</v>
      </c>
      <c r="BS86" s="335">
        <f t="shared" si="230"/>
        <v>-1.4057572429467813</v>
      </c>
      <c r="BT86" s="335">
        <f t="shared" si="231"/>
        <v>-1.678561198332873</v>
      </c>
      <c r="BV86" s="335">
        <f t="shared" si="232"/>
        <v>-1.8377233025588802</v>
      </c>
      <c r="BW86" s="335">
        <f t="shared" si="233"/>
        <v>2.2101208943600792</v>
      </c>
      <c r="BX86" s="335">
        <f t="shared" si="234"/>
        <v>0.90789439799707772</v>
      </c>
      <c r="BZ86" t="str">
        <f t="shared" si="251"/>
        <v>23 Teaching and other educational professionals</v>
      </c>
      <c r="CA86" s="335">
        <f t="shared" si="235"/>
        <v>0.84821724315671254</v>
      </c>
      <c r="CB86" s="335">
        <f t="shared" si="235"/>
        <v>3.0529214324808596</v>
      </c>
      <c r="CC86" s="335">
        <f t="shared" si="235"/>
        <v>-2.6376394015344196</v>
      </c>
      <c r="CD86" s="335">
        <f t="shared" si="235"/>
        <v>-2.6534713454687275</v>
      </c>
      <c r="CE86" s="335">
        <f t="shared" si="236"/>
        <v>-2.3013011602498135</v>
      </c>
      <c r="CG86" s="335">
        <f t="shared" si="237"/>
        <v>-2.6481943168899846</v>
      </c>
      <c r="CH86" s="335">
        <f t="shared" si="238"/>
        <v>1.9854623548904327</v>
      </c>
      <c r="CI86" s="335">
        <f t="shared" si="239"/>
        <v>7.6814518563650402E-2</v>
      </c>
      <c r="CK86" t="str">
        <f t="shared" si="252"/>
        <v>23 Teaching and other educational professionals</v>
      </c>
      <c r="CL86" s="335">
        <f t="shared" si="240"/>
        <v>4.0064644686128581</v>
      </c>
      <c r="CM86" s="335">
        <f t="shared" si="240"/>
        <v>13.876413117000608</v>
      </c>
      <c r="CN86" s="335">
        <f t="shared" si="240"/>
        <v>-0.42670840270456756</v>
      </c>
      <c r="CO86" s="335">
        <f t="shared" si="240"/>
        <v>-0.21561443989269735</v>
      </c>
      <c r="CP86" s="335">
        <f t="shared" si="241"/>
        <v>0.54509141265435268</v>
      </c>
      <c r="CR86" s="335">
        <f t="shared" si="242"/>
        <v>-0.286028771392699</v>
      </c>
      <c r="CS86" s="335">
        <f t="shared" si="243"/>
        <v>2.1581515110370875</v>
      </c>
      <c r="CT86" s="335">
        <f t="shared" si="244"/>
        <v>1.9472015725330083</v>
      </c>
    </row>
    <row r="87" spans="1:98">
      <c r="A87" t="str">
        <f t="shared" si="199"/>
        <v>24 Business, media and public service professionals</v>
      </c>
      <c r="B87" s="335">
        <f t="shared" si="200"/>
        <v>8.4646571794974044</v>
      </c>
      <c r="C87" s="335">
        <f t="shared" si="200"/>
        <v>7.833035222735063</v>
      </c>
      <c r="D87" s="335">
        <f t="shared" si="200"/>
        <v>5.9265473875596442</v>
      </c>
      <c r="E87" s="335">
        <f t="shared" si="200"/>
        <v>3.9620063278234419</v>
      </c>
      <c r="F87" s="335">
        <f t="shared" si="201"/>
        <v>4.811190096334772</v>
      </c>
      <c r="H87" s="335">
        <f t="shared" si="202"/>
        <v>4.6127712922197306</v>
      </c>
      <c r="I87" s="335">
        <f t="shared" si="203"/>
        <v>3.7568843760571902</v>
      </c>
      <c r="J87" s="335">
        <f t="shared" si="204"/>
        <v>6.8607596269172566</v>
      </c>
      <c r="L87" t="str">
        <f t="shared" si="245"/>
        <v>24 Business, media and public service professionals</v>
      </c>
      <c r="M87" s="335">
        <f t="shared" si="205"/>
        <v>8.5207866056751023</v>
      </c>
      <c r="N87" s="335">
        <f t="shared" si="205"/>
        <v>7.0393424943746563</v>
      </c>
      <c r="O87" s="335">
        <f t="shared" si="205"/>
        <v>4.8829833276341494</v>
      </c>
      <c r="P87" s="335">
        <f t="shared" si="205"/>
        <v>3.137180668550954</v>
      </c>
      <c r="Q87" s="335">
        <f t="shared" si="206"/>
        <v>3.9205225208297056</v>
      </c>
      <c r="S87" s="335">
        <f t="shared" si="207"/>
        <v>3.7158619553204097</v>
      </c>
      <c r="T87" s="335">
        <f t="shared" si="208"/>
        <v>3.546903300149773</v>
      </c>
      <c r="U87" s="335">
        <f t="shared" si="209"/>
        <v>6.055081828643738</v>
      </c>
      <c r="W87" t="str">
        <f t="shared" si="246"/>
        <v>24 Business, media and public service professionals</v>
      </c>
      <c r="X87" s="335">
        <f t="shared" si="210"/>
        <v>3.1490238911312751</v>
      </c>
      <c r="Y87" s="335">
        <f t="shared" si="210"/>
        <v>8.7235603850436494</v>
      </c>
      <c r="Z87" s="335">
        <f t="shared" si="210"/>
        <v>-0.14059904629283304</v>
      </c>
      <c r="AA87" s="335">
        <f t="shared" si="210"/>
        <v>6.7782827481610575E-2</v>
      </c>
      <c r="AB87" s="335">
        <f t="shared" si="211"/>
        <v>0.52248156839689308</v>
      </c>
      <c r="AD87" s="335">
        <f t="shared" si="212"/>
        <v>-1.7260680692632313E-3</v>
      </c>
      <c r="AE87" s="335">
        <f t="shared" si="213"/>
        <v>2.8169259939356373</v>
      </c>
      <c r="AF87" s="335">
        <f t="shared" si="214"/>
        <v>2.8157561298131961</v>
      </c>
      <c r="AH87" t="str">
        <f t="shared" si="247"/>
        <v>24 Business, media and public service professionals</v>
      </c>
      <c r="AI87" s="335">
        <f t="shared" si="215"/>
        <v>-0.67895586927538831</v>
      </c>
      <c r="AJ87" s="335">
        <f t="shared" si="215"/>
        <v>12.859327368712936</v>
      </c>
      <c r="AK87" s="335">
        <f t="shared" si="215"/>
        <v>-1.9264071327393384</v>
      </c>
      <c r="AL87" s="335">
        <f t="shared" si="215"/>
        <v>0.24357679153190759</v>
      </c>
      <c r="AM87" s="335">
        <f t="shared" si="216"/>
        <v>0.30070008285543182</v>
      </c>
      <c r="AO87" s="335">
        <f t="shared" si="217"/>
        <v>-0.48503419267884595</v>
      </c>
      <c r="AP87" s="335">
        <f t="shared" si="218"/>
        <v>2.0403216467884233</v>
      </c>
      <c r="AQ87" s="335">
        <f t="shared" si="219"/>
        <v>1.6780430272471003</v>
      </c>
      <c r="AS87" t="str">
        <f t="shared" si="248"/>
        <v>24 Business, media and public service professionals</v>
      </c>
      <c r="AT87" s="335">
        <f t="shared" si="220"/>
        <v>2.6163967229042129</v>
      </c>
      <c r="AU87" s="335">
        <f t="shared" si="220"/>
        <v>11.514018336265197</v>
      </c>
      <c r="AV87" s="335">
        <f t="shared" si="220"/>
        <v>7.6456150186099414E-2</v>
      </c>
      <c r="AW87" s="335">
        <f t="shared" si="220"/>
        <v>0.51485848049031002</v>
      </c>
      <c r="AX87" s="335">
        <f t="shared" si="221"/>
        <v>1.0312513100232401</v>
      </c>
      <c r="AZ87" s="335">
        <f t="shared" si="222"/>
        <v>0.36851139615818873</v>
      </c>
      <c r="BA87" s="335">
        <f t="shared" si="223"/>
        <v>2.7518661820629786</v>
      </c>
      <c r="BB87" s="335">
        <f t="shared" si="224"/>
        <v>3.0060202837757677</v>
      </c>
      <c r="BD87" t="str">
        <f t="shared" si="249"/>
        <v>24 Business, media and public service professionals</v>
      </c>
      <c r="BE87" s="335">
        <f t="shared" si="225"/>
        <v>3.2923078306635434</v>
      </c>
      <c r="BF87" s="335">
        <f t="shared" si="225"/>
        <v>11.177059761999097</v>
      </c>
      <c r="BG87" s="335">
        <f t="shared" si="225"/>
        <v>-0.39638286423080427</v>
      </c>
      <c r="BH87" s="335">
        <f t="shared" si="225"/>
        <v>0.17700826105049305</v>
      </c>
      <c r="BI87" s="335">
        <f t="shared" si="226"/>
        <v>0.65073645446434014</v>
      </c>
      <c r="BK87" s="335">
        <f t="shared" si="227"/>
        <v>-1.448794078924287E-2</v>
      </c>
      <c r="BL87" s="335">
        <f t="shared" si="228"/>
        <v>2.2845910949046866</v>
      </c>
      <c r="BM87" s="335">
        <f t="shared" si="229"/>
        <v>2.274034179821216</v>
      </c>
      <c r="BO87" t="str">
        <f t="shared" si="250"/>
        <v>24 Business, media and public service professionals</v>
      </c>
      <c r="BP87" s="335">
        <f t="shared" si="230"/>
        <v>2.2452687636883351</v>
      </c>
      <c r="BQ87" s="335">
        <f t="shared" si="230"/>
        <v>2.7046158053732894</v>
      </c>
      <c r="BR87" s="335">
        <f t="shared" si="230"/>
        <v>-1.707813966932259</v>
      </c>
      <c r="BS87" s="335">
        <f t="shared" si="230"/>
        <v>-2.1710630467411174</v>
      </c>
      <c r="BT87" s="335">
        <f t="shared" si="231"/>
        <v>-1.7282607971133901</v>
      </c>
      <c r="BV87" s="335">
        <f t="shared" si="232"/>
        <v>-2.016889783400877</v>
      </c>
      <c r="BW87" s="335">
        <f t="shared" si="233"/>
        <v>2.0049274289896557</v>
      </c>
      <c r="BX87" s="335">
        <f t="shared" si="234"/>
        <v>0.53611244138884739</v>
      </c>
      <c r="BZ87" t="str">
        <f t="shared" si="251"/>
        <v>24 Business, media and public service professionals</v>
      </c>
      <c r="CA87" s="335">
        <f t="shared" si="235"/>
        <v>2.7460841146402348</v>
      </c>
      <c r="CB87" s="335">
        <f t="shared" si="235"/>
        <v>3.1075396098610097</v>
      </c>
      <c r="CC87" s="335">
        <f t="shared" si="235"/>
        <v>-2.2029059001882123</v>
      </c>
      <c r="CD87" s="335">
        <f t="shared" si="235"/>
        <v>-4.4169650595292538</v>
      </c>
      <c r="CE87" s="335">
        <f t="shared" si="236"/>
        <v>-3.2734893677861643</v>
      </c>
      <c r="CG87" s="335">
        <f t="shared" si="237"/>
        <v>-3.684571550370197</v>
      </c>
      <c r="CH87" s="335">
        <f t="shared" si="238"/>
        <v>1.7411972088138272</v>
      </c>
      <c r="CI87" s="335">
        <f t="shared" si="239"/>
        <v>-0.96239127453425777</v>
      </c>
      <c r="CK87" t="str">
        <f t="shared" si="252"/>
        <v>24 Business, media and public service professionals</v>
      </c>
      <c r="CL87" s="335">
        <f t="shared" si="240"/>
        <v>4.8009607258008291</v>
      </c>
      <c r="CM87" s="335">
        <f t="shared" si="240"/>
        <v>-2.2217607646065285</v>
      </c>
      <c r="CN87" s="335">
        <f t="shared" si="240"/>
        <v>0.50501236977620323</v>
      </c>
      <c r="CO87" s="335">
        <f t="shared" si="240"/>
        <v>-0.17557691616740811</v>
      </c>
      <c r="CP87" s="335">
        <f t="shared" si="241"/>
        <v>-9.2795585442539963E-2</v>
      </c>
      <c r="CR87" s="335">
        <f t="shared" si="242"/>
        <v>5.0772549286404178E-2</v>
      </c>
      <c r="CS87" s="335">
        <f t="shared" si="243"/>
        <v>2.0205734826006738</v>
      </c>
      <c r="CT87" s="335">
        <f t="shared" si="244"/>
        <v>2.0589795367881747</v>
      </c>
    </row>
    <row r="88" spans="1:98">
      <c r="A88" t="str">
        <f t="shared" si="199"/>
        <v>31 Science, engineering and technology associate professionals</v>
      </c>
      <c r="B88" s="335">
        <f t="shared" si="200"/>
        <v>9.5821665459234531</v>
      </c>
      <c r="C88" s="335">
        <f t="shared" si="200"/>
        <v>7.4478736346565322</v>
      </c>
      <c r="D88" s="335">
        <f t="shared" si="200"/>
        <v>4.21051147518543</v>
      </c>
      <c r="E88" s="335">
        <f t="shared" si="200"/>
        <v>4.5074883420294531</v>
      </c>
      <c r="F88" s="335">
        <f t="shared" si="201"/>
        <v>4.5958245438002532</v>
      </c>
      <c r="H88" s="335">
        <f t="shared" si="202"/>
        <v>4.4084021366230797</v>
      </c>
      <c r="I88" s="335">
        <f t="shared" si="203"/>
        <v>3.4916476722051337</v>
      </c>
      <c r="J88" s="335">
        <f t="shared" si="204"/>
        <v>6.5316096976875793</v>
      </c>
      <c r="L88" t="str">
        <f t="shared" si="245"/>
        <v>31 Science, engineering and technology associate professionals</v>
      </c>
      <c r="M88" s="335">
        <f t="shared" si="205"/>
        <v>8.3655197112219248</v>
      </c>
      <c r="N88" s="335">
        <f t="shared" si="205"/>
        <v>8.7756138786345694</v>
      </c>
      <c r="O88" s="335">
        <f t="shared" si="205"/>
        <v>3.0382916588199915</v>
      </c>
      <c r="P88" s="335">
        <f t="shared" si="205"/>
        <v>3.4783172923325223</v>
      </c>
      <c r="Q88" s="335">
        <f t="shared" si="206"/>
        <v>3.6635668857022186</v>
      </c>
      <c r="S88" s="335">
        <f t="shared" si="207"/>
        <v>3.3314336840138514</v>
      </c>
      <c r="T88" s="335">
        <f t="shared" si="208"/>
        <v>3.0652237041037145</v>
      </c>
      <c r="U88" s="335">
        <f t="shared" si="209"/>
        <v>5.4215839805392685</v>
      </c>
      <c r="W88" t="str">
        <f t="shared" si="246"/>
        <v>31 Science, engineering and technology associate professionals</v>
      </c>
      <c r="X88" s="335">
        <f t="shared" si="210"/>
        <v>4.6421639224463851</v>
      </c>
      <c r="Y88" s="335">
        <f t="shared" si="210"/>
        <v>6.982377846934118</v>
      </c>
      <c r="Z88" s="335">
        <f t="shared" si="210"/>
        <v>-0.52400530049915295</v>
      </c>
      <c r="AA88" s="335">
        <f t="shared" si="210"/>
        <v>1.0317174683884378</v>
      </c>
      <c r="AB88" s="335">
        <f t="shared" si="211"/>
        <v>0.90322940496212478</v>
      </c>
      <c r="AD88" s="335">
        <f t="shared" si="212"/>
        <v>0.51045847446062886</v>
      </c>
      <c r="AE88" s="335">
        <f t="shared" si="213"/>
        <v>2.5487715916653553</v>
      </c>
      <c r="AF88" s="335">
        <f t="shared" si="214"/>
        <v>2.9116235411084546</v>
      </c>
      <c r="AH88" t="str">
        <f t="shared" si="247"/>
        <v>31 Science, engineering and technology associate professionals</v>
      </c>
      <c r="AI88" s="335">
        <f t="shared" si="215"/>
        <v>5.2717672144691141</v>
      </c>
      <c r="AJ88" s="335">
        <f t="shared" si="215"/>
        <v>11.672661071773494</v>
      </c>
      <c r="AK88" s="335">
        <f t="shared" si="215"/>
        <v>1.2068814268229922</v>
      </c>
      <c r="AL88" s="335">
        <f t="shared" si="215"/>
        <v>2.6506144409886412</v>
      </c>
      <c r="AM88" s="335">
        <f t="shared" si="216"/>
        <v>2.7367417733972221</v>
      </c>
      <c r="AO88" s="335">
        <f t="shared" si="217"/>
        <v>2.1670961480729112</v>
      </c>
      <c r="AP88" s="335">
        <f t="shared" si="218"/>
        <v>2.9871135129347692</v>
      </c>
      <c r="AQ88" s="335">
        <f t="shared" si="219"/>
        <v>4.4967090513514441</v>
      </c>
      <c r="AS88" t="str">
        <f t="shared" si="248"/>
        <v>31 Science, engineering and technology associate professionals</v>
      </c>
      <c r="AT88" s="335">
        <f t="shared" si="220"/>
        <v>2.0407157309437096</v>
      </c>
      <c r="AU88" s="335">
        <f t="shared" si="220"/>
        <v>6.312314368888261</v>
      </c>
      <c r="AV88" s="335">
        <f t="shared" si="220"/>
        <v>-2.6142646481010168</v>
      </c>
      <c r="AW88" s="335">
        <f t="shared" si="220"/>
        <v>-3.4795221121231013E-2</v>
      </c>
      <c r="AX88" s="335">
        <f t="shared" si="221"/>
        <v>-0.46591990569933017</v>
      </c>
      <c r="AZ88" s="335">
        <f t="shared" si="222"/>
        <v>-0.90212177179251896</v>
      </c>
      <c r="BA88" s="335">
        <f t="shared" si="223"/>
        <v>2.0022485515416966</v>
      </c>
      <c r="BB88" s="335">
        <f t="shared" si="224"/>
        <v>1.3301510197174071</v>
      </c>
      <c r="BD88" t="str">
        <f t="shared" si="249"/>
        <v>31 Science, engineering and technology associate professionals</v>
      </c>
      <c r="BE88" s="335">
        <f t="shared" si="225"/>
        <v>1.5201521318854105</v>
      </c>
      <c r="BF88" s="335">
        <f t="shared" si="225"/>
        <v>11.276093390546471</v>
      </c>
      <c r="BG88" s="335">
        <f t="shared" si="225"/>
        <v>-4.5861868738902523</v>
      </c>
      <c r="BH88" s="335">
        <f t="shared" si="225"/>
        <v>-1.8872762662508924</v>
      </c>
      <c r="BI88" s="335">
        <f t="shared" si="226"/>
        <v>-1.9704597041549254</v>
      </c>
      <c r="BK88" s="335">
        <f t="shared" si="227"/>
        <v>-2.7952907107724578</v>
      </c>
      <c r="BL88" s="335">
        <f t="shared" si="228"/>
        <v>1.5767494724506781</v>
      </c>
      <c r="BM88" s="335">
        <f t="shared" si="229"/>
        <v>-0.56815460082080271</v>
      </c>
      <c r="BO88" t="str">
        <f t="shared" si="250"/>
        <v>31 Science, engineering and technology associate professionals</v>
      </c>
      <c r="BP88" s="335">
        <f t="shared" si="230"/>
        <v>3.3185832760320277</v>
      </c>
      <c r="BQ88" s="335">
        <f t="shared" si="230"/>
        <v>4.9986284939178116</v>
      </c>
      <c r="BR88" s="335">
        <f t="shared" si="230"/>
        <v>-2.5255277458424263</v>
      </c>
      <c r="BS88" s="335">
        <f t="shared" si="230"/>
        <v>-0.62182699388780849</v>
      </c>
      <c r="BT88" s="335">
        <f t="shared" si="231"/>
        <v>-0.88046390978652189</v>
      </c>
      <c r="BV88" s="335">
        <f t="shared" si="232"/>
        <v>-1.2604895396023275</v>
      </c>
      <c r="BW88" s="335">
        <f t="shared" si="233"/>
        <v>1.9066569032547331</v>
      </c>
      <c r="BX88" s="335">
        <f t="shared" si="234"/>
        <v>0.96088640569080841</v>
      </c>
      <c r="BZ88" t="str">
        <f t="shared" si="251"/>
        <v>31 Science, engineering and technology associate professionals</v>
      </c>
      <c r="CA88" s="335">
        <f t="shared" si="235"/>
        <v>4.0919460202128777</v>
      </c>
      <c r="CB88" s="335">
        <f t="shared" si="235"/>
        <v>6.2170039686781919</v>
      </c>
      <c r="CC88" s="335">
        <f t="shared" si="235"/>
        <v>-2.634570638943734</v>
      </c>
      <c r="CD88" s="335">
        <f t="shared" si="235"/>
        <v>-2.1973245738479585</v>
      </c>
      <c r="CE88" s="335">
        <f t="shared" si="236"/>
        <v>-1.8290864882750779</v>
      </c>
      <c r="CG88" s="335">
        <f t="shared" si="237"/>
        <v>-2.343291002665715</v>
      </c>
      <c r="CH88" s="335">
        <f t="shared" si="238"/>
        <v>1.7037524140213423</v>
      </c>
      <c r="CI88" s="335">
        <f t="shared" si="239"/>
        <v>-7.2969510358167344E-2</v>
      </c>
      <c r="CK88" t="str">
        <f t="shared" si="252"/>
        <v>31 Science, engineering and technology associate professionals</v>
      </c>
      <c r="CL88" s="335">
        <f t="shared" si="240"/>
        <v>7.3624653835084208</v>
      </c>
      <c r="CM88" s="335">
        <f t="shared" si="240"/>
        <v>10.057126401817285</v>
      </c>
      <c r="CN88" s="335">
        <f t="shared" si="240"/>
        <v>1.8562319496454149</v>
      </c>
      <c r="CO88" s="335">
        <f t="shared" si="240"/>
        <v>2.7747329360289452</v>
      </c>
      <c r="CP88" s="335">
        <f t="shared" si="241"/>
        <v>2.9262702538847662</v>
      </c>
      <c r="CR88" s="335">
        <f t="shared" si="242"/>
        <v>2.4676493102873343</v>
      </c>
      <c r="CS88" s="335">
        <f t="shared" si="243"/>
        <v>2.5005007178489747</v>
      </c>
      <c r="CT88" s="335">
        <f t="shared" si="244"/>
        <v>4.3346725416996579</v>
      </c>
    </row>
    <row r="89" spans="1:98">
      <c r="A89" t="str">
        <f t="shared" si="199"/>
        <v>32 Health and social care associate professionals</v>
      </c>
      <c r="B89" s="335">
        <f t="shared" si="200"/>
        <v>8.8222217231844304</v>
      </c>
      <c r="C89" s="335">
        <f t="shared" si="200"/>
        <v>-6.7847748759522375</v>
      </c>
      <c r="D89" s="335">
        <f t="shared" si="200"/>
        <v>14.887238044094641</v>
      </c>
      <c r="E89" s="335">
        <f t="shared" si="200"/>
        <v>5.8569063643896024</v>
      </c>
      <c r="F89" s="335">
        <f t="shared" si="201"/>
        <v>7.7400966732383392</v>
      </c>
      <c r="H89" s="335">
        <f t="shared" si="202"/>
        <v>8.7852618490927181</v>
      </c>
      <c r="I89" s="335">
        <f t="shared" si="203"/>
        <v>6.1517067208700205</v>
      </c>
      <c r="J89" s="335">
        <f t="shared" si="204"/>
        <v>11.303824224082959</v>
      </c>
      <c r="L89" t="str">
        <f t="shared" si="245"/>
        <v>32 Health and social care associate professionals</v>
      </c>
      <c r="M89" s="335">
        <f t="shared" si="205"/>
        <v>8.7575750597088451</v>
      </c>
      <c r="N89" s="335">
        <f t="shared" si="205"/>
        <v>2.9564694702072236</v>
      </c>
      <c r="O89" s="335">
        <f t="shared" si="205"/>
        <v>14.988026170229585</v>
      </c>
      <c r="P89" s="335">
        <f t="shared" si="205"/>
        <v>5.126851113156472</v>
      </c>
      <c r="Q89" s="335">
        <f t="shared" si="206"/>
        <v>7.9731647949494722</v>
      </c>
      <c r="S89" s="335">
        <f t="shared" si="207"/>
        <v>8.3161738022468725</v>
      </c>
      <c r="T89" s="335">
        <f t="shared" si="208"/>
        <v>5.8905301941371668</v>
      </c>
      <c r="U89" s="335">
        <f t="shared" si="209"/>
        <v>10.827180871926734</v>
      </c>
      <c r="W89" t="str">
        <f t="shared" si="246"/>
        <v>32 Health and social care associate professionals</v>
      </c>
      <c r="X89" s="335">
        <f t="shared" si="210"/>
        <v>4.1946815514948721</v>
      </c>
      <c r="Y89" s="335">
        <f t="shared" si="210"/>
        <v>4.5695041141052162</v>
      </c>
      <c r="Z89" s="335">
        <f t="shared" si="210"/>
        <v>11.091594476733846</v>
      </c>
      <c r="AA89" s="335">
        <f t="shared" si="210"/>
        <v>2.3883359042823127</v>
      </c>
      <c r="AB89" s="335">
        <f t="shared" si="211"/>
        <v>5.1706948921304008</v>
      </c>
      <c r="AD89" s="335">
        <f t="shared" si="212"/>
        <v>5.2108969510997527</v>
      </c>
      <c r="AE89" s="335">
        <f t="shared" si="213"/>
        <v>5.2116021476870111</v>
      </c>
      <c r="AF89" s="335">
        <f t="shared" si="214"/>
        <v>8.2521976793243912</v>
      </c>
      <c r="AH89" t="str">
        <f t="shared" si="247"/>
        <v>32 Health and social care associate professionals</v>
      </c>
      <c r="AI89" s="335">
        <f t="shared" si="215"/>
        <v>-3.3779507560851574</v>
      </c>
      <c r="AJ89" s="335">
        <f t="shared" si="215"/>
        <v>-0.85034077346842762</v>
      </c>
      <c r="AK89" s="335">
        <f t="shared" si="215"/>
        <v>2.2944958945973593</v>
      </c>
      <c r="AL89" s="335">
        <f t="shared" si="215"/>
        <v>-4.6607758972519004</v>
      </c>
      <c r="AM89" s="335">
        <f t="shared" si="216"/>
        <v>-2.3006232737840526</v>
      </c>
      <c r="AO89" s="335">
        <f t="shared" si="217"/>
        <v>-2.3965510562656278</v>
      </c>
      <c r="AP89" s="335">
        <f t="shared" si="218"/>
        <v>2.4281105618121801</v>
      </c>
      <c r="AQ89" s="335">
        <f t="shared" si="219"/>
        <v>0.80694744047955513</v>
      </c>
      <c r="AS89" t="str">
        <f t="shared" si="248"/>
        <v>32 Health and social care associate professionals</v>
      </c>
      <c r="AT89" s="335">
        <f t="shared" si="220"/>
        <v>3.2211132519596619</v>
      </c>
      <c r="AU89" s="335">
        <f t="shared" si="220"/>
        <v>13.078011312916527</v>
      </c>
      <c r="AV89" s="335">
        <f t="shared" si="220"/>
        <v>7.7157633750576826</v>
      </c>
      <c r="AW89" s="335">
        <f t="shared" si="220"/>
        <v>1.5956465193538216</v>
      </c>
      <c r="AX89" s="335">
        <f t="shared" si="221"/>
        <v>4.1646458140945031</v>
      </c>
      <c r="AZ89" s="335">
        <f t="shared" si="222"/>
        <v>3.5960397147499767</v>
      </c>
      <c r="BA89" s="335">
        <f t="shared" si="223"/>
        <v>4.2643800042989177</v>
      </c>
      <c r="BB89" s="335">
        <f t="shared" si="224"/>
        <v>6.4940095700981137</v>
      </c>
      <c r="BD89" t="str">
        <f t="shared" si="249"/>
        <v>32 Health and social care associate professionals</v>
      </c>
      <c r="BE89" s="335">
        <f t="shared" si="225"/>
        <v>5.3977384246001847</v>
      </c>
      <c r="BF89" s="335">
        <f t="shared" si="225"/>
        <v>4.9389102921529204</v>
      </c>
      <c r="BG89" s="335">
        <f t="shared" si="225"/>
        <v>10.533161816806057</v>
      </c>
      <c r="BH89" s="335">
        <f t="shared" si="225"/>
        <v>2.0154002632187584</v>
      </c>
      <c r="BI89" s="335">
        <f t="shared" si="226"/>
        <v>4.7890868723295954</v>
      </c>
      <c r="BK89" s="335">
        <f t="shared" si="227"/>
        <v>4.7791062532667627</v>
      </c>
      <c r="BL89" s="335">
        <f t="shared" si="228"/>
        <v>4.7048573582495923</v>
      </c>
      <c r="BM89" s="335">
        <f t="shared" si="229"/>
        <v>7.6163023255483298</v>
      </c>
      <c r="BO89" t="str">
        <f t="shared" si="250"/>
        <v>32 Health and social care associate professionals</v>
      </c>
      <c r="BP89" s="335">
        <f t="shared" si="230"/>
        <v>3.3214064188498371</v>
      </c>
      <c r="BQ89" s="335">
        <f t="shared" si="230"/>
        <v>-3.7576498446966422</v>
      </c>
      <c r="BR89" s="335">
        <f t="shared" si="230"/>
        <v>8.161248999508274</v>
      </c>
      <c r="BS89" s="335">
        <f t="shared" si="230"/>
        <v>-1.4863428200616702</v>
      </c>
      <c r="BT89" s="335">
        <f t="shared" si="231"/>
        <v>1.284518820805669</v>
      </c>
      <c r="BV89" s="335">
        <f t="shared" si="232"/>
        <v>1.6299064584722078</v>
      </c>
      <c r="BW89" s="335">
        <f t="shared" si="233"/>
        <v>3.6763853271242874</v>
      </c>
      <c r="BX89" s="335">
        <f t="shared" si="234"/>
        <v>4.7054287977349007</v>
      </c>
      <c r="BZ89" t="str">
        <f t="shared" si="251"/>
        <v>32 Health and social care associate professionals</v>
      </c>
      <c r="CA89" s="335">
        <f t="shared" si="235"/>
        <v>-1.0512800798101019</v>
      </c>
      <c r="CB89" s="335">
        <f t="shared" si="235"/>
        <v>-10.073191734231568</v>
      </c>
      <c r="CC89" s="335">
        <f t="shared" si="235"/>
        <v>5.7640202474018576</v>
      </c>
      <c r="CD89" s="335">
        <f t="shared" si="235"/>
        <v>-3.8093770330562604</v>
      </c>
      <c r="CE89" s="335">
        <f t="shared" si="236"/>
        <v>-1.3307915567302819</v>
      </c>
      <c r="CG89" s="335">
        <f t="shared" si="237"/>
        <v>-0.718619245511809</v>
      </c>
      <c r="CH89" s="335">
        <f t="shared" si="238"/>
        <v>2.7173871588561882</v>
      </c>
      <c r="CI89" s="335">
        <f t="shared" si="239"/>
        <v>2.2320123017332438</v>
      </c>
      <c r="CK89" t="str">
        <f t="shared" si="252"/>
        <v>32 Health and social care associate professionals</v>
      </c>
      <c r="CL89" s="335">
        <f t="shared" si="240"/>
        <v>2.7877432790881507</v>
      </c>
      <c r="CM89" s="335">
        <f t="shared" si="240"/>
        <v>-0.73747871385848596</v>
      </c>
      <c r="CN89" s="335">
        <f t="shared" si="240"/>
        <v>9.021233941700558</v>
      </c>
      <c r="CO89" s="335">
        <f t="shared" si="240"/>
        <v>2.3094218787109488</v>
      </c>
      <c r="CP89" s="335">
        <f t="shared" si="241"/>
        <v>4.164220242042016</v>
      </c>
      <c r="CR89" s="335">
        <f t="shared" si="242"/>
        <v>4.4994773003975697</v>
      </c>
      <c r="CS89" s="335">
        <f t="shared" si="243"/>
        <v>3.4349821537767333</v>
      </c>
      <c r="CT89" s="335">
        <f t="shared" si="244"/>
        <v>6.5630339400476911</v>
      </c>
    </row>
    <row r="90" spans="1:98">
      <c r="A90" t="str">
        <f t="shared" si="199"/>
        <v>33 Protective service occupations</v>
      </c>
      <c r="B90" s="335">
        <f t="shared" si="200"/>
        <v>4.2710353605816875</v>
      </c>
      <c r="C90" s="335">
        <f t="shared" si="200"/>
        <v>5.1682952272388061</v>
      </c>
      <c r="D90" s="335">
        <f t="shared" si="200"/>
        <v>4.029122807177643</v>
      </c>
      <c r="E90" s="335">
        <f t="shared" si="200"/>
        <v>4.5268912332934397</v>
      </c>
      <c r="F90" s="335">
        <f t="shared" si="201"/>
        <v>4.4109965937257467</v>
      </c>
      <c r="H90" s="335">
        <f t="shared" si="202"/>
        <v>4.3607043447425609</v>
      </c>
      <c r="I90" s="335">
        <f t="shared" si="203"/>
        <v>2.7759256575755842</v>
      </c>
      <c r="J90" s="335">
        <f t="shared" si="204"/>
        <v>6.0243831984159169</v>
      </c>
      <c r="L90" t="str">
        <f t="shared" si="245"/>
        <v>33 Protective service occupations</v>
      </c>
      <c r="M90" s="335">
        <f t="shared" si="205"/>
        <v>5.8948950042564841</v>
      </c>
      <c r="N90" s="335">
        <f t="shared" si="205"/>
        <v>10.132799986294172</v>
      </c>
      <c r="O90" s="335">
        <f t="shared" si="205"/>
        <v>2.0555950002595802</v>
      </c>
      <c r="P90" s="335">
        <f t="shared" si="205"/>
        <v>4.8315683684561295</v>
      </c>
      <c r="Q90" s="335">
        <f t="shared" si="206"/>
        <v>4.2770773884288849</v>
      </c>
      <c r="S90" s="335">
        <f t="shared" si="207"/>
        <v>3.8979539638883676</v>
      </c>
      <c r="T90" s="335">
        <f t="shared" si="208"/>
        <v>2.4349856676163739</v>
      </c>
      <c r="U90" s="335">
        <f t="shared" si="209"/>
        <v>5.4263021738626405</v>
      </c>
      <c r="W90" t="str">
        <f t="shared" si="246"/>
        <v>33 Protective service occupations</v>
      </c>
      <c r="X90" s="335">
        <f t="shared" si="210"/>
        <v>2.9002050516247602</v>
      </c>
      <c r="Y90" s="335">
        <f t="shared" si="210"/>
        <v>11.903004719211218</v>
      </c>
      <c r="Z90" s="335">
        <f t="shared" si="210"/>
        <v>-1.8235854985402367</v>
      </c>
      <c r="AA90" s="335">
        <f t="shared" si="210"/>
        <v>2.6394135407208141</v>
      </c>
      <c r="AB90" s="335">
        <f t="shared" si="211"/>
        <v>1.7715057652934796</v>
      </c>
      <c r="AD90" s="335">
        <f t="shared" si="212"/>
        <v>1.1296483264444879</v>
      </c>
      <c r="AE90" s="335">
        <f t="shared" si="213"/>
        <v>2.3814207529410103</v>
      </c>
      <c r="AF90" s="335">
        <f t="shared" si="214"/>
        <v>3.2125408983455506</v>
      </c>
      <c r="AH90" t="str">
        <f t="shared" si="247"/>
        <v>33 Protective service occupations</v>
      </c>
      <c r="AI90" s="335">
        <f t="shared" si="215"/>
        <v>2.157033481000914</v>
      </c>
      <c r="AJ90" s="335">
        <f t="shared" si="215"/>
        <v>13.367315323113061</v>
      </c>
      <c r="AK90" s="335">
        <f t="shared" si="215"/>
        <v>-1.4535753429049891</v>
      </c>
      <c r="AL90" s="335">
        <f t="shared" si="215"/>
        <v>2.5558128234988819</v>
      </c>
      <c r="AM90" s="335">
        <f t="shared" si="216"/>
        <v>1.9221179230997532</v>
      </c>
      <c r="AO90" s="335">
        <f t="shared" si="217"/>
        <v>1.2015454831800332</v>
      </c>
      <c r="AP90" s="335">
        <f t="shared" si="218"/>
        <v>2.175903218341757</v>
      </c>
      <c r="AQ90" s="335">
        <f t="shared" si="219"/>
        <v>3.0847883058781944</v>
      </c>
      <c r="AS90" t="str">
        <f t="shared" si="248"/>
        <v>33 Protective service occupations</v>
      </c>
      <c r="AT90" s="335">
        <f t="shared" si="220"/>
        <v>-1.8076773533450052</v>
      </c>
      <c r="AU90" s="335">
        <f t="shared" si="220"/>
        <v>9.1712757054906557</v>
      </c>
      <c r="AV90" s="335">
        <f t="shared" si="220"/>
        <v>-4.9005917991455483</v>
      </c>
      <c r="AW90" s="335">
        <f t="shared" si="220"/>
        <v>0.72531785881337907</v>
      </c>
      <c r="AX90" s="335">
        <f t="shared" si="221"/>
        <v>-0.56849907571612235</v>
      </c>
      <c r="AZ90" s="335">
        <f t="shared" si="222"/>
        <v>-1.1860252034726959</v>
      </c>
      <c r="BA90" s="335">
        <f t="shared" si="223"/>
        <v>1.73225760378799</v>
      </c>
      <c r="BB90" s="335">
        <f t="shared" si="224"/>
        <v>0.81794799741250479</v>
      </c>
      <c r="BD90" t="str">
        <f t="shared" si="249"/>
        <v>33 Protective service occupations</v>
      </c>
      <c r="BE90" s="335">
        <f t="shared" si="225"/>
        <v>-1.6301304387228099</v>
      </c>
      <c r="BF90" s="335">
        <f t="shared" si="225"/>
        <v>7.667321632709978</v>
      </c>
      <c r="BG90" s="335">
        <f t="shared" si="225"/>
        <v>-4.6277939253673299</v>
      </c>
      <c r="BH90" s="335">
        <f t="shared" si="225"/>
        <v>-1.410889943351501</v>
      </c>
      <c r="BI90" s="335">
        <f t="shared" si="226"/>
        <v>-1.8890101833582751</v>
      </c>
      <c r="BK90" s="335">
        <f t="shared" si="227"/>
        <v>-2.4950702516443046</v>
      </c>
      <c r="BL90" s="335">
        <f t="shared" si="228"/>
        <v>1.1845116256380406</v>
      </c>
      <c r="BM90" s="335">
        <f t="shared" si="229"/>
        <v>-0.8656550701767074</v>
      </c>
      <c r="BO90" t="str">
        <f t="shared" si="250"/>
        <v>33 Protective service occupations</v>
      </c>
      <c r="BP90" s="335">
        <f t="shared" si="230"/>
        <v>0.27835460350980057</v>
      </c>
      <c r="BQ90" s="335">
        <f t="shared" si="230"/>
        <v>-2.1556908697003552</v>
      </c>
      <c r="BR90" s="335">
        <f t="shared" si="230"/>
        <v>-5.0880836040317128</v>
      </c>
      <c r="BS90" s="335">
        <f t="shared" si="230"/>
        <v>-3.1787367449693682</v>
      </c>
      <c r="BT90" s="335">
        <f t="shared" si="231"/>
        <v>-3.7162668298634238</v>
      </c>
      <c r="BV90" s="335">
        <f t="shared" si="232"/>
        <v>-3.8194158047518356</v>
      </c>
      <c r="BW90" s="335">
        <f t="shared" si="233"/>
        <v>1.252897245035145</v>
      </c>
      <c r="BX90" s="335">
        <f t="shared" si="234"/>
        <v>-1.78774019191551</v>
      </c>
      <c r="BZ90" t="str">
        <f t="shared" si="251"/>
        <v>33 Protective service occupations</v>
      </c>
      <c r="CA90" s="335">
        <f t="shared" si="235"/>
        <v>-0.5042684674712361</v>
      </c>
      <c r="CB90" s="335">
        <f t="shared" si="235"/>
        <v>5.7588670549346688E-2</v>
      </c>
      <c r="CC90" s="335">
        <f t="shared" si="235"/>
        <v>-4.5406303035477098</v>
      </c>
      <c r="CD90" s="335">
        <f t="shared" si="235"/>
        <v>-1.777265764175695</v>
      </c>
      <c r="CE90" s="335">
        <f t="shared" si="236"/>
        <v>-2.5366264062605892</v>
      </c>
      <c r="CG90" s="335">
        <f t="shared" si="237"/>
        <v>-2.7071630476422692</v>
      </c>
      <c r="CH90" s="335">
        <f t="shared" si="238"/>
        <v>1.5667888818931885</v>
      </c>
      <c r="CI90" s="335">
        <f t="shared" si="239"/>
        <v>-0.51717231009101861</v>
      </c>
      <c r="CK90" t="str">
        <f t="shared" si="252"/>
        <v>33 Protective service occupations</v>
      </c>
      <c r="CL90" s="335">
        <f t="shared" si="240"/>
        <v>-4.3053111074873645</v>
      </c>
      <c r="CM90" s="335">
        <f t="shared" si="240"/>
        <v>-7.5378310133996651</v>
      </c>
      <c r="CN90" s="335">
        <f t="shared" si="240"/>
        <v>-6.247756668982019</v>
      </c>
      <c r="CO90" s="335">
        <f t="shared" si="240"/>
        <v>-1.5700936497666684</v>
      </c>
      <c r="CP90" s="335">
        <f t="shared" si="241"/>
        <v>-3.4346217147025349</v>
      </c>
      <c r="CR90" s="335">
        <f t="shared" si="242"/>
        <v>-3.1546876757675646</v>
      </c>
      <c r="CS90" s="335">
        <f t="shared" si="243"/>
        <v>0.9560921814607326</v>
      </c>
      <c r="CT90" s="335">
        <f t="shared" si="244"/>
        <v>-1.7129527343588746</v>
      </c>
    </row>
    <row r="91" spans="1:98">
      <c r="A91" t="str">
        <f t="shared" si="199"/>
        <v>34 Culture, media and sports occupations</v>
      </c>
      <c r="B91" s="335">
        <f t="shared" si="200"/>
        <v>8.4476532431818185</v>
      </c>
      <c r="C91" s="335">
        <f t="shared" si="200"/>
        <v>5.8633153626531653</v>
      </c>
      <c r="D91" s="335">
        <f t="shared" si="200"/>
        <v>3.6976480273827939</v>
      </c>
      <c r="E91" s="335">
        <f t="shared" si="200"/>
        <v>3.4568981257342868</v>
      </c>
      <c r="F91" s="335">
        <f t="shared" si="201"/>
        <v>3.6809659275552242</v>
      </c>
      <c r="H91" s="335">
        <f t="shared" si="202"/>
        <v>3.5370859246031561</v>
      </c>
      <c r="I91" s="335">
        <f t="shared" si="203"/>
        <v>3.6791754428789236</v>
      </c>
      <c r="J91" s="335">
        <f t="shared" si="204"/>
        <v>6.0212078622375431</v>
      </c>
      <c r="L91" t="str">
        <f t="shared" si="245"/>
        <v>34 Culture, media and sports occupations</v>
      </c>
      <c r="M91" s="335">
        <f t="shared" si="205"/>
        <v>4.45882033331233</v>
      </c>
      <c r="N91" s="335">
        <f t="shared" si="205"/>
        <v>17.703990944377423</v>
      </c>
      <c r="O91" s="335">
        <f t="shared" si="205"/>
        <v>2.7507703855971899</v>
      </c>
      <c r="P91" s="335">
        <f t="shared" si="205"/>
        <v>3.3967155878561917</v>
      </c>
      <c r="Q91" s="335">
        <f t="shared" si="206"/>
        <v>4.0336901754656429</v>
      </c>
      <c r="S91" s="335">
        <f t="shared" si="207"/>
        <v>3.1809505820160178</v>
      </c>
      <c r="T91" s="335">
        <f t="shared" si="208"/>
        <v>3.4064765386096596</v>
      </c>
      <c r="U91" s="335">
        <f t="shared" si="209"/>
        <v>5.56224520192663</v>
      </c>
      <c r="W91" t="str">
        <f t="shared" si="246"/>
        <v>34 Culture, media and sports occupations</v>
      </c>
      <c r="X91" s="335">
        <f t="shared" si="210"/>
        <v>-0.58761757275614945</v>
      </c>
      <c r="Y91" s="335">
        <f t="shared" si="210"/>
        <v>9.2042840979457363</v>
      </c>
      <c r="Z91" s="335">
        <f t="shared" si="210"/>
        <v>-2.3396412819201906</v>
      </c>
      <c r="AA91" s="335">
        <f t="shared" si="210"/>
        <v>0.15668874411187694</v>
      </c>
      <c r="AB91" s="335">
        <f t="shared" si="211"/>
        <v>-9.1617701512713978E-2</v>
      </c>
      <c r="AD91" s="335">
        <f t="shared" si="212"/>
        <v>-0.68243184947104352</v>
      </c>
      <c r="AE91" s="335">
        <f t="shared" si="213"/>
        <v>2.472634047864708</v>
      </c>
      <c r="AF91" s="335">
        <f t="shared" si="214"/>
        <v>1.9950674463033113</v>
      </c>
      <c r="AH91" t="str">
        <f t="shared" si="247"/>
        <v>34 Culture, media and sports occupations</v>
      </c>
      <c r="AI91" s="335">
        <f t="shared" si="215"/>
        <v>0.15351167049326708</v>
      </c>
      <c r="AJ91" s="335">
        <f t="shared" si="215"/>
        <v>17.242641121409452</v>
      </c>
      <c r="AK91" s="335">
        <f t="shared" si="215"/>
        <v>-2.0028324557927357</v>
      </c>
      <c r="AL91" s="335">
        <f t="shared" si="215"/>
        <v>1.8247216481936279</v>
      </c>
      <c r="AM91" s="335">
        <f t="shared" si="216"/>
        <v>1.5033428597539977</v>
      </c>
      <c r="AO91" s="335">
        <f t="shared" si="217"/>
        <v>0.53254157105431243</v>
      </c>
      <c r="AP91" s="335">
        <f t="shared" si="218"/>
        <v>2.6162848676585249</v>
      </c>
      <c r="AQ91" s="335">
        <f t="shared" si="219"/>
        <v>2.9916318005438924</v>
      </c>
      <c r="AS91" t="str">
        <f t="shared" si="248"/>
        <v>34 Culture, media and sports occupations</v>
      </c>
      <c r="AT91" s="335">
        <f t="shared" si="220"/>
        <v>-1.9488758856668231</v>
      </c>
      <c r="AU91" s="335">
        <f t="shared" si="220"/>
        <v>7.6747487030291994</v>
      </c>
      <c r="AV91" s="335">
        <f t="shared" si="220"/>
        <v>-3.4632421709395289</v>
      </c>
      <c r="AW91" s="335">
        <f t="shared" si="220"/>
        <v>-0.32885922832596171</v>
      </c>
      <c r="AX91" s="335">
        <f t="shared" si="221"/>
        <v>-0.8416066501880537</v>
      </c>
      <c r="AZ91" s="335">
        <f t="shared" si="222"/>
        <v>-1.3848009553548701</v>
      </c>
      <c r="BA91" s="335">
        <f t="shared" si="223"/>
        <v>2.2518463087794816</v>
      </c>
      <c r="BB91" s="335">
        <f t="shared" si="224"/>
        <v>1.2668531018175333</v>
      </c>
      <c r="BD91" t="str">
        <f t="shared" si="249"/>
        <v>34 Culture, media and sports occupations</v>
      </c>
      <c r="BE91" s="335">
        <f t="shared" si="225"/>
        <v>-1.7373235186407765</v>
      </c>
      <c r="BF91" s="335">
        <f t="shared" si="225"/>
        <v>6.4281681962821358</v>
      </c>
      <c r="BG91" s="335">
        <f t="shared" si="225"/>
        <v>-4.5888276351341961</v>
      </c>
      <c r="BH91" s="335">
        <f t="shared" si="225"/>
        <v>-0.55249114376461073</v>
      </c>
      <c r="BI91" s="335">
        <f t="shared" si="226"/>
        <v>-1.4147392019974392</v>
      </c>
      <c r="BK91" s="335">
        <f t="shared" si="227"/>
        <v>-1.9165613421368022</v>
      </c>
      <c r="BL91" s="335">
        <f t="shared" si="228"/>
        <v>1.7462536093092673</v>
      </c>
      <c r="BM91" s="335">
        <f t="shared" si="229"/>
        <v>0.29112221991947074</v>
      </c>
      <c r="BO91" t="str">
        <f t="shared" si="250"/>
        <v>34 Culture, media and sports occupations</v>
      </c>
      <c r="BP91" s="335">
        <f t="shared" si="230"/>
        <v>-3.5823776041001953</v>
      </c>
      <c r="BQ91" s="335">
        <f t="shared" si="230"/>
        <v>-6.2471964292348137</v>
      </c>
      <c r="BR91" s="335">
        <f t="shared" si="230"/>
        <v>-7.0369499372950672</v>
      </c>
      <c r="BS91" s="335">
        <f t="shared" si="230"/>
        <v>-5.381379305903133</v>
      </c>
      <c r="BT91" s="335">
        <f t="shared" si="231"/>
        <v>-5.9559360121405724</v>
      </c>
      <c r="BV91" s="335">
        <f t="shared" si="232"/>
        <v>-5.9364865094514325</v>
      </c>
      <c r="BW91" s="335">
        <f t="shared" si="233"/>
        <v>1.3756267265766953</v>
      </c>
      <c r="BX91" s="335">
        <f t="shared" si="234"/>
        <v>-3.0665480580941651</v>
      </c>
      <c r="BZ91" t="str">
        <f t="shared" si="251"/>
        <v>34 Culture, media and sports occupations</v>
      </c>
      <c r="CA91" s="335">
        <f t="shared" si="235"/>
        <v>-1.924193354631043</v>
      </c>
      <c r="CB91" s="335">
        <f t="shared" si="235"/>
        <v>-4.8626202295676269</v>
      </c>
      <c r="CC91" s="335">
        <f t="shared" si="235"/>
        <v>-7.027669471429876</v>
      </c>
      <c r="CD91" s="335">
        <f t="shared" si="235"/>
        <v>-5.177974103296334</v>
      </c>
      <c r="CE91" s="335">
        <f t="shared" si="236"/>
        <v>-5.7403648213227747</v>
      </c>
      <c r="CG91" s="335">
        <f t="shared" si="237"/>
        <v>-5.7985923634956693</v>
      </c>
      <c r="CH91" s="335">
        <f t="shared" si="238"/>
        <v>1.3216317303514025</v>
      </c>
      <c r="CI91" s="335">
        <f t="shared" si="239"/>
        <v>-3.0758187717005336</v>
      </c>
      <c r="CK91" t="str">
        <f t="shared" si="252"/>
        <v>34 Culture, media and sports occupations</v>
      </c>
      <c r="CL91" s="335">
        <f t="shared" si="240"/>
        <v>2.5968849439557129</v>
      </c>
      <c r="CM91" s="335">
        <f t="shared" si="240"/>
        <v>-10.031781199464863</v>
      </c>
      <c r="CN91" s="335">
        <f t="shared" si="240"/>
        <v>-2.2570571626518765</v>
      </c>
      <c r="CO91" s="335">
        <f t="shared" si="240"/>
        <v>-0.81168054217347629</v>
      </c>
      <c r="CP91" s="335">
        <f t="shared" si="241"/>
        <v>-1.8658661822989475</v>
      </c>
      <c r="CR91" s="335">
        <f t="shared" si="242"/>
        <v>-1.2958321130971284</v>
      </c>
      <c r="CS91" s="335">
        <f t="shared" si="243"/>
        <v>1.7013562039283059</v>
      </c>
      <c r="CT91" s="335">
        <f t="shared" si="244"/>
        <v>0.69973372954110769</v>
      </c>
    </row>
    <row r="92" spans="1:98">
      <c r="A92" t="str">
        <f t="shared" si="199"/>
        <v>35 Business and public service associate professionals</v>
      </c>
      <c r="B92" s="335">
        <f t="shared" si="200"/>
        <v>6.8599750172098961</v>
      </c>
      <c r="C92" s="335">
        <f t="shared" si="200"/>
        <v>4.620658425505253</v>
      </c>
      <c r="D92" s="335">
        <f t="shared" si="200"/>
        <v>6.2162699916708197</v>
      </c>
      <c r="E92" s="335">
        <f t="shared" si="200"/>
        <v>4.3584011553364999</v>
      </c>
      <c r="F92" s="335">
        <f t="shared" si="201"/>
        <v>4.9519296575187832</v>
      </c>
      <c r="H92" s="335">
        <f t="shared" si="202"/>
        <v>4.9740516652243993</v>
      </c>
      <c r="I92" s="335">
        <f t="shared" si="203"/>
        <v>3.7761873215503838</v>
      </c>
      <c r="J92" s="335">
        <f t="shared" si="204"/>
        <v>7.1431245041988278</v>
      </c>
      <c r="L92" t="str">
        <f t="shared" si="245"/>
        <v>35 Business and public service associate professionals</v>
      </c>
      <c r="M92" s="335">
        <f t="shared" si="205"/>
        <v>6.8518980769000537</v>
      </c>
      <c r="N92" s="335">
        <f t="shared" si="205"/>
        <v>4.1170011382756666</v>
      </c>
      <c r="O92" s="335">
        <f t="shared" si="205"/>
        <v>5.3059658271448207</v>
      </c>
      <c r="P92" s="335">
        <f t="shared" si="205"/>
        <v>3.4602662237003257</v>
      </c>
      <c r="Q92" s="335">
        <f t="shared" si="206"/>
        <v>4.074696436555314</v>
      </c>
      <c r="S92" s="335">
        <f t="shared" si="207"/>
        <v>4.0718767343560724</v>
      </c>
      <c r="T92" s="335">
        <f t="shared" si="208"/>
        <v>3.6331717163969435</v>
      </c>
      <c r="U92" s="335">
        <f t="shared" si="209"/>
        <v>6.3770997310748312</v>
      </c>
      <c r="W92" t="str">
        <f t="shared" si="246"/>
        <v>35 Business and public service associate professionals</v>
      </c>
      <c r="X92" s="335">
        <f t="shared" si="210"/>
        <v>1.5725428767672689</v>
      </c>
      <c r="Y92" s="335">
        <f t="shared" si="210"/>
        <v>3.2911031671699842</v>
      </c>
      <c r="Z92" s="335">
        <f t="shared" si="210"/>
        <v>0.17532590287041572</v>
      </c>
      <c r="AA92" s="335">
        <f t="shared" si="210"/>
        <v>0.24846908083770991</v>
      </c>
      <c r="AB92" s="335">
        <f t="shared" si="211"/>
        <v>0.41307437415911696</v>
      </c>
      <c r="AD92" s="335">
        <f t="shared" si="212"/>
        <v>0.22408208948332398</v>
      </c>
      <c r="AE92" s="335">
        <f t="shared" si="213"/>
        <v>2.8316841011453153</v>
      </c>
      <c r="AF92" s="335">
        <f t="shared" si="214"/>
        <v>2.9840697905160418</v>
      </c>
      <c r="AH92" t="str">
        <f t="shared" si="247"/>
        <v>35 Business and public service associate professionals</v>
      </c>
      <c r="AI92" s="335">
        <f t="shared" si="215"/>
        <v>1.4763697619930349</v>
      </c>
      <c r="AJ92" s="335">
        <f t="shared" si="215"/>
        <v>10.299811814978256</v>
      </c>
      <c r="AK92" s="335">
        <f t="shared" si="215"/>
        <v>0.46118420111562752</v>
      </c>
      <c r="AL92" s="335">
        <f t="shared" si="215"/>
        <v>0.91377053337697856</v>
      </c>
      <c r="AM92" s="335">
        <f t="shared" si="216"/>
        <v>1.3338190847316689</v>
      </c>
      <c r="AO92" s="335">
        <f t="shared" si="217"/>
        <v>0.76268232608815989</v>
      </c>
      <c r="AP92" s="335">
        <f t="shared" si="218"/>
        <v>2.8144755838412028</v>
      </c>
      <c r="AQ92" s="335">
        <f t="shared" si="219"/>
        <v>3.3408396641019467</v>
      </c>
      <c r="AS92" t="str">
        <f t="shared" si="248"/>
        <v>35 Business and public service associate professionals</v>
      </c>
      <c r="AT92" s="335">
        <f t="shared" si="220"/>
        <v>1.1459584836708059</v>
      </c>
      <c r="AU92" s="335">
        <f t="shared" si="220"/>
        <v>7.2778743527389445</v>
      </c>
      <c r="AV92" s="335">
        <f t="shared" si="220"/>
        <v>0.13703710370662758</v>
      </c>
      <c r="AW92" s="335">
        <f t="shared" si="220"/>
        <v>0.73458507155037545</v>
      </c>
      <c r="AX92" s="335">
        <f t="shared" si="221"/>
        <v>0.94373420737867697</v>
      </c>
      <c r="AZ92" s="335">
        <f t="shared" si="222"/>
        <v>0.53500726834900814</v>
      </c>
      <c r="BA92" s="335">
        <f t="shared" si="223"/>
        <v>2.7247184923314016</v>
      </c>
      <c r="BB92" s="335">
        <f t="shared" si="224"/>
        <v>3.0964360771877253</v>
      </c>
      <c r="BD92" t="str">
        <f t="shared" si="249"/>
        <v>35 Business and public service associate professionals</v>
      </c>
      <c r="BE92" s="335">
        <f t="shared" si="225"/>
        <v>0.73558858229150204</v>
      </c>
      <c r="BF92" s="335">
        <f t="shared" si="225"/>
        <v>5.6106860510554579</v>
      </c>
      <c r="BG92" s="335">
        <f t="shared" si="225"/>
        <v>-1.4855387508349582</v>
      </c>
      <c r="BH92" s="335">
        <f t="shared" si="225"/>
        <v>-0.50685513492478851</v>
      </c>
      <c r="BI92" s="335">
        <f t="shared" si="226"/>
        <v>-0.44313521932484168</v>
      </c>
      <c r="BK92" s="335">
        <f t="shared" si="227"/>
        <v>-0.83415855897194247</v>
      </c>
      <c r="BL92" s="335">
        <f t="shared" si="228"/>
        <v>2.1999148563157211</v>
      </c>
      <c r="BM92" s="335">
        <f t="shared" si="229"/>
        <v>1.5950428104265724</v>
      </c>
      <c r="BO92" t="str">
        <f t="shared" si="250"/>
        <v>35 Business and public service associate professionals</v>
      </c>
      <c r="BP92" s="335">
        <f t="shared" si="230"/>
        <v>0.39890005779736892</v>
      </c>
      <c r="BQ92" s="335">
        <f t="shared" si="230"/>
        <v>-2.4057270718151225</v>
      </c>
      <c r="BR92" s="335">
        <f t="shared" si="230"/>
        <v>-2.1751523465799671</v>
      </c>
      <c r="BS92" s="335">
        <f t="shared" si="230"/>
        <v>-2.2462917761134404</v>
      </c>
      <c r="BT92" s="335">
        <f t="shared" si="231"/>
        <v>-2.2340408630887709</v>
      </c>
      <c r="BV92" s="335">
        <f t="shared" si="232"/>
        <v>-2.2225843829571379</v>
      </c>
      <c r="BW92" s="335">
        <f t="shared" si="233"/>
        <v>1.924209090801865</v>
      </c>
      <c r="BX92" s="335">
        <f t="shared" si="234"/>
        <v>0.29226651062272957</v>
      </c>
      <c r="BZ92" t="str">
        <f t="shared" si="251"/>
        <v>35 Business and public service associate professionals</v>
      </c>
      <c r="CA92" s="335">
        <f t="shared" si="235"/>
        <v>-3.0776129468901292E-2</v>
      </c>
      <c r="CB92" s="335">
        <f t="shared" si="235"/>
        <v>-4.3238794185652356</v>
      </c>
      <c r="CC92" s="335">
        <f t="shared" si="235"/>
        <v>-3.0872971180676667</v>
      </c>
      <c r="CD92" s="335">
        <f t="shared" si="235"/>
        <v>-4.5221672087670362</v>
      </c>
      <c r="CE92" s="335">
        <f t="shared" si="236"/>
        <v>-4.0636285431017605</v>
      </c>
      <c r="CG92" s="335">
        <f t="shared" si="237"/>
        <v>-4.046253335714967</v>
      </c>
      <c r="CH92" s="335">
        <f t="shared" si="238"/>
        <v>1.5798956876227344</v>
      </c>
      <c r="CI92" s="335">
        <f t="shared" si="239"/>
        <v>-1.4499202201822659</v>
      </c>
      <c r="CK92" t="str">
        <f t="shared" si="252"/>
        <v>35 Business and public service associate professionals</v>
      </c>
      <c r="CL92" s="335">
        <f t="shared" si="240"/>
        <v>1.0294318656751456</v>
      </c>
      <c r="CM92" s="335">
        <f t="shared" si="240"/>
        <v>-7.1591106109266995</v>
      </c>
      <c r="CN92" s="335">
        <f t="shared" si="240"/>
        <v>-3.3837482228174176</v>
      </c>
      <c r="CO92" s="335">
        <f t="shared" si="240"/>
        <v>2.0313207812527878E-2</v>
      </c>
      <c r="CP92" s="335">
        <f t="shared" si="241"/>
        <v>-1.515696021227364</v>
      </c>
      <c r="CR92" s="335">
        <f t="shared" si="242"/>
        <v>-1.127495522783184</v>
      </c>
      <c r="CS92" s="335">
        <f t="shared" si="243"/>
        <v>1.6239281500848746</v>
      </c>
      <c r="CT92" s="335">
        <f t="shared" si="244"/>
        <v>0.73988553933868051</v>
      </c>
    </row>
    <row r="93" spans="1:98">
      <c r="A93" t="str">
        <f t="shared" si="199"/>
        <v>41 Administrative occupations</v>
      </c>
      <c r="B93" s="335">
        <f t="shared" si="200"/>
        <v>5.2286320139928399</v>
      </c>
      <c r="C93" s="335">
        <f t="shared" si="200"/>
        <v>7.0553849621687759</v>
      </c>
      <c r="D93" s="335">
        <f t="shared" si="200"/>
        <v>7.2547844870978651</v>
      </c>
      <c r="E93" s="335">
        <f t="shared" si="200"/>
        <v>4.8373336241505749</v>
      </c>
      <c r="F93" s="335">
        <f t="shared" si="201"/>
        <v>5.7251286777577404</v>
      </c>
      <c r="H93" s="335">
        <f t="shared" si="202"/>
        <v>5.6370349300372879</v>
      </c>
      <c r="I93" s="335">
        <f t="shared" si="203"/>
        <v>4.3192798857167203</v>
      </c>
      <c r="J93" s="335">
        <f t="shared" si="204"/>
        <v>7.9770072534462555</v>
      </c>
      <c r="L93" t="str">
        <f t="shared" si="245"/>
        <v>41 Administrative occupations</v>
      </c>
      <c r="M93" s="335">
        <f t="shared" si="205"/>
        <v>5.7178026892865219</v>
      </c>
      <c r="N93" s="335">
        <f t="shared" si="205"/>
        <v>7.1968842776669151</v>
      </c>
      <c r="O93" s="335">
        <f t="shared" si="205"/>
        <v>7.1706646921746886</v>
      </c>
      <c r="P93" s="335">
        <f t="shared" si="205"/>
        <v>4.1846605713107943</v>
      </c>
      <c r="Q93" s="335">
        <f t="shared" si="206"/>
        <v>5.2961457798387235</v>
      </c>
      <c r="S93" s="335">
        <f t="shared" si="207"/>
        <v>5.1706348599879437</v>
      </c>
      <c r="T93" s="335">
        <f t="shared" si="208"/>
        <v>4.2746104423816877</v>
      </c>
      <c r="U93" s="335">
        <f t="shared" si="209"/>
        <v>7.6080268793432992</v>
      </c>
      <c r="W93" t="str">
        <f t="shared" si="246"/>
        <v>41 Administrative occupations</v>
      </c>
      <c r="X93" s="335">
        <f t="shared" si="210"/>
        <v>0.87308962435792559</v>
      </c>
      <c r="Y93" s="335">
        <f t="shared" si="210"/>
        <v>9.2585049041077561</v>
      </c>
      <c r="Z93" s="335">
        <f t="shared" si="210"/>
        <v>3.2184167511362993</v>
      </c>
      <c r="AA93" s="335">
        <f t="shared" si="210"/>
        <v>1.6843789185384761</v>
      </c>
      <c r="AB93" s="335">
        <f t="shared" si="211"/>
        <v>2.6210553062729236</v>
      </c>
      <c r="AD93" s="335">
        <f t="shared" si="212"/>
        <v>2.193174766154482</v>
      </c>
      <c r="AE93" s="335">
        <f t="shared" si="213"/>
        <v>3.5762468246077095</v>
      </c>
      <c r="AF93" s="335">
        <f t="shared" si="214"/>
        <v>4.9987956843015491</v>
      </c>
      <c r="AH93" t="str">
        <f t="shared" si="247"/>
        <v>41 Administrative occupations</v>
      </c>
      <c r="AI93" s="335">
        <f t="shared" si="215"/>
        <v>1.0787937491871569</v>
      </c>
      <c r="AJ93" s="335">
        <f t="shared" si="215"/>
        <v>9.8963981469010864</v>
      </c>
      <c r="AK93" s="335">
        <f t="shared" si="215"/>
        <v>2.3908182525018029</v>
      </c>
      <c r="AL93" s="335">
        <f t="shared" si="215"/>
        <v>1.533492121721669</v>
      </c>
      <c r="AM93" s="335">
        <f t="shared" si="216"/>
        <v>2.305471227069078</v>
      </c>
      <c r="AO93" s="335">
        <f t="shared" si="217"/>
        <v>1.8184669095407946</v>
      </c>
      <c r="AP93" s="335">
        <f t="shared" si="218"/>
        <v>3.6036955929352299</v>
      </c>
      <c r="AQ93" s="335">
        <f t="shared" si="219"/>
        <v>4.7680172173597102</v>
      </c>
      <c r="AS93" t="str">
        <f t="shared" si="248"/>
        <v>41 Administrative occupations</v>
      </c>
      <c r="AT93" s="335">
        <f t="shared" si="220"/>
        <v>0.66076567903328165</v>
      </c>
      <c r="AU93" s="335">
        <f t="shared" si="220"/>
        <v>9.9172654160227793</v>
      </c>
      <c r="AV93" s="335">
        <f t="shared" si="220"/>
        <v>1.4546040129021165</v>
      </c>
      <c r="AW93" s="335">
        <f t="shared" si="220"/>
        <v>1.3492498304224387</v>
      </c>
      <c r="AX93" s="335">
        <f t="shared" si="221"/>
        <v>1.8976999786441739</v>
      </c>
      <c r="AZ93" s="335">
        <f t="shared" si="222"/>
        <v>1.3843557296744136</v>
      </c>
      <c r="BA93" s="335">
        <f t="shared" si="223"/>
        <v>3.3078837758784729</v>
      </c>
      <c r="BB93" s="335">
        <f t="shared" si="224"/>
        <v>4.2177400756343353</v>
      </c>
      <c r="BD93" t="str">
        <f t="shared" si="249"/>
        <v>41 Administrative occupations</v>
      </c>
      <c r="BE93" s="335">
        <f t="shared" si="225"/>
        <v>-0.55701358278903434</v>
      </c>
      <c r="BF93" s="335">
        <f t="shared" si="225"/>
        <v>6.0255084453083141</v>
      </c>
      <c r="BG93" s="335">
        <f t="shared" si="225"/>
        <v>-0.20064255508176476</v>
      </c>
      <c r="BH93" s="335">
        <f t="shared" si="225"/>
        <v>-1.3240537092407356</v>
      </c>
      <c r="BI93" s="335">
        <f t="shared" si="226"/>
        <v>-0.52873739835840317</v>
      </c>
      <c r="BK93" s="335">
        <f t="shared" si="227"/>
        <v>-0.95099550063073579</v>
      </c>
      <c r="BL93" s="335">
        <f t="shared" si="228"/>
        <v>2.500262511163398</v>
      </c>
      <c r="BM93" s="335">
        <f t="shared" si="229"/>
        <v>1.8414149367995014</v>
      </c>
      <c r="BO93" t="str">
        <f t="shared" si="250"/>
        <v>41 Administrative occupations</v>
      </c>
      <c r="BP93" s="335">
        <f t="shared" si="230"/>
        <v>-1.5808728695784979</v>
      </c>
      <c r="BQ93" s="335">
        <f t="shared" si="230"/>
        <v>-1.1197115554871906</v>
      </c>
      <c r="BR93" s="335">
        <f t="shared" si="230"/>
        <v>-1.2565413525301161</v>
      </c>
      <c r="BS93" s="335">
        <f t="shared" si="230"/>
        <v>-3.6482480595664502</v>
      </c>
      <c r="BT93" s="335">
        <f t="shared" si="231"/>
        <v>-2.7498069045930107</v>
      </c>
      <c r="BV93" s="335">
        <f t="shared" si="232"/>
        <v>-2.8575195031608103</v>
      </c>
      <c r="BW93" s="335">
        <f t="shared" si="233"/>
        <v>2.0995087346847852</v>
      </c>
      <c r="BX93" s="335">
        <f t="shared" si="234"/>
        <v>8.6450792100190021E-2</v>
      </c>
      <c r="BZ93" t="str">
        <f t="shared" si="251"/>
        <v>41 Administrative occupations</v>
      </c>
      <c r="CA93" s="335">
        <f t="shared" si="235"/>
        <v>-3.4021844683562841</v>
      </c>
      <c r="CB93" s="335">
        <f t="shared" si="235"/>
        <v>-6.353240985792552</v>
      </c>
      <c r="CC93" s="335">
        <f t="shared" si="235"/>
        <v>-6.0040308716067026</v>
      </c>
      <c r="CD93" s="335">
        <f t="shared" si="235"/>
        <v>-9.6275180088991945</v>
      </c>
      <c r="CE93" s="335">
        <f t="shared" si="236"/>
        <v>-8.3067085586892571</v>
      </c>
      <c r="CG93" s="335">
        <f t="shared" si="237"/>
        <v>-8.4354813691010619</v>
      </c>
      <c r="CH93" s="335">
        <f t="shared" si="238"/>
        <v>1.3215621716221593</v>
      </c>
      <c r="CI93" s="335">
        <f t="shared" si="239"/>
        <v>-4.7187688289949348</v>
      </c>
      <c r="CK93" t="str">
        <f t="shared" si="252"/>
        <v>41 Administrative occupations</v>
      </c>
      <c r="CL93" s="335">
        <f t="shared" si="240"/>
        <v>-3.2128331976726821</v>
      </c>
      <c r="CM93" s="335">
        <f t="shared" si="240"/>
        <v>-4.6769359374360331</v>
      </c>
      <c r="CN93" s="335">
        <f t="shared" si="240"/>
        <v>-3.9698947605343871</v>
      </c>
      <c r="CO93" s="335">
        <f t="shared" si="240"/>
        <v>-3.053368226244757</v>
      </c>
      <c r="CP93" s="335">
        <f t="shared" si="241"/>
        <v>-3.4426936677528053</v>
      </c>
      <c r="CR93" s="335">
        <f t="shared" si="242"/>
        <v>-3.3598449125887275</v>
      </c>
      <c r="CS93" s="335">
        <f t="shared" si="243"/>
        <v>1.4364294961636714</v>
      </c>
      <c r="CT93" s="335">
        <f t="shared" si="244"/>
        <v>-1.1756462311047433</v>
      </c>
    </row>
    <row r="94" spans="1:98">
      <c r="A94" t="str">
        <f t="shared" si="199"/>
        <v>42 Secretarial and related occupations</v>
      </c>
      <c r="B94" s="335">
        <f t="shared" si="200"/>
        <v>6.9562162328796973</v>
      </c>
      <c r="C94" s="335">
        <f t="shared" si="200"/>
        <v>-0.86098794254888533</v>
      </c>
      <c r="D94" s="335">
        <f t="shared" si="200"/>
        <v>10.28971242037513</v>
      </c>
      <c r="E94" s="335">
        <f t="shared" si="200"/>
        <v>6.6818533405327063</v>
      </c>
      <c r="F94" s="335">
        <f t="shared" si="201"/>
        <v>7.3035451027713583</v>
      </c>
      <c r="H94" s="335">
        <f t="shared" si="202"/>
        <v>7.8711650664482935</v>
      </c>
      <c r="I94" s="335">
        <f t="shared" si="203"/>
        <v>5.8326548000657841</v>
      </c>
      <c r="J94" s="335">
        <f t="shared" si="204"/>
        <v>10.475253633752434</v>
      </c>
      <c r="L94" t="str">
        <f t="shared" si="245"/>
        <v>42 Secretarial and related occupations</v>
      </c>
      <c r="M94" s="335">
        <f t="shared" si="205"/>
        <v>4.1687806530617655</v>
      </c>
      <c r="N94" s="335">
        <f t="shared" si="205"/>
        <v>3.7954619429221292</v>
      </c>
      <c r="O94" s="335">
        <f t="shared" si="205"/>
        <v>7.8480194520668123</v>
      </c>
      <c r="P94" s="335">
        <f t="shared" si="205"/>
        <v>2.7395352863462064</v>
      </c>
      <c r="Q94" s="335">
        <f t="shared" si="206"/>
        <v>4.3760723402480162</v>
      </c>
      <c r="S94" s="335">
        <f t="shared" si="207"/>
        <v>4.41489497750438</v>
      </c>
      <c r="T94" s="335">
        <f t="shared" si="208"/>
        <v>4.4498889980429501</v>
      </c>
      <c r="U94" s="335">
        <f t="shared" si="209"/>
        <v>7.1893534290249805</v>
      </c>
      <c r="W94" t="str">
        <f t="shared" si="246"/>
        <v>42 Secretarial and related occupations</v>
      </c>
      <c r="X94" s="335">
        <f t="shared" si="210"/>
        <v>0.10224057423739996</v>
      </c>
      <c r="Y94" s="335">
        <f t="shared" si="210"/>
        <v>4.699298644938632</v>
      </c>
      <c r="Z94" s="335">
        <f t="shared" si="210"/>
        <v>4.6311465228406012</v>
      </c>
      <c r="AA94" s="335">
        <f t="shared" si="210"/>
        <v>2.9271911095242853</v>
      </c>
      <c r="AB94" s="335">
        <f t="shared" si="211"/>
        <v>3.5671127156206017</v>
      </c>
      <c r="AD94" s="335">
        <f t="shared" si="212"/>
        <v>3.492070436427297</v>
      </c>
      <c r="AE94" s="335">
        <f t="shared" si="213"/>
        <v>4.2086998571309264</v>
      </c>
      <c r="AF94" s="335">
        <f t="shared" si="214"/>
        <v>6.3817718470008833</v>
      </c>
      <c r="AH94" t="str">
        <f t="shared" si="247"/>
        <v>42 Secretarial and related occupations</v>
      </c>
      <c r="AI94" s="335">
        <f t="shared" si="215"/>
        <v>-0.38961345538790493</v>
      </c>
      <c r="AJ94" s="335">
        <f t="shared" si="215"/>
        <v>9.2031955650006214</v>
      </c>
      <c r="AK94" s="335">
        <f t="shared" si="215"/>
        <v>2.3038685425423422</v>
      </c>
      <c r="AL94" s="335">
        <f t="shared" si="215"/>
        <v>0.56590676609382662</v>
      </c>
      <c r="AM94" s="335">
        <f t="shared" si="216"/>
        <v>1.6278435883261499</v>
      </c>
      <c r="AO94" s="335">
        <f t="shared" si="217"/>
        <v>1.1419217967352013</v>
      </c>
      <c r="AP94" s="335">
        <f t="shared" si="218"/>
        <v>3.5681232276057129</v>
      </c>
      <c r="AQ94" s="335">
        <f t="shared" si="219"/>
        <v>4.2895838459460212</v>
      </c>
      <c r="AS94" t="str">
        <f t="shared" si="248"/>
        <v>42 Secretarial and related occupations</v>
      </c>
      <c r="AT94" s="335">
        <f t="shared" si="220"/>
        <v>-1.5812892095781628</v>
      </c>
      <c r="AU94" s="335">
        <f t="shared" si="220"/>
        <v>8.2052653707475045</v>
      </c>
      <c r="AV94" s="335">
        <f t="shared" si="220"/>
        <v>1.5302883790703659</v>
      </c>
      <c r="AW94" s="335">
        <f t="shared" si="220"/>
        <v>-0.17946782698983199</v>
      </c>
      <c r="AX94" s="335">
        <f t="shared" si="221"/>
        <v>0.85886611251921874</v>
      </c>
      <c r="AZ94" s="335">
        <f t="shared" si="222"/>
        <v>0.3872276091424709</v>
      </c>
      <c r="BA94" s="335">
        <f t="shared" si="223"/>
        <v>3.2345167261147223</v>
      </c>
      <c r="BB94" s="335">
        <f t="shared" si="224"/>
        <v>3.4850324471990879</v>
      </c>
      <c r="BD94" t="str">
        <f t="shared" si="249"/>
        <v>42 Secretarial and related occupations</v>
      </c>
      <c r="BE94" s="335">
        <f t="shared" si="225"/>
        <v>-2.264794851334806</v>
      </c>
      <c r="BF94" s="335">
        <f t="shared" si="225"/>
        <v>-0.3472389364460482</v>
      </c>
      <c r="BG94" s="335">
        <f t="shared" si="225"/>
        <v>-1.0436844228081998</v>
      </c>
      <c r="BH94" s="335">
        <f t="shared" si="225"/>
        <v>-9.8846024946333664</v>
      </c>
      <c r="BI94" s="335">
        <f t="shared" si="226"/>
        <v>-6.6249044442394878</v>
      </c>
      <c r="BK94" s="335">
        <f t="shared" si="227"/>
        <v>-7.029070245683144</v>
      </c>
      <c r="BL94" s="335">
        <f t="shared" si="228"/>
        <v>2.0978946082002903</v>
      </c>
      <c r="BM94" s="335">
        <f t="shared" si="229"/>
        <v>-2.3451355453265377</v>
      </c>
      <c r="BO94" t="str">
        <f t="shared" si="250"/>
        <v>42 Secretarial and related occupations</v>
      </c>
      <c r="BP94" s="335">
        <f t="shared" si="230"/>
        <v>-4.6867640416018874</v>
      </c>
      <c r="BQ94" s="335">
        <f t="shared" si="230"/>
        <v>-8.501918843632982</v>
      </c>
      <c r="BR94" s="335">
        <f t="shared" si="230"/>
        <v>-6.3772543852995138</v>
      </c>
      <c r="BS94" s="335">
        <f t="shared" si="230"/>
        <v>-13.493039290138487</v>
      </c>
      <c r="BT94" s="335">
        <f t="shared" si="231"/>
        <v>-11.018066767706969</v>
      </c>
      <c r="BV94" s="335">
        <f t="shared" si="232"/>
        <v>-11.183328445139196</v>
      </c>
      <c r="BW94" s="335">
        <f t="shared" si="233"/>
        <v>1.5102370357256145</v>
      </c>
      <c r="BX94" s="335">
        <f t="shared" si="234"/>
        <v>-5.6051779822681951</v>
      </c>
      <c r="BZ94" t="str">
        <f t="shared" si="251"/>
        <v>42 Secretarial and related occupations</v>
      </c>
      <c r="CA94" s="335">
        <f t="shared" si="235"/>
        <v>-2.829182624704174</v>
      </c>
      <c r="CB94" s="335">
        <f t="shared" si="235"/>
        <v>-11.197143970287303</v>
      </c>
      <c r="CC94" s="335">
        <f t="shared" si="235"/>
        <v>-11.363092516948059</v>
      </c>
      <c r="CD94" s="335">
        <f t="shared" si="235"/>
        <v>-13.900222842959032</v>
      </c>
      <c r="CE94" s="335">
        <f t="shared" si="236"/>
        <v>-12.947246704176473</v>
      </c>
      <c r="CG94" s="335">
        <f t="shared" si="237"/>
        <v>-13.06268629755445</v>
      </c>
      <c r="CH94" s="335">
        <f t="shared" si="238"/>
        <v>1.1524928212070185</v>
      </c>
      <c r="CI94" s="335">
        <f t="shared" si="239"/>
        <v>-7.510263715831444</v>
      </c>
      <c r="CK94" t="str">
        <f t="shared" si="252"/>
        <v>42 Secretarial and related occupations</v>
      </c>
      <c r="CL94" s="335">
        <f t="shared" si="240"/>
        <v>-0.60195683632628949</v>
      </c>
      <c r="CM94" s="335">
        <f t="shared" si="240"/>
        <v>-7.5611862072029412</v>
      </c>
      <c r="CN94" s="335">
        <f t="shared" si="240"/>
        <v>-1.0510117526425278</v>
      </c>
      <c r="CO94" s="335">
        <f t="shared" si="240"/>
        <v>-2.1999663854259555</v>
      </c>
      <c r="CP94" s="335">
        <f t="shared" si="241"/>
        <v>-2.1876204046071934</v>
      </c>
      <c r="CR94" s="335">
        <f t="shared" si="242"/>
        <v>-1.8184715639213089</v>
      </c>
      <c r="CS94" s="335">
        <f t="shared" si="243"/>
        <v>2.0611357597251301</v>
      </c>
      <c r="CT94" s="335">
        <f t="shared" si="244"/>
        <v>0.74264187191930287</v>
      </c>
    </row>
    <row r="95" spans="1:98">
      <c r="A95" t="str">
        <f t="shared" si="199"/>
        <v>51 Skilled agricultural and related trades</v>
      </c>
      <c r="B95" s="335">
        <f t="shared" si="200"/>
        <v>10.822220308224196</v>
      </c>
      <c r="C95" s="335">
        <f t="shared" si="200"/>
        <v>-19.485667030771701</v>
      </c>
      <c r="D95" s="335">
        <f t="shared" si="200"/>
        <v>4.7467354467768841</v>
      </c>
      <c r="E95" s="335">
        <f t="shared" si="200"/>
        <v>4.4060920084411315</v>
      </c>
      <c r="F95" s="335">
        <f t="shared" si="201"/>
        <v>2.8287674539239527</v>
      </c>
      <c r="H95" s="335">
        <f t="shared" si="202"/>
        <v>4.5195165545958815</v>
      </c>
      <c r="I95" s="335">
        <f t="shared" si="203"/>
        <v>4.8699178751925309</v>
      </c>
      <c r="J95" s="335">
        <f t="shared" si="204"/>
        <v>7.5542133825540203</v>
      </c>
      <c r="L95" t="str">
        <f t="shared" si="245"/>
        <v>51 Skilled agricultural and related trades</v>
      </c>
      <c r="M95" s="335">
        <f t="shared" si="205"/>
        <v>4.3541582942923096</v>
      </c>
      <c r="N95" s="335">
        <f t="shared" si="205"/>
        <v>-14.90159527410192</v>
      </c>
      <c r="O95" s="335">
        <f t="shared" si="205"/>
        <v>4.3723153023083938</v>
      </c>
      <c r="P95" s="335">
        <f t="shared" si="205"/>
        <v>4.5146124183995662</v>
      </c>
      <c r="Q95" s="335">
        <f t="shared" si="206"/>
        <v>3.1367956919612805</v>
      </c>
      <c r="S95" s="335">
        <f t="shared" si="207"/>
        <v>4.4671585036091477</v>
      </c>
      <c r="T95" s="335">
        <f t="shared" si="208"/>
        <v>4.3286740063490203</v>
      </c>
      <c r="U95" s="335">
        <f t="shared" si="209"/>
        <v>7.1418572150754978</v>
      </c>
      <c r="W95" t="str">
        <f t="shared" si="246"/>
        <v>51 Skilled agricultural and related trades</v>
      </c>
      <c r="X95" s="335">
        <f t="shared" si="210"/>
        <v>1.3029761146971408</v>
      </c>
      <c r="Y95" s="335">
        <f t="shared" si="210"/>
        <v>8.1862220339004477</v>
      </c>
      <c r="Z95" s="335">
        <f t="shared" si="210"/>
        <v>2.3796305541615048</v>
      </c>
      <c r="AA95" s="335">
        <f t="shared" si="210"/>
        <v>3.416295208650677</v>
      </c>
      <c r="AB95" s="335">
        <f t="shared" si="211"/>
        <v>3.382158091849452</v>
      </c>
      <c r="AD95" s="335">
        <f t="shared" si="212"/>
        <v>3.0695792143595968</v>
      </c>
      <c r="AE95" s="335">
        <f t="shared" si="213"/>
        <v>4.2965543387574412</v>
      </c>
      <c r="AF95" s="335">
        <f t="shared" si="214"/>
        <v>6.1656642323816291</v>
      </c>
      <c r="AH95" t="str">
        <f t="shared" si="247"/>
        <v>51 Skilled agricultural and related trades</v>
      </c>
      <c r="AI95" s="335">
        <f t="shared" si="215"/>
        <v>3.071287801928313</v>
      </c>
      <c r="AJ95" s="335">
        <f t="shared" si="215"/>
        <v>-8.1120988344091529</v>
      </c>
      <c r="AK95" s="335">
        <f t="shared" si="215"/>
        <v>2.0241990732182469</v>
      </c>
      <c r="AL95" s="335">
        <f t="shared" si="215"/>
        <v>2.7495388272228194</v>
      </c>
      <c r="AM95" s="335">
        <f t="shared" si="216"/>
        <v>1.8089174860857149</v>
      </c>
      <c r="AO95" s="335">
        <f t="shared" si="217"/>
        <v>2.5071877351348304</v>
      </c>
      <c r="AP95" s="335">
        <f t="shared" si="218"/>
        <v>4.3566898765853068</v>
      </c>
      <c r="AQ95" s="335">
        <f t="shared" si="219"/>
        <v>5.8484527534808706</v>
      </c>
      <c r="AS95" t="str">
        <f t="shared" si="248"/>
        <v>51 Skilled agricultural and related trades</v>
      </c>
      <c r="AT95" s="335">
        <f t="shared" si="220"/>
        <v>2.0646115134131726</v>
      </c>
      <c r="AU95" s="335">
        <f t="shared" si="220"/>
        <v>-5.1835958701848872</v>
      </c>
      <c r="AV95" s="335">
        <f t="shared" si="220"/>
        <v>1.6210808630886531</v>
      </c>
      <c r="AW95" s="335">
        <f t="shared" si="220"/>
        <v>3.1447031571166129</v>
      </c>
      <c r="AX95" s="335">
        <f t="shared" si="221"/>
        <v>2.127332741225163</v>
      </c>
      <c r="AZ95" s="335">
        <f t="shared" si="222"/>
        <v>2.6343076118840347</v>
      </c>
      <c r="BA95" s="335">
        <f t="shared" si="223"/>
        <v>4.0007325849290565</v>
      </c>
      <c r="BB95" s="335">
        <f t="shared" si="224"/>
        <v>5.6425692618367052</v>
      </c>
      <c r="BD95" t="str">
        <f t="shared" si="249"/>
        <v>51 Skilled agricultural and related trades</v>
      </c>
      <c r="BE95" s="335">
        <f t="shared" si="225"/>
        <v>-0.12755078091195582</v>
      </c>
      <c r="BF95" s="335">
        <f t="shared" si="225"/>
        <v>-11.7386683182777</v>
      </c>
      <c r="BG95" s="335">
        <f t="shared" si="225"/>
        <v>-1.4943337445290639</v>
      </c>
      <c r="BH95" s="335">
        <f t="shared" si="225"/>
        <v>0.33518534650784915</v>
      </c>
      <c r="BI95" s="335">
        <f t="shared" si="226"/>
        <v>-1.0363807966461858</v>
      </c>
      <c r="BK95" s="335">
        <f t="shared" si="227"/>
        <v>-0.2783989818613497</v>
      </c>
      <c r="BL95" s="335">
        <f t="shared" si="228"/>
        <v>2.7127819171669731</v>
      </c>
      <c r="BM95" s="335">
        <f t="shared" si="229"/>
        <v>2.5226301760779002</v>
      </c>
      <c r="BO95" t="str">
        <f t="shared" si="250"/>
        <v>51 Skilled agricultural and related trades</v>
      </c>
      <c r="BP95" s="335">
        <f t="shared" si="230"/>
        <v>0.32603757101579145</v>
      </c>
      <c r="BQ95" s="335">
        <f t="shared" si="230"/>
        <v>-15.457709448159241</v>
      </c>
      <c r="BR95" s="335">
        <f t="shared" si="230"/>
        <v>-0.88966640855201451</v>
      </c>
      <c r="BS95" s="335">
        <f t="shared" si="230"/>
        <v>-0.24397467697755415</v>
      </c>
      <c r="BT95" s="335">
        <f t="shared" si="231"/>
        <v>-1.4705055992278337</v>
      </c>
      <c r="BV95" s="335">
        <f t="shared" si="232"/>
        <v>-0.45967130624898767</v>
      </c>
      <c r="BW95" s="335">
        <f t="shared" si="233"/>
        <v>2.8340395467894686</v>
      </c>
      <c r="BX95" s="335">
        <f t="shared" si="234"/>
        <v>2.5266602184580655</v>
      </c>
      <c r="BZ95" t="str">
        <f t="shared" si="251"/>
        <v>51 Skilled agricultural and related trades</v>
      </c>
      <c r="CA95" s="335">
        <f t="shared" si="235"/>
        <v>-1.239282307148093</v>
      </c>
      <c r="CB95" s="335">
        <f t="shared" si="235"/>
        <v>-11.664887720265515</v>
      </c>
      <c r="CC95" s="335">
        <f t="shared" si="235"/>
        <v>-1.8131977051499604</v>
      </c>
      <c r="CD95" s="335">
        <f t="shared" si="235"/>
        <v>0.73570832764482397</v>
      </c>
      <c r="CE95" s="335">
        <f t="shared" si="236"/>
        <v>-0.88495396132896031</v>
      </c>
      <c r="CG95" s="335">
        <f t="shared" si="237"/>
        <v>-0.1211955635792461</v>
      </c>
      <c r="CH95" s="335">
        <f t="shared" si="238"/>
        <v>2.4391223414589547</v>
      </c>
      <c r="CI95" s="335">
        <f t="shared" si="239"/>
        <v>2.352855785908825</v>
      </c>
      <c r="CK95" t="str">
        <f t="shared" si="252"/>
        <v>51 Skilled agricultural and related trades</v>
      </c>
      <c r="CL95" s="335">
        <f t="shared" si="240"/>
        <v>-1.1640921764101586</v>
      </c>
      <c r="CM95" s="335">
        <f t="shared" si="240"/>
        <v>-16.702099132712213</v>
      </c>
      <c r="CN95" s="335">
        <f t="shared" si="240"/>
        <v>-1.9866523024142047</v>
      </c>
      <c r="CO95" s="335">
        <f t="shared" si="240"/>
        <v>-5.9355616370008519</v>
      </c>
      <c r="CP95" s="335">
        <f t="shared" si="241"/>
        <v>-5.4400622810962247</v>
      </c>
      <c r="CR95" s="335">
        <f t="shared" si="242"/>
        <v>-4.6372604501385473</v>
      </c>
      <c r="CS95" s="335">
        <f t="shared" si="243"/>
        <v>1.6626025021354129</v>
      </c>
      <c r="CT95" s="335">
        <f t="shared" si="244"/>
        <v>-1.7174637416910832</v>
      </c>
    </row>
    <row r="96" spans="1:98">
      <c r="A96" t="str">
        <f t="shared" si="199"/>
        <v>52 Skilled metal, electrical and electronic trades</v>
      </c>
      <c r="B96" s="335">
        <f t="shared" si="200"/>
        <v>5.3415687485490304</v>
      </c>
      <c r="C96" s="335">
        <f t="shared" si="200"/>
        <v>2.5810352525052593</v>
      </c>
      <c r="D96" s="335">
        <f t="shared" si="200"/>
        <v>5.7023892625767791</v>
      </c>
      <c r="E96" s="335">
        <f t="shared" si="200"/>
        <v>4.7316786282869838</v>
      </c>
      <c r="F96" s="335">
        <f t="shared" si="201"/>
        <v>4.8979458797204556</v>
      </c>
      <c r="H96" s="335">
        <f t="shared" si="202"/>
        <v>5.0542542802564983</v>
      </c>
      <c r="I96" s="335">
        <f t="shared" si="203"/>
        <v>3.6402422444510529</v>
      </c>
      <c r="J96" s="335">
        <f t="shared" si="204"/>
        <v>7.1174884197463983</v>
      </c>
      <c r="L96" t="str">
        <f t="shared" si="245"/>
        <v>52 Skilled metal, electrical and electronic trades</v>
      </c>
      <c r="M96" s="335">
        <f t="shared" si="205"/>
        <v>6.8849529135819987</v>
      </c>
      <c r="N96" s="335">
        <f t="shared" si="205"/>
        <v>-14.920583065790371</v>
      </c>
      <c r="O96" s="335">
        <f t="shared" si="205"/>
        <v>9.4208227297136524</v>
      </c>
      <c r="P96" s="335">
        <f t="shared" si="205"/>
        <v>5.2165197994693768</v>
      </c>
      <c r="Q96" s="335">
        <f t="shared" si="206"/>
        <v>5.1078692104205015</v>
      </c>
      <c r="S96" s="335">
        <f t="shared" si="207"/>
        <v>6.5996913223174358</v>
      </c>
      <c r="T96" s="335">
        <f t="shared" si="208"/>
        <v>4.3735770383193318</v>
      </c>
      <c r="U96" s="335">
        <f t="shared" si="209"/>
        <v>8.7283158448304921</v>
      </c>
      <c r="W96" t="str">
        <f t="shared" si="246"/>
        <v>52 Skilled metal, electrical and electronic trades</v>
      </c>
      <c r="X96" s="335">
        <f t="shared" si="210"/>
        <v>2.0412078037462367</v>
      </c>
      <c r="Y96" s="335">
        <f t="shared" si="210"/>
        <v>-14.831399978796235</v>
      </c>
      <c r="Z96" s="335">
        <f t="shared" si="210"/>
        <v>3.5559555928566411</v>
      </c>
      <c r="AA96" s="335">
        <f t="shared" si="210"/>
        <v>2.2845451891197799</v>
      </c>
      <c r="AB96" s="335">
        <f t="shared" si="211"/>
        <v>1.5116632034268385</v>
      </c>
      <c r="AD96" s="335">
        <f t="shared" si="212"/>
        <v>2.7066047058930121</v>
      </c>
      <c r="AE96" s="335">
        <f t="shared" si="213"/>
        <v>3.337608065773523</v>
      </c>
      <c r="AF96" s="335">
        <f t="shared" si="214"/>
        <v>5.1669293289713147</v>
      </c>
      <c r="AH96" t="str">
        <f t="shared" si="247"/>
        <v>52 Skilled metal, electrical and electronic trades</v>
      </c>
      <c r="AI96" s="335">
        <f t="shared" si="215"/>
        <v>1.4922720793756783</v>
      </c>
      <c r="AJ96" s="335">
        <f t="shared" si="215"/>
        <v>-9.1382505897547048</v>
      </c>
      <c r="AK96" s="335">
        <f t="shared" si="215"/>
        <v>3.2201958800080366</v>
      </c>
      <c r="AL96" s="335">
        <f t="shared" si="215"/>
        <v>2.8123708978252449</v>
      </c>
      <c r="AM96" s="335">
        <f t="shared" si="216"/>
        <v>2.1477110895709917</v>
      </c>
      <c r="AO96" s="335">
        <f t="shared" si="217"/>
        <v>2.9481332073974853</v>
      </c>
      <c r="AP96" s="335">
        <f t="shared" si="218"/>
        <v>3.1662345043199425</v>
      </c>
      <c r="AQ96" s="335">
        <f t="shared" si="219"/>
        <v>5.2105803328502232</v>
      </c>
      <c r="AS96" t="str">
        <f t="shared" si="248"/>
        <v>52 Skilled metal, electrical and electronic trades</v>
      </c>
      <c r="AT96" s="335">
        <f t="shared" si="220"/>
        <v>0.80069904593640384</v>
      </c>
      <c r="AU96" s="335">
        <f t="shared" si="220"/>
        <v>-9.7813726911201275</v>
      </c>
      <c r="AV96" s="335">
        <f t="shared" si="220"/>
        <v>1.6539486847885199</v>
      </c>
      <c r="AW96" s="335">
        <f t="shared" si="220"/>
        <v>1.9254775025101978</v>
      </c>
      <c r="AX96" s="335">
        <f t="shared" si="221"/>
        <v>1.0669277774526309</v>
      </c>
      <c r="AZ96" s="335">
        <f t="shared" si="222"/>
        <v>1.8348874051041797</v>
      </c>
      <c r="BA96" s="335">
        <f t="shared" si="223"/>
        <v>2.8701872302140163</v>
      </c>
      <c r="BB96" s="335">
        <f t="shared" si="224"/>
        <v>4.1576454012541175</v>
      </c>
      <c r="BD96" t="str">
        <f t="shared" si="249"/>
        <v>52 Skilled metal, electrical and electronic trades</v>
      </c>
      <c r="BE96" s="335">
        <f t="shared" si="225"/>
        <v>0.59894890171667825</v>
      </c>
      <c r="BF96" s="335">
        <f t="shared" si="225"/>
        <v>-10.671828829172137</v>
      </c>
      <c r="BG96" s="335">
        <f t="shared" si="225"/>
        <v>-0.62255773808890247</v>
      </c>
      <c r="BH96" s="335">
        <f t="shared" si="225"/>
        <v>-0.63195160560299835</v>
      </c>
      <c r="BI96" s="335">
        <f t="shared" si="226"/>
        <v>-1.2883423552372042</v>
      </c>
      <c r="BK96" s="335">
        <f t="shared" si="227"/>
        <v>-0.62882041509974007</v>
      </c>
      <c r="BL96" s="335">
        <f t="shared" si="228"/>
        <v>1.9299566077688901</v>
      </c>
      <c r="BM96" s="335">
        <f t="shared" si="229"/>
        <v>1.4541610582196274</v>
      </c>
      <c r="BO96" t="str">
        <f t="shared" si="250"/>
        <v>52 Skilled metal, electrical and electronic trades</v>
      </c>
      <c r="BP96" s="335">
        <f t="shared" si="230"/>
        <v>0.1838637337110427</v>
      </c>
      <c r="BQ96" s="335">
        <f t="shared" si="230"/>
        <v>-15.105416321610077</v>
      </c>
      <c r="BR96" s="335">
        <f t="shared" si="230"/>
        <v>-1.0776915887850791</v>
      </c>
      <c r="BS96" s="335">
        <f t="shared" si="230"/>
        <v>-1.9688844755114343</v>
      </c>
      <c r="BT96" s="335">
        <f t="shared" si="231"/>
        <v>-2.5712983636158038</v>
      </c>
      <c r="BV96" s="335">
        <f t="shared" si="232"/>
        <v>-1.672715856631668</v>
      </c>
      <c r="BW96" s="335">
        <f t="shared" si="233"/>
        <v>1.9177097111088282</v>
      </c>
      <c r="BX96" s="335">
        <f t="shared" si="234"/>
        <v>0.67464207115144337</v>
      </c>
      <c r="BZ96" t="str">
        <f t="shared" si="251"/>
        <v>52 Skilled metal, electrical and electronic trades</v>
      </c>
      <c r="CA96" s="335">
        <f t="shared" si="235"/>
        <v>-1.0332222404689562</v>
      </c>
      <c r="CB96" s="335">
        <f t="shared" si="235"/>
        <v>-17.76297601224357</v>
      </c>
      <c r="CC96" s="335">
        <f t="shared" si="235"/>
        <v>-1.855505116380296</v>
      </c>
      <c r="CD96" s="335">
        <f t="shared" si="235"/>
        <v>-5.705171741511994</v>
      </c>
      <c r="CE96" s="335">
        <f t="shared" si="236"/>
        <v>-5.3316646981146913</v>
      </c>
      <c r="CG96" s="335">
        <f t="shared" si="237"/>
        <v>-4.4390268039711795</v>
      </c>
      <c r="CH96" s="335">
        <f t="shared" si="238"/>
        <v>1.6509490554647233</v>
      </c>
      <c r="CI96" s="335">
        <f t="shared" si="239"/>
        <v>-1.6051911929411022</v>
      </c>
      <c r="CK96" t="str">
        <f t="shared" si="252"/>
        <v>52 Skilled metal, electrical and electronic trades</v>
      </c>
      <c r="CL96" s="335">
        <f t="shared" si="240"/>
        <v>0.29388432290711197</v>
      </c>
      <c r="CM96" s="335">
        <f t="shared" si="240"/>
        <v>-21.981680530670111</v>
      </c>
      <c r="CN96" s="335">
        <f t="shared" si="240"/>
        <v>-2.3045899213591792</v>
      </c>
      <c r="CO96" s="335">
        <f t="shared" si="240"/>
        <v>-4.2977538498339518</v>
      </c>
      <c r="CP96" s="335">
        <f t="shared" si="241"/>
        <v>-4.9013627046401336</v>
      </c>
      <c r="CR96" s="335">
        <f t="shared" si="242"/>
        <v>-3.6379255777636232</v>
      </c>
      <c r="CS96" s="335">
        <f t="shared" si="243"/>
        <v>1.5506951072823849</v>
      </c>
      <c r="CT96" s="335">
        <f t="shared" si="244"/>
        <v>-1.2091027779688734</v>
      </c>
    </row>
    <row r="97" spans="1:98">
      <c r="A97" t="str">
        <f t="shared" si="199"/>
        <v>53 Skilled construction and building trades</v>
      </c>
      <c r="B97" s="335">
        <f t="shared" si="200"/>
        <v>-6.1491860995244281</v>
      </c>
      <c r="C97" s="335">
        <f t="shared" si="200"/>
        <v>-23.622450413469643</v>
      </c>
      <c r="D97" s="335">
        <f t="shared" si="200"/>
        <v>12.581703977810266</v>
      </c>
      <c r="E97" s="335">
        <f t="shared" si="200"/>
        <v>2.4974938563369964</v>
      </c>
      <c r="F97" s="335">
        <f t="shared" si="201"/>
        <v>3.6250682839427117</v>
      </c>
      <c r="H97" s="335">
        <f t="shared" si="202"/>
        <v>5.7543167341316481</v>
      </c>
      <c r="I97" s="335">
        <f t="shared" si="203"/>
        <v>4.2814998701876661</v>
      </c>
      <c r="J97" s="335">
        <f t="shared" si="204"/>
        <v>8.0404602774878384</v>
      </c>
      <c r="L97" t="str">
        <f t="shared" si="245"/>
        <v>53 Skilled construction and building trades</v>
      </c>
      <c r="M97" s="335">
        <f t="shared" si="205"/>
        <v>4.3473393076788547</v>
      </c>
      <c r="N97" s="335">
        <f t="shared" si="205"/>
        <v>-16.78629202062266</v>
      </c>
      <c r="O97" s="335">
        <f t="shared" si="205"/>
        <v>7.8962640837618725</v>
      </c>
      <c r="P97" s="335">
        <f t="shared" si="205"/>
        <v>4.7661076747916642</v>
      </c>
      <c r="Q97" s="335">
        <f t="shared" si="206"/>
        <v>4.2232682353539497</v>
      </c>
      <c r="S97" s="335">
        <f t="shared" si="207"/>
        <v>5.7992709904417072</v>
      </c>
      <c r="T97" s="335">
        <f t="shared" si="208"/>
        <v>4.2931756627890616</v>
      </c>
      <c r="U97" s="335">
        <f t="shared" si="209"/>
        <v>8.0808931242467796</v>
      </c>
      <c r="W97" t="str">
        <f t="shared" si="246"/>
        <v>53 Skilled construction and building trades</v>
      </c>
      <c r="X97" s="335">
        <f t="shared" si="210"/>
        <v>-0.6663156398056258</v>
      </c>
      <c r="Y97" s="335">
        <f t="shared" si="210"/>
        <v>-11.959492327045428</v>
      </c>
      <c r="Z97" s="335">
        <f t="shared" si="210"/>
        <v>3.1010542589219314</v>
      </c>
      <c r="AA97" s="335">
        <f t="shared" si="210"/>
        <v>1.4824975435884236</v>
      </c>
      <c r="AB97" s="335">
        <f t="shared" si="211"/>
        <v>1.0838666475734504</v>
      </c>
      <c r="AD97" s="335">
        <f t="shared" si="212"/>
        <v>2.0191733121322608</v>
      </c>
      <c r="AE97" s="335">
        <f t="shared" si="213"/>
        <v>3.4211213542446162</v>
      </c>
      <c r="AF97" s="335">
        <f t="shared" si="214"/>
        <v>4.750213158588612</v>
      </c>
      <c r="AH97" t="str">
        <f t="shared" si="247"/>
        <v>53 Skilled construction and building trades</v>
      </c>
      <c r="AI97" s="335">
        <f t="shared" si="215"/>
        <v>2.490410963202061</v>
      </c>
      <c r="AJ97" s="335">
        <f t="shared" si="215"/>
        <v>-12.416631008012347</v>
      </c>
      <c r="AK97" s="335">
        <f t="shared" si="215"/>
        <v>3.6410602546562254</v>
      </c>
      <c r="AL97" s="335">
        <f t="shared" si="215"/>
        <v>1.9489528595420191</v>
      </c>
      <c r="AM97" s="335">
        <f t="shared" si="216"/>
        <v>1.5066011407057989</v>
      </c>
      <c r="AO97" s="335">
        <f t="shared" si="217"/>
        <v>2.5098965716974897</v>
      </c>
      <c r="AP97" s="335">
        <f t="shared" si="218"/>
        <v>3.711265161915045</v>
      </c>
      <c r="AQ97" s="335">
        <f t="shared" si="219"/>
        <v>5.3256836498238203</v>
      </c>
      <c r="AS97" t="str">
        <f t="shared" si="248"/>
        <v>53 Skilled construction and building trades</v>
      </c>
      <c r="AT97" s="335">
        <f t="shared" si="220"/>
        <v>-0.41930246572136065</v>
      </c>
      <c r="AU97" s="335">
        <f t="shared" si="220"/>
        <v>-8.7067080799973162</v>
      </c>
      <c r="AV97" s="335">
        <f t="shared" si="220"/>
        <v>3.2067572843743397</v>
      </c>
      <c r="AW97" s="335">
        <f t="shared" si="220"/>
        <v>1.0896063753305762</v>
      </c>
      <c r="AX97" s="335">
        <f t="shared" si="221"/>
        <v>1.1003797032622442</v>
      </c>
      <c r="AZ97" s="335">
        <f t="shared" si="222"/>
        <v>1.7904531965962089</v>
      </c>
      <c r="BA97" s="335">
        <f t="shared" si="223"/>
        <v>3.4881916546260827</v>
      </c>
      <c r="BB97" s="335">
        <f t="shared" si="224"/>
        <v>4.6503425956068156</v>
      </c>
      <c r="BD97" t="str">
        <f t="shared" si="249"/>
        <v>53 Skilled construction and building trades</v>
      </c>
      <c r="BE97" s="335">
        <f t="shared" si="225"/>
        <v>-1.2687116853455249</v>
      </c>
      <c r="BF97" s="335">
        <f t="shared" si="225"/>
        <v>-12.145447054994252</v>
      </c>
      <c r="BG97" s="335">
        <f t="shared" si="225"/>
        <v>-0.85786344057842134</v>
      </c>
      <c r="BH97" s="335">
        <f t="shared" si="225"/>
        <v>-1.3500702664119402</v>
      </c>
      <c r="BI97" s="335">
        <f t="shared" si="226"/>
        <v>-1.9096090813321198</v>
      </c>
      <c r="BK97" s="335">
        <f t="shared" si="227"/>
        <v>-1.1862734407195208</v>
      </c>
      <c r="BL97" s="335">
        <f t="shared" si="228"/>
        <v>2.017401004995234</v>
      </c>
      <c r="BM97" s="335">
        <f t="shared" si="229"/>
        <v>1.1404253226491079</v>
      </c>
      <c r="BO97" t="str">
        <f t="shared" si="250"/>
        <v>53 Skilled construction and building trades</v>
      </c>
      <c r="BP97" s="335">
        <f t="shared" si="230"/>
        <v>1.4654459483338211</v>
      </c>
      <c r="BQ97" s="335">
        <f t="shared" si="230"/>
        <v>-15.930390700668596</v>
      </c>
      <c r="BR97" s="335">
        <f t="shared" si="230"/>
        <v>1.0749580671622905</v>
      </c>
      <c r="BS97" s="335">
        <f t="shared" si="230"/>
        <v>-0.30355022406781673</v>
      </c>
      <c r="BT97" s="335">
        <f t="shared" si="231"/>
        <v>-0.93599926224591234</v>
      </c>
      <c r="BV97" s="335">
        <f t="shared" si="232"/>
        <v>0.15385080329028966</v>
      </c>
      <c r="BW97" s="335">
        <f t="shared" si="233"/>
        <v>2.5649868653465191</v>
      </c>
      <c r="BX97" s="335">
        <f t="shared" si="234"/>
        <v>2.673275425575361</v>
      </c>
      <c r="BZ97" t="str">
        <f t="shared" si="251"/>
        <v>53 Skilled construction and building trades</v>
      </c>
      <c r="CA97" s="335">
        <f t="shared" si="235"/>
        <v>-0.90736633532219058</v>
      </c>
      <c r="CB97" s="335">
        <f t="shared" si="235"/>
        <v>-17.927538511442009</v>
      </c>
      <c r="CC97" s="335">
        <f t="shared" si="235"/>
        <v>0.23364452363154875</v>
      </c>
      <c r="CD97" s="335">
        <f t="shared" si="235"/>
        <v>-0.84351031510483399</v>
      </c>
      <c r="CE97" s="335">
        <f t="shared" si="236"/>
        <v>-1.6770769043692235</v>
      </c>
      <c r="CG97" s="335">
        <f t="shared" si="237"/>
        <v>-0.48575105953434505</v>
      </c>
      <c r="CH97" s="335">
        <f t="shared" si="238"/>
        <v>2.191526642255015</v>
      </c>
      <c r="CI97" s="335">
        <f t="shared" si="239"/>
        <v>1.8363590245104033</v>
      </c>
      <c r="CK97" t="str">
        <f t="shared" si="252"/>
        <v>53 Skilled construction and building trades</v>
      </c>
      <c r="CL97" s="335">
        <f t="shared" si="240"/>
        <v>-2.7210107402002137</v>
      </c>
      <c r="CM97" s="335">
        <f t="shared" si="240"/>
        <v>-23.98684903562771</v>
      </c>
      <c r="CN97" s="335">
        <f t="shared" si="240"/>
        <v>-6.6959190611236785</v>
      </c>
      <c r="CO97" s="335">
        <f t="shared" si="240"/>
        <v>-13.176121329120672</v>
      </c>
      <c r="CP97" s="335">
        <f t="shared" si="241"/>
        <v>-11.935882929915421</v>
      </c>
      <c r="CR97" s="335">
        <f t="shared" si="242"/>
        <v>-11.067670475263558</v>
      </c>
      <c r="CS97" s="335">
        <f t="shared" si="243"/>
        <v>0.9743587564941647</v>
      </c>
      <c r="CT97" s="335">
        <f t="shared" si="244"/>
        <v>-7.1489688641733213</v>
      </c>
    </row>
    <row r="98" spans="1:98">
      <c r="A98" t="str">
        <f t="shared" si="199"/>
        <v>54 Textiles, printing and other skilled trades</v>
      </c>
      <c r="B98" s="335">
        <f t="shared" si="200"/>
        <v>1.913358374120433</v>
      </c>
      <c r="C98" s="335">
        <f t="shared" si="200"/>
        <v>-1.7044962431854271</v>
      </c>
      <c r="D98" s="335">
        <f t="shared" si="200"/>
        <v>8.7225303842387802</v>
      </c>
      <c r="E98" s="335">
        <f t="shared" si="200"/>
        <v>4.5043685464517091</v>
      </c>
      <c r="F98" s="335">
        <f t="shared" si="201"/>
        <v>5.4003957506044475</v>
      </c>
      <c r="H98" s="335">
        <f t="shared" si="202"/>
        <v>5.8919178678652484</v>
      </c>
      <c r="I98" s="335">
        <f t="shared" si="203"/>
        <v>4.3638258637274996</v>
      </c>
      <c r="J98" s="335">
        <f t="shared" si="204"/>
        <v>8.1923111466287057</v>
      </c>
      <c r="L98" t="str">
        <f t="shared" si="245"/>
        <v>54 Textiles, printing and other skilled trades</v>
      </c>
      <c r="M98" s="335">
        <f t="shared" si="205"/>
        <v>5.5686027514313841</v>
      </c>
      <c r="N98" s="335">
        <f t="shared" si="205"/>
        <v>2.6791967507695968</v>
      </c>
      <c r="O98" s="335">
        <f t="shared" si="205"/>
        <v>8.253301273605441</v>
      </c>
      <c r="P98" s="335">
        <f t="shared" si="205"/>
        <v>6.0504541434724946</v>
      </c>
      <c r="Q98" s="335">
        <f t="shared" si="206"/>
        <v>6.5186971844623409</v>
      </c>
      <c r="S98" s="335">
        <f t="shared" si="207"/>
        <v>6.7797102942643184</v>
      </c>
      <c r="T98" s="335">
        <f t="shared" si="208"/>
        <v>4.6648847943840943</v>
      </c>
      <c r="U98" s="335">
        <f t="shared" si="209"/>
        <v>9.02819352169033</v>
      </c>
      <c r="W98" t="str">
        <f t="shared" si="246"/>
        <v>54 Textiles, printing and other skilled trades</v>
      </c>
      <c r="X98" s="335">
        <f t="shared" si="210"/>
        <v>0.25897221399149295</v>
      </c>
      <c r="Y98" s="335">
        <f t="shared" si="210"/>
        <v>-2.0458191839506146</v>
      </c>
      <c r="Z98" s="335">
        <f t="shared" si="210"/>
        <v>5.2526853553834574</v>
      </c>
      <c r="AA98" s="335">
        <f t="shared" si="210"/>
        <v>2.8156514063277571</v>
      </c>
      <c r="AB98" s="335">
        <f t="shared" si="211"/>
        <v>3.2580278276760799</v>
      </c>
      <c r="AD98" s="335">
        <f t="shared" si="212"/>
        <v>3.6216609408898703</v>
      </c>
      <c r="AE98" s="335">
        <f t="shared" si="213"/>
        <v>3.9320832783541038</v>
      </c>
      <c r="AF98" s="335">
        <f t="shared" si="214"/>
        <v>6.2664131386837685</v>
      </c>
      <c r="AH98" t="str">
        <f t="shared" si="247"/>
        <v>54 Textiles, printing and other skilled trades</v>
      </c>
      <c r="AI98" s="335">
        <f t="shared" si="215"/>
        <v>-0.90935355192267586</v>
      </c>
      <c r="AJ98" s="335">
        <f t="shared" si="215"/>
        <v>5.3146818872913393</v>
      </c>
      <c r="AK98" s="335">
        <f t="shared" si="215"/>
        <v>2.2688192135214225</v>
      </c>
      <c r="AL98" s="335">
        <f t="shared" si="215"/>
        <v>2.4408707158858789</v>
      </c>
      <c r="AM98" s="335">
        <f t="shared" si="216"/>
        <v>2.564273656986038</v>
      </c>
      <c r="AO98" s="335">
        <f t="shared" si="217"/>
        <v>2.3834880779996404</v>
      </c>
      <c r="AP98" s="335">
        <f t="shared" si="218"/>
        <v>3.5505212347562098</v>
      </c>
      <c r="AQ98" s="335">
        <f t="shared" si="219"/>
        <v>5.1087368000930944</v>
      </c>
      <c r="AS98" t="str">
        <f t="shared" si="248"/>
        <v>54 Textiles, printing and other skilled trades</v>
      </c>
      <c r="AT98" s="335">
        <f t="shared" si="220"/>
        <v>-0.95006360635737641</v>
      </c>
      <c r="AU98" s="335">
        <f t="shared" si="220"/>
        <v>1.167670836009127</v>
      </c>
      <c r="AV98" s="335">
        <f t="shared" si="220"/>
        <v>3.3404647105178098</v>
      </c>
      <c r="AW98" s="335">
        <f t="shared" si="220"/>
        <v>2.0239819845080165</v>
      </c>
      <c r="AX98" s="335">
        <f t="shared" si="221"/>
        <v>2.3796242752138985</v>
      </c>
      <c r="AZ98" s="335">
        <f t="shared" si="222"/>
        <v>2.4609354815405604</v>
      </c>
      <c r="BA98" s="335">
        <f t="shared" si="223"/>
        <v>3.5272074173285484</v>
      </c>
      <c r="BB98" s="335">
        <f t="shared" si="224"/>
        <v>5.1436697186322711</v>
      </c>
      <c r="BD98" t="str">
        <f t="shared" si="249"/>
        <v>54 Textiles, printing and other skilled trades</v>
      </c>
      <c r="BE98" s="335">
        <f t="shared" si="225"/>
        <v>-1.5455281431276835</v>
      </c>
      <c r="BF98" s="335">
        <f t="shared" si="225"/>
        <v>-5.1696793646644696</v>
      </c>
      <c r="BG98" s="335">
        <f t="shared" si="225"/>
        <v>2.2293536881955234</v>
      </c>
      <c r="BH98" s="335">
        <f t="shared" si="225"/>
        <v>0.40035462677965317</v>
      </c>
      <c r="BI98" s="335">
        <f t="shared" si="226"/>
        <v>0.60883269285818553</v>
      </c>
      <c r="BK98" s="335">
        <f t="shared" si="227"/>
        <v>1.0063558900015535</v>
      </c>
      <c r="BL98" s="335">
        <f t="shared" si="228"/>
        <v>2.5581509823362492</v>
      </c>
      <c r="BM98" s="335">
        <f t="shared" si="229"/>
        <v>3.2800763471999561</v>
      </c>
      <c r="BO98" t="str">
        <f t="shared" si="250"/>
        <v>54 Textiles, printing and other skilled trades</v>
      </c>
      <c r="BP98" s="335">
        <f t="shared" si="230"/>
        <v>-3.8318582804817369</v>
      </c>
      <c r="BQ98" s="335">
        <f t="shared" si="230"/>
        <v>-6.0706496069031886</v>
      </c>
      <c r="BR98" s="335">
        <f t="shared" si="230"/>
        <v>-1.3701366980360619</v>
      </c>
      <c r="BS98" s="335">
        <f t="shared" si="230"/>
        <v>-1.5099441978471018</v>
      </c>
      <c r="BT98" s="335">
        <f t="shared" si="231"/>
        <v>-1.7578277035024126</v>
      </c>
      <c r="BV98" s="335">
        <f t="shared" si="232"/>
        <v>-1.4633637314229286</v>
      </c>
      <c r="BW98" s="335">
        <f t="shared" si="233"/>
        <v>2.0308194680875857</v>
      </c>
      <c r="BX98" s="335">
        <f t="shared" si="234"/>
        <v>0.95711370114859307</v>
      </c>
      <c r="BZ98" t="str">
        <f t="shared" si="251"/>
        <v>54 Textiles, printing and other skilled trades</v>
      </c>
      <c r="CA98" s="335">
        <f t="shared" si="235"/>
        <v>-2.5512210891884046</v>
      </c>
      <c r="CB98" s="335">
        <f t="shared" si="235"/>
        <v>-8.5881242951212471</v>
      </c>
      <c r="CC98" s="335">
        <f t="shared" si="235"/>
        <v>0.90982850905052537</v>
      </c>
      <c r="CD98" s="335">
        <f t="shared" si="235"/>
        <v>-2.5831396420256558</v>
      </c>
      <c r="CE98" s="335">
        <f t="shared" si="236"/>
        <v>-1.8956639409112075</v>
      </c>
      <c r="CG98" s="335">
        <f t="shared" si="237"/>
        <v>-1.4324621191705078</v>
      </c>
      <c r="CH98" s="335">
        <f t="shared" si="238"/>
        <v>1.9997283520389431</v>
      </c>
      <c r="CI98" s="335">
        <f t="shared" si="239"/>
        <v>0.94317146525981777</v>
      </c>
      <c r="CK98" t="str">
        <f t="shared" si="252"/>
        <v>54 Textiles, printing and other skilled trades</v>
      </c>
      <c r="CL98" s="335">
        <f t="shared" si="240"/>
        <v>-4.4663670300728491</v>
      </c>
      <c r="CM98" s="335">
        <f t="shared" si="240"/>
        <v>-13.913372733287888</v>
      </c>
      <c r="CN98" s="335">
        <f t="shared" si="240"/>
        <v>-6.7644154958944824</v>
      </c>
      <c r="CO98" s="335">
        <f t="shared" si="240"/>
        <v>-4.1940080831068478</v>
      </c>
      <c r="CP98" s="335">
        <f t="shared" si="241"/>
        <v>-5.6377731618798332</v>
      </c>
      <c r="CR98" s="335">
        <f t="shared" si="242"/>
        <v>-5.0585893175685737</v>
      </c>
      <c r="CS98" s="335">
        <f t="shared" si="243"/>
        <v>1.2255965714945916</v>
      </c>
      <c r="CT98" s="335">
        <f t="shared" si="244"/>
        <v>-2.7369576541889873</v>
      </c>
    </row>
    <row r="99" spans="1:98">
      <c r="A99" t="str">
        <f t="shared" si="199"/>
        <v>61 Caring personal service occupations</v>
      </c>
      <c r="B99" s="335">
        <f t="shared" si="200"/>
        <v>5.182070199091493</v>
      </c>
      <c r="C99" s="335">
        <f t="shared" si="200"/>
        <v>-1.6967686285079941</v>
      </c>
      <c r="D99" s="335">
        <f t="shared" si="200"/>
        <v>8.6207293561068497</v>
      </c>
      <c r="E99" s="335">
        <f t="shared" si="200"/>
        <v>5.1385985358503916</v>
      </c>
      <c r="F99" s="335">
        <f t="shared" si="201"/>
        <v>5.7692866390595787</v>
      </c>
      <c r="H99" s="335">
        <f t="shared" si="202"/>
        <v>6.2867254784797044</v>
      </c>
      <c r="I99" s="335">
        <f t="shared" si="203"/>
        <v>4.6565741668482374</v>
      </c>
      <c r="J99" s="335">
        <f t="shared" si="204"/>
        <v>8.6582714997933685</v>
      </c>
      <c r="L99" t="str">
        <f t="shared" si="245"/>
        <v>61 Caring personal service occupations</v>
      </c>
      <c r="M99" s="335">
        <f t="shared" si="205"/>
        <v>8.1763711633941583</v>
      </c>
      <c r="N99" s="335">
        <f t="shared" si="205"/>
        <v>-2.0242424464234077</v>
      </c>
      <c r="O99" s="335">
        <f t="shared" si="205"/>
        <v>7.8611840001365341</v>
      </c>
      <c r="P99" s="335">
        <f t="shared" si="205"/>
        <v>4.8434524212735974</v>
      </c>
      <c r="Q99" s="335">
        <f t="shared" si="206"/>
        <v>5.3303688712950104</v>
      </c>
      <c r="S99" s="335">
        <f t="shared" si="207"/>
        <v>5.839863262328282</v>
      </c>
      <c r="T99" s="335">
        <f t="shared" si="208"/>
        <v>4.7493950159505083</v>
      </c>
      <c r="U99" s="335">
        <f t="shared" si="209"/>
        <v>8.3903138274951985</v>
      </c>
      <c r="W99" t="str">
        <f t="shared" si="246"/>
        <v>61 Caring personal service occupations</v>
      </c>
      <c r="X99" s="335">
        <f t="shared" si="210"/>
        <v>2.8525803061359323</v>
      </c>
      <c r="Y99" s="335">
        <f t="shared" si="210"/>
        <v>1.5468375342727603</v>
      </c>
      <c r="Z99" s="335">
        <f t="shared" si="210"/>
        <v>2.9976632385137147</v>
      </c>
      <c r="AA99" s="335">
        <f t="shared" si="210"/>
        <v>2.0149541871185894</v>
      </c>
      <c r="AB99" s="335">
        <f t="shared" si="211"/>
        <v>2.2916309572216242</v>
      </c>
      <c r="AD99" s="335">
        <f t="shared" si="212"/>
        <v>2.3414776388510861</v>
      </c>
      <c r="AE99" s="335">
        <f t="shared" si="213"/>
        <v>4.0260427229959372</v>
      </c>
      <c r="AF99" s="335">
        <f t="shared" si="214"/>
        <v>5.4693935560452767</v>
      </c>
      <c r="AH99" t="str">
        <f t="shared" si="247"/>
        <v>61 Caring personal service occupations</v>
      </c>
      <c r="AI99" s="335">
        <f t="shared" si="215"/>
        <v>-0.28057924928626132</v>
      </c>
      <c r="AJ99" s="335">
        <f t="shared" si="215"/>
        <v>2.108420075638584</v>
      </c>
      <c r="AK99" s="335">
        <f t="shared" si="215"/>
        <v>-0.25323077555099438</v>
      </c>
      <c r="AL99" s="335">
        <f t="shared" si="215"/>
        <v>0.46325581017072626</v>
      </c>
      <c r="AM99" s="335">
        <f t="shared" si="216"/>
        <v>0.3406163813693297</v>
      </c>
      <c r="AO99" s="335">
        <f t="shared" si="217"/>
        <v>0.2238569259046308</v>
      </c>
      <c r="AP99" s="335">
        <f t="shared" si="218"/>
        <v>3.1692252843971813</v>
      </c>
      <c r="AQ99" s="335">
        <f t="shared" si="219"/>
        <v>3.3147023223634386</v>
      </c>
      <c r="AS99" t="str">
        <f t="shared" si="248"/>
        <v>61 Caring personal service occupations</v>
      </c>
      <c r="AT99" s="335">
        <f t="shared" si="220"/>
        <v>1.9359037307685956</v>
      </c>
      <c r="AU99" s="335">
        <f t="shared" si="220"/>
        <v>2.6487812933146948</v>
      </c>
      <c r="AV99" s="335">
        <f t="shared" si="220"/>
        <v>0.41518931295012607</v>
      </c>
      <c r="AW99" s="335">
        <f t="shared" si="220"/>
        <v>0.96539910435380349</v>
      </c>
      <c r="AX99" s="335">
        <f t="shared" si="221"/>
        <v>0.89735520833784665</v>
      </c>
      <c r="AZ99" s="335">
        <f t="shared" si="222"/>
        <v>0.78166167692828026</v>
      </c>
      <c r="BA99" s="335">
        <f t="shared" si="223"/>
        <v>3.3467385876670752</v>
      </c>
      <c r="BB99" s="335">
        <f t="shared" si="224"/>
        <v>3.850137721794189</v>
      </c>
      <c r="BD99" t="str">
        <f t="shared" si="249"/>
        <v>61 Caring personal service occupations</v>
      </c>
      <c r="BE99" s="335">
        <f t="shared" si="225"/>
        <v>2.6857972923259199</v>
      </c>
      <c r="BF99" s="335">
        <f t="shared" si="225"/>
        <v>-1.1016027078558199</v>
      </c>
      <c r="BG99" s="335">
        <f t="shared" si="225"/>
        <v>1.3329848635019959</v>
      </c>
      <c r="BH99" s="335">
        <f t="shared" si="225"/>
        <v>1.2747652590171299</v>
      </c>
      <c r="BI99" s="335">
        <f t="shared" si="226"/>
        <v>1.1427465220939848</v>
      </c>
      <c r="BK99" s="335">
        <f t="shared" si="227"/>
        <v>1.2941680763017605</v>
      </c>
      <c r="BL99" s="335">
        <f t="shared" si="228"/>
        <v>3.2698819067602747</v>
      </c>
      <c r="BM99" s="335">
        <f t="shared" si="229"/>
        <v>4.1226768723160445</v>
      </c>
      <c r="BO99" t="str">
        <f t="shared" si="250"/>
        <v>61 Caring personal service occupations</v>
      </c>
      <c r="BP99" s="335">
        <f t="shared" si="230"/>
        <v>-0.26320607969116949</v>
      </c>
      <c r="BQ99" s="335">
        <f t="shared" si="230"/>
        <v>-9.7727920657653566</v>
      </c>
      <c r="BR99" s="335">
        <f t="shared" si="230"/>
        <v>-0.87283382772784801</v>
      </c>
      <c r="BS99" s="335">
        <f t="shared" si="230"/>
        <v>-2.247064865643944</v>
      </c>
      <c r="BT99" s="335">
        <f t="shared" si="231"/>
        <v>-2.3100381972544493</v>
      </c>
      <c r="BV99" s="335">
        <f t="shared" si="232"/>
        <v>-1.7911178240382131</v>
      </c>
      <c r="BW99" s="335">
        <f t="shared" si="233"/>
        <v>2.4623229425954296</v>
      </c>
      <c r="BX99" s="335">
        <f t="shared" si="234"/>
        <v>1.239022300749415</v>
      </c>
      <c r="BZ99" t="str">
        <f t="shared" si="251"/>
        <v>61 Caring personal service occupations</v>
      </c>
      <c r="CA99" s="335">
        <f t="shared" si="235"/>
        <v>-12.114457614568586</v>
      </c>
      <c r="CB99" s="335">
        <f t="shared" si="235"/>
        <v>-16.024130699718576</v>
      </c>
      <c r="CC99" s="335">
        <f t="shared" si="235"/>
        <v>-5.3796468358716654</v>
      </c>
      <c r="CD99" s="335">
        <f t="shared" si="235"/>
        <v>-1.9088263791500637</v>
      </c>
      <c r="CE99" s="335">
        <f t="shared" si="236"/>
        <v>-3.9442118194885301</v>
      </c>
      <c r="CG99" s="335">
        <f t="shared" si="237"/>
        <v>-3.0796868420200352</v>
      </c>
      <c r="CH99" s="335">
        <f t="shared" si="238"/>
        <v>1.4240149173053718</v>
      </c>
      <c r="CI99" s="335">
        <f t="shared" si="239"/>
        <v>-0.98696394080727279</v>
      </c>
      <c r="CK99" t="str">
        <f t="shared" si="252"/>
        <v>61 Caring personal service occupations</v>
      </c>
      <c r="CL99" s="335">
        <f t="shared" si="240"/>
        <v>-3.8474491117021614</v>
      </c>
      <c r="CM99" s="335">
        <f t="shared" si="240"/>
        <v>-12.011361671569343</v>
      </c>
      <c r="CN99" s="335">
        <f t="shared" si="240"/>
        <v>1.3050882095553717</v>
      </c>
      <c r="CO99" s="335">
        <f t="shared" si="240"/>
        <v>-0.1577004840851659</v>
      </c>
      <c r="CP99" s="335">
        <f t="shared" si="241"/>
        <v>-0.49199024590325102</v>
      </c>
      <c r="CR99" s="335">
        <f t="shared" si="242"/>
        <v>0.32753368581948106</v>
      </c>
      <c r="CS99" s="335">
        <f t="shared" si="243"/>
        <v>1.7618896553708741</v>
      </c>
      <c r="CT99" s="335">
        <f t="shared" si="244"/>
        <v>2.0197172309962541</v>
      </c>
    </row>
    <row r="100" spans="1:98">
      <c r="A100" t="str">
        <f t="shared" si="199"/>
        <v>62 Leisure, travel and related personal service occupations</v>
      </c>
      <c r="B100" s="335">
        <f t="shared" si="200"/>
        <v>11.034033142550914</v>
      </c>
      <c r="C100" s="335">
        <f t="shared" si="200"/>
        <v>2.5064437418012897</v>
      </c>
      <c r="D100" s="335">
        <f t="shared" si="200"/>
        <v>6.133967906937654</v>
      </c>
      <c r="E100" s="335">
        <f t="shared" si="200"/>
        <v>4.9688845632431367</v>
      </c>
      <c r="F100" s="335">
        <f t="shared" si="201"/>
        <v>5.1754338462250082</v>
      </c>
      <c r="H100" s="335">
        <f t="shared" si="202"/>
        <v>5.3558176245754208</v>
      </c>
      <c r="I100" s="335">
        <f t="shared" si="203"/>
        <v>4.3508195622040002</v>
      </c>
      <c r="J100" s="335">
        <f t="shared" si="204"/>
        <v>7.7911728851744133</v>
      </c>
      <c r="L100" t="str">
        <f t="shared" si="245"/>
        <v>62 Leisure, travel and related personal service occupations</v>
      </c>
      <c r="M100" s="335">
        <f t="shared" si="205"/>
        <v>7.466701529450237</v>
      </c>
      <c r="N100" s="335">
        <f t="shared" si="205"/>
        <v>-9.2622984987094874</v>
      </c>
      <c r="O100" s="335">
        <f t="shared" si="205"/>
        <v>4.2877846176363033</v>
      </c>
      <c r="P100" s="335">
        <f t="shared" si="205"/>
        <v>4.660300730606548</v>
      </c>
      <c r="Q100" s="335">
        <f t="shared" si="206"/>
        <v>3.6151888506576801</v>
      </c>
      <c r="S100" s="335">
        <f t="shared" si="207"/>
        <v>4.535981079613971</v>
      </c>
      <c r="T100" s="335">
        <f t="shared" si="208"/>
        <v>4.0266980119544993</v>
      </c>
      <c r="U100" s="335">
        <f t="shared" si="209"/>
        <v>6.9848889087940957</v>
      </c>
      <c r="W100" t="str">
        <f t="shared" si="246"/>
        <v>62 Leisure, travel and related personal service occupations</v>
      </c>
      <c r="X100" s="335">
        <f t="shared" si="210"/>
        <v>5.1346671938904187</v>
      </c>
      <c r="Y100" s="335">
        <f t="shared" si="210"/>
        <v>-4.7414879001243859</v>
      </c>
      <c r="Z100" s="335">
        <f t="shared" si="210"/>
        <v>2.8344434972670918</v>
      </c>
      <c r="AA100" s="335">
        <f t="shared" si="210"/>
        <v>3.0223809324762874</v>
      </c>
      <c r="AB100" s="335">
        <f t="shared" si="211"/>
        <v>2.4606341264403975</v>
      </c>
      <c r="AD100" s="335">
        <f t="shared" si="212"/>
        <v>2.9596969884439606</v>
      </c>
      <c r="AE100" s="335">
        <f t="shared" si="213"/>
        <v>3.9386009507744957</v>
      </c>
      <c r="AF100" s="335">
        <f t="shared" si="214"/>
        <v>5.8129753584497124</v>
      </c>
      <c r="AH100" t="str">
        <f t="shared" si="247"/>
        <v>62 Leisure, travel and related personal service occupations</v>
      </c>
      <c r="AI100" s="335">
        <f t="shared" si="215"/>
        <v>5.370306441707684</v>
      </c>
      <c r="AJ100" s="335">
        <f t="shared" si="215"/>
        <v>-2.2704111502728885</v>
      </c>
      <c r="AK100" s="335">
        <f t="shared" si="215"/>
        <v>1.199910166131013</v>
      </c>
      <c r="AL100" s="335">
        <f t="shared" si="215"/>
        <v>2.8563610553293151</v>
      </c>
      <c r="AM100" s="335">
        <f t="shared" si="216"/>
        <v>2.0093291003602465</v>
      </c>
      <c r="AO100" s="335">
        <f t="shared" si="217"/>
        <v>2.301219915802033</v>
      </c>
      <c r="AP100" s="335">
        <f t="shared" si="218"/>
        <v>3.747174932157149</v>
      </c>
      <c r="AQ100" s="335">
        <f t="shared" si="219"/>
        <v>5.2130625943584752</v>
      </c>
      <c r="AS100" t="str">
        <f t="shared" si="248"/>
        <v>62 Leisure, travel and related personal service occupations</v>
      </c>
      <c r="AT100" s="335">
        <f t="shared" si="220"/>
        <v>5.7437117154001571</v>
      </c>
      <c r="AU100" s="335">
        <f t="shared" si="220"/>
        <v>5.3426695042274597</v>
      </c>
      <c r="AV100" s="335">
        <f t="shared" si="220"/>
        <v>1.4698767764725229</v>
      </c>
      <c r="AW100" s="335">
        <f t="shared" si="220"/>
        <v>3.3547072938476807</v>
      </c>
      <c r="AX100" s="335">
        <f t="shared" si="221"/>
        <v>2.8844019386590425</v>
      </c>
      <c r="AZ100" s="335">
        <f t="shared" si="222"/>
        <v>2.7225720890635019</v>
      </c>
      <c r="BA100" s="335">
        <f t="shared" si="223"/>
        <v>3.8646030198868031</v>
      </c>
      <c r="BB100" s="335">
        <f t="shared" si="224"/>
        <v>5.5933395070534075</v>
      </c>
      <c r="BD100" t="str">
        <f t="shared" si="249"/>
        <v>62 Leisure, travel and related personal service occupations</v>
      </c>
      <c r="BE100" s="335">
        <f t="shared" si="225"/>
        <v>1.0956095772592711</v>
      </c>
      <c r="BF100" s="335">
        <f t="shared" si="225"/>
        <v>-6.2529879130962085</v>
      </c>
      <c r="BG100" s="335">
        <f t="shared" si="225"/>
        <v>-1.8465747664213383</v>
      </c>
      <c r="BH100" s="335">
        <f t="shared" si="225"/>
        <v>-0.91516301190275318</v>
      </c>
      <c r="BI100" s="335">
        <f t="shared" si="226"/>
        <v>-1.5485095377452129</v>
      </c>
      <c r="BK100" s="335">
        <f t="shared" si="227"/>
        <v>-1.2266115319299331</v>
      </c>
      <c r="BL100" s="335">
        <f t="shared" si="228"/>
        <v>2.3064418692742006</v>
      </c>
      <c r="BM100" s="335">
        <f t="shared" si="229"/>
        <v>1.4379085098244149</v>
      </c>
      <c r="BO100" t="str">
        <f t="shared" si="250"/>
        <v>62 Leisure, travel and related personal service occupations</v>
      </c>
      <c r="BP100" s="335">
        <f t="shared" si="230"/>
        <v>0.66009406914848689</v>
      </c>
      <c r="BQ100" s="335">
        <f t="shared" si="230"/>
        <v>-11.61597856244766</v>
      </c>
      <c r="BR100" s="335">
        <f t="shared" si="230"/>
        <v>-3.2511732729502474</v>
      </c>
      <c r="BS100" s="335">
        <f t="shared" si="230"/>
        <v>-2.4811059140201319</v>
      </c>
      <c r="BT100" s="335">
        <f t="shared" si="231"/>
        <v>-3.318557166137126</v>
      </c>
      <c r="BV100" s="335">
        <f t="shared" si="232"/>
        <v>-2.7384736702660506</v>
      </c>
      <c r="BW100" s="335">
        <f t="shared" si="233"/>
        <v>2.1421825067615474</v>
      </c>
      <c r="BX100" s="335">
        <f t="shared" si="234"/>
        <v>0.22079407425403819</v>
      </c>
      <c r="BZ100" t="str">
        <f t="shared" si="251"/>
        <v>62 Leisure, travel and related personal service occupations</v>
      </c>
      <c r="CA100" s="335">
        <f t="shared" si="235"/>
        <v>1.7904086578643952</v>
      </c>
      <c r="CB100" s="335">
        <f t="shared" si="235"/>
        <v>-11.783538821062677</v>
      </c>
      <c r="CC100" s="335">
        <f t="shared" si="235"/>
        <v>-2.1422812505549893</v>
      </c>
      <c r="CD100" s="335">
        <f t="shared" si="235"/>
        <v>-2.6675699992745328</v>
      </c>
      <c r="CE100" s="335">
        <f t="shared" si="236"/>
        <v>-3.1011114580558941</v>
      </c>
      <c r="CG100" s="335">
        <f t="shared" si="237"/>
        <v>-2.4927877982005242</v>
      </c>
      <c r="CH100" s="335">
        <f t="shared" si="238"/>
        <v>1.9917833378306993</v>
      </c>
      <c r="CI100" s="335">
        <f t="shared" si="239"/>
        <v>0.19091436078535473</v>
      </c>
      <c r="CK100" t="str">
        <f t="shared" si="252"/>
        <v>62 Leisure, travel and related personal service occupations</v>
      </c>
      <c r="CL100" s="335">
        <f t="shared" si="240"/>
        <v>-2.5863795190839367</v>
      </c>
      <c r="CM100" s="335">
        <f t="shared" si="240"/>
        <v>-15.472062625107386</v>
      </c>
      <c r="CN100" s="335">
        <f t="shared" si="240"/>
        <v>-7.6797812197600184</v>
      </c>
      <c r="CO100" s="335">
        <f t="shared" si="240"/>
        <v>-4.5404408870876605</v>
      </c>
      <c r="CP100" s="335">
        <f t="shared" si="241"/>
        <v>-6.2481352068036173</v>
      </c>
      <c r="CR100" s="335">
        <f t="shared" si="242"/>
        <v>-5.5985733178122938</v>
      </c>
      <c r="CS100" s="335">
        <f t="shared" si="243"/>
        <v>1.1986394681838153</v>
      </c>
      <c r="CT100" s="335">
        <f t="shared" si="244"/>
        <v>-3.1671547169816461</v>
      </c>
    </row>
    <row r="101" spans="1:98">
      <c r="A101" t="str">
        <f t="shared" si="199"/>
        <v>63 Community and civil enforcement occupations</v>
      </c>
      <c r="B101" s="335">
        <f t="shared" si="200"/>
        <v>2.5112046193745741</v>
      </c>
      <c r="C101" s="335">
        <f t="shared" si="200"/>
        <v>7.5885180178078881</v>
      </c>
      <c r="D101" s="335">
        <f t="shared" si="200"/>
        <v>3.8321504871705381</v>
      </c>
      <c r="E101" s="335">
        <f t="shared" si="200"/>
        <v>4.818316428700764</v>
      </c>
      <c r="F101" s="335">
        <f t="shared" si="201"/>
        <v>4.6796617215333125</v>
      </c>
      <c r="H101" s="335">
        <f t="shared" si="202"/>
        <v>4.4885581167991573</v>
      </c>
      <c r="I101" s="335">
        <f t="shared" si="203"/>
        <v>4.0329814457333413</v>
      </c>
      <c r="J101" s="335">
        <f t="shared" si="204"/>
        <v>6.9548917172860492</v>
      </c>
      <c r="L101" t="str">
        <f t="shared" si="245"/>
        <v>63 Community and civil enforcement occupations</v>
      </c>
      <c r="M101" s="335">
        <f t="shared" si="205"/>
        <v>0.93646871835757484</v>
      </c>
      <c r="N101" s="335">
        <f t="shared" si="205"/>
        <v>33.06482067581689</v>
      </c>
      <c r="O101" s="335">
        <f t="shared" si="205"/>
        <v>-0.87161800922110899</v>
      </c>
      <c r="P101" s="335">
        <f t="shared" si="205"/>
        <v>5.4691510418084954</v>
      </c>
      <c r="Q101" s="335">
        <f t="shared" si="206"/>
        <v>4.9588926689928758</v>
      </c>
      <c r="S101" s="335">
        <f t="shared" si="207"/>
        <v>3.3117312550210443</v>
      </c>
      <c r="T101" s="335">
        <f t="shared" si="208"/>
        <v>3.4082617514554991</v>
      </c>
      <c r="U101" s="335">
        <f t="shared" si="209"/>
        <v>5.6588296165250185</v>
      </c>
      <c r="W101" t="str">
        <f t="shared" si="246"/>
        <v>63 Community and civil enforcement occupations</v>
      </c>
      <c r="X101" s="335">
        <f t="shared" si="210"/>
        <v>0.92823567053625933</v>
      </c>
      <c r="Y101" s="335">
        <f t="shared" si="210"/>
        <v>12.095140887042444</v>
      </c>
      <c r="Z101" s="335">
        <f t="shared" si="210"/>
        <v>0.25650650475983472</v>
      </c>
      <c r="AA101" s="335">
        <f t="shared" si="210"/>
        <v>2.2034426992085354</v>
      </c>
      <c r="AB101" s="335">
        <f t="shared" si="211"/>
        <v>2.1792721352532407</v>
      </c>
      <c r="AD101" s="335">
        <f t="shared" si="212"/>
        <v>1.5502988621233005</v>
      </c>
      <c r="AE101" s="335">
        <f t="shared" si="213"/>
        <v>3.6750186609731728</v>
      </c>
      <c r="AF101" s="335">
        <f t="shared" si="214"/>
        <v>4.6518911655595518</v>
      </c>
      <c r="AH101" t="str">
        <f t="shared" si="247"/>
        <v>63 Community and civil enforcement occupations</v>
      </c>
      <c r="AI101" s="335">
        <f t="shared" si="215"/>
        <v>-1.2610016779060707</v>
      </c>
      <c r="AJ101" s="335">
        <f t="shared" si="215"/>
        <v>32.689618735561353</v>
      </c>
      <c r="AK101" s="335">
        <f t="shared" si="215"/>
        <v>-4.9559727437829775</v>
      </c>
      <c r="AL101" s="335">
        <f t="shared" si="215"/>
        <v>2.0867856703088217</v>
      </c>
      <c r="AM101" s="335">
        <f t="shared" si="216"/>
        <v>1.48100853246107</v>
      </c>
      <c r="AO101" s="335">
        <f t="shared" si="217"/>
        <v>-0.31695483619884612</v>
      </c>
      <c r="AP101" s="335">
        <f t="shared" si="218"/>
        <v>2.8214469056646596</v>
      </c>
      <c r="AQ101" s="335">
        <f t="shared" si="219"/>
        <v>2.6083859364909978</v>
      </c>
      <c r="AS101" t="str">
        <f t="shared" si="248"/>
        <v>63 Community and civil enforcement occupations</v>
      </c>
      <c r="AT101" s="335">
        <f t="shared" si="220"/>
        <v>-3.4638603062341566</v>
      </c>
      <c r="AU101" s="335">
        <f t="shared" si="220"/>
        <v>26.453670979699993</v>
      </c>
      <c r="AV101" s="335">
        <f t="shared" si="220"/>
        <v>-6.4873631045070272</v>
      </c>
      <c r="AW101" s="335">
        <f t="shared" si="220"/>
        <v>0.71472742898746056</v>
      </c>
      <c r="AX101" s="335">
        <f t="shared" si="221"/>
        <v>-0.18385372374850606</v>
      </c>
      <c r="AZ101" s="335">
        <f t="shared" si="222"/>
        <v>-1.7455816633058174</v>
      </c>
      <c r="BA101" s="335">
        <f t="shared" si="223"/>
        <v>2.6098447437561179</v>
      </c>
      <c r="BB101" s="335">
        <f t="shared" si="224"/>
        <v>1.4422999657897284</v>
      </c>
      <c r="BD101" t="str">
        <f t="shared" si="249"/>
        <v>63 Community and civil enforcement occupations</v>
      </c>
      <c r="BE101" s="335">
        <f t="shared" si="225"/>
        <v>-8.4861117713372902</v>
      </c>
      <c r="BF101" s="335">
        <f t="shared" si="225"/>
        <v>43.478035704913488</v>
      </c>
      <c r="BG101" s="335">
        <f t="shared" si="225"/>
        <v>-9.2480253565244031</v>
      </c>
      <c r="BH101" s="335">
        <f t="shared" si="225"/>
        <v>0.86753405620594304</v>
      </c>
      <c r="BI101" s="335">
        <f t="shared" si="226"/>
        <v>-0.23602560252917737</v>
      </c>
      <c r="BK101" s="335">
        <f t="shared" si="227"/>
        <v>-2.6237684086072854</v>
      </c>
      <c r="BL101" s="335">
        <f t="shared" si="228"/>
        <v>1.5150324153200057</v>
      </c>
      <c r="BM101" s="335">
        <f t="shared" si="229"/>
        <v>-0.52468216987977545</v>
      </c>
      <c r="BO101" t="str">
        <f t="shared" si="250"/>
        <v>63 Community and civil enforcement occupations</v>
      </c>
      <c r="BP101" s="335">
        <f t="shared" si="230"/>
        <v>-3.8218794536807432</v>
      </c>
      <c r="BQ101" s="335">
        <f t="shared" si="230"/>
        <v>22.682346679983123</v>
      </c>
      <c r="BR101" s="335">
        <f t="shared" si="230"/>
        <v>-7.3517388100647789</v>
      </c>
      <c r="BS101" s="335">
        <f t="shared" si="230"/>
        <v>-0.31653885930825743</v>
      </c>
      <c r="BT101" s="335">
        <f t="shared" si="231"/>
        <v>-1.2982232651892911</v>
      </c>
      <c r="BV101" s="335">
        <f t="shared" si="232"/>
        <v>-2.7190439177512404</v>
      </c>
      <c r="BW101" s="335">
        <f t="shared" si="233"/>
        <v>1.7589004667512009</v>
      </c>
      <c r="BX101" s="335">
        <f t="shared" si="234"/>
        <v>-0.26997736405346417</v>
      </c>
      <c r="BZ101" t="str">
        <f t="shared" si="251"/>
        <v>63 Community and civil enforcement occupations</v>
      </c>
      <c r="CA101" s="335">
        <f t="shared" si="235"/>
        <v>-3.0867482214083308</v>
      </c>
      <c r="CB101" s="335">
        <f t="shared" si="235"/>
        <v>21.28007809561332</v>
      </c>
      <c r="CC101" s="335">
        <f t="shared" si="235"/>
        <v>-6.5783504600432359</v>
      </c>
      <c r="CD101" s="335">
        <f t="shared" si="235"/>
        <v>-1.3632247714151946</v>
      </c>
      <c r="CE101" s="335">
        <f t="shared" si="236"/>
        <v>-1.7627976132107426</v>
      </c>
      <c r="CG101" s="335">
        <f t="shared" si="237"/>
        <v>-3.1331700565529585</v>
      </c>
      <c r="CH101" s="335">
        <f t="shared" si="238"/>
        <v>1.6708339795641125</v>
      </c>
      <c r="CI101" s="335">
        <f t="shared" si="239"/>
        <v>-0.68153644479662656</v>
      </c>
      <c r="CK101" t="str">
        <f t="shared" si="252"/>
        <v>63 Community and civil enforcement occupations</v>
      </c>
      <c r="CL101" s="335">
        <f t="shared" si="240"/>
        <v>-9.7340718069921515</v>
      </c>
      <c r="CM101" s="335">
        <f t="shared" si="240"/>
        <v>26.765824169985653</v>
      </c>
      <c r="CN101" s="335">
        <f t="shared" si="240"/>
        <v>-16.499745559675294</v>
      </c>
      <c r="CO101" s="335">
        <f t="shared" si="240"/>
        <v>-4.1812523823707597</v>
      </c>
      <c r="CP101" s="335">
        <f t="shared" si="241"/>
        <v>-6.5946762596789004</v>
      </c>
      <c r="CR101" s="335">
        <f t="shared" si="242"/>
        <v>-8.4771378632865542</v>
      </c>
      <c r="CS101" s="335">
        <f t="shared" si="243"/>
        <v>0.67607034801697719</v>
      </c>
      <c r="CT101" s="335">
        <f t="shared" si="244"/>
        <v>-6.3937629050725864</v>
      </c>
    </row>
    <row r="102" spans="1:98">
      <c r="A102" t="str">
        <f t="shared" si="199"/>
        <v>71 Sales occupations</v>
      </c>
      <c r="B102" s="335">
        <f t="shared" si="200"/>
        <v>3.6723587788385803</v>
      </c>
      <c r="C102" s="335">
        <f t="shared" si="200"/>
        <v>-10.338323043822385</v>
      </c>
      <c r="D102" s="335">
        <f t="shared" si="200"/>
        <v>5.5080462083826998</v>
      </c>
      <c r="E102" s="335">
        <f t="shared" si="200"/>
        <v>4.085374829591859</v>
      </c>
      <c r="F102" s="335">
        <f t="shared" si="201"/>
        <v>3.5579015905356393</v>
      </c>
      <c r="H102" s="335">
        <f t="shared" si="202"/>
        <v>4.5574542682115471</v>
      </c>
      <c r="I102" s="335">
        <f t="shared" si="203"/>
        <v>3.6381462233840089</v>
      </c>
      <c r="J102" s="335">
        <f t="shared" si="204"/>
        <v>6.7409349313431788</v>
      </c>
      <c r="L102" t="str">
        <f t="shared" si="245"/>
        <v>71 Sales occupations</v>
      </c>
      <c r="M102" s="335">
        <f t="shared" si="205"/>
        <v>4.8655089825254461</v>
      </c>
      <c r="N102" s="335">
        <f t="shared" si="205"/>
        <v>2.6109411672319727</v>
      </c>
      <c r="O102" s="335">
        <f t="shared" si="205"/>
        <v>6.9565154822169406</v>
      </c>
      <c r="P102" s="335">
        <f t="shared" si="205"/>
        <v>5.5717488464096743</v>
      </c>
      <c r="Q102" s="335">
        <f t="shared" si="206"/>
        <v>5.8142580659064302</v>
      </c>
      <c r="S102" s="335">
        <f t="shared" si="207"/>
        <v>6.0313341102549822</v>
      </c>
      <c r="T102" s="335">
        <f t="shared" si="208"/>
        <v>4.0744682933317344</v>
      </c>
      <c r="U102" s="335">
        <f t="shared" si="209"/>
        <v>8.1247784620990906</v>
      </c>
      <c r="W102" t="str">
        <f t="shared" si="246"/>
        <v>71 Sales occupations</v>
      </c>
      <c r="X102" s="335">
        <f t="shared" si="210"/>
        <v>0.95918079335401973</v>
      </c>
      <c r="Y102" s="335">
        <f t="shared" si="210"/>
        <v>5.5311902423269776</v>
      </c>
      <c r="Z102" s="335">
        <f t="shared" si="210"/>
        <v>2.3719596385687325</v>
      </c>
      <c r="AA102" s="335">
        <f t="shared" si="210"/>
        <v>2.4928949799458033</v>
      </c>
      <c r="AB102" s="335">
        <f t="shared" si="211"/>
        <v>2.6423224663222999</v>
      </c>
      <c r="AD102" s="335">
        <f t="shared" si="212"/>
        <v>2.4525673339408804</v>
      </c>
      <c r="AE102" s="335">
        <f t="shared" si="213"/>
        <v>3.4981526283996089</v>
      </c>
      <c r="AF102" s="335">
        <f t="shared" si="214"/>
        <v>5.1144453740116891</v>
      </c>
      <c r="AH102" t="str">
        <f t="shared" si="247"/>
        <v>71 Sales occupations</v>
      </c>
      <c r="AI102" s="335">
        <f t="shared" si="215"/>
        <v>-0.15340403237215083</v>
      </c>
      <c r="AJ102" s="335">
        <f t="shared" si="215"/>
        <v>7.366004160109263</v>
      </c>
      <c r="AK102" s="335">
        <f t="shared" si="215"/>
        <v>1.1872775650731082</v>
      </c>
      <c r="AL102" s="335">
        <f t="shared" si="215"/>
        <v>2.2953897553926517</v>
      </c>
      <c r="AM102" s="335">
        <f t="shared" si="216"/>
        <v>2.2565320949138767</v>
      </c>
      <c r="AO102" s="335">
        <f t="shared" si="217"/>
        <v>1.9246772074050789</v>
      </c>
      <c r="AP102" s="335">
        <f t="shared" si="218"/>
        <v>3.3669337336057925</v>
      </c>
      <c r="AQ102" s="335">
        <f t="shared" si="219"/>
        <v>4.6393850344237153</v>
      </c>
      <c r="AS102" t="str">
        <f t="shared" si="248"/>
        <v>71 Sales occupations</v>
      </c>
      <c r="AT102" s="335">
        <f t="shared" si="220"/>
        <v>-1.0264986263038067</v>
      </c>
      <c r="AU102" s="335">
        <f t="shared" si="220"/>
        <v>4.3388374860769297</v>
      </c>
      <c r="AV102" s="335">
        <f t="shared" si="220"/>
        <v>0.53505946566589913</v>
      </c>
      <c r="AW102" s="335">
        <f t="shared" si="220"/>
        <v>1.958665143366134</v>
      </c>
      <c r="AX102" s="335">
        <f t="shared" si="221"/>
        <v>1.6581480485001299</v>
      </c>
      <c r="AZ102" s="335">
        <f t="shared" si="222"/>
        <v>1.4819040462770383</v>
      </c>
      <c r="BA102" s="335">
        <f t="shared" si="223"/>
        <v>2.8827730438653054</v>
      </c>
      <c r="BB102" s="335">
        <f t="shared" si="224"/>
        <v>3.9129868223923614</v>
      </c>
      <c r="BD102" t="str">
        <f t="shared" si="249"/>
        <v>71 Sales occupations</v>
      </c>
      <c r="BE102" s="335">
        <f t="shared" si="225"/>
        <v>-0.62426322216533325</v>
      </c>
      <c r="BF102" s="335">
        <f t="shared" si="225"/>
        <v>3.2143189167782804</v>
      </c>
      <c r="BG102" s="335">
        <f t="shared" si="225"/>
        <v>7.012971816819924E-2</v>
      </c>
      <c r="BH102" s="335">
        <f t="shared" si="225"/>
        <v>0.29283531972792431</v>
      </c>
      <c r="BI102" s="335">
        <f t="shared" si="226"/>
        <v>0.40320696831628311</v>
      </c>
      <c r="BK102" s="335">
        <f t="shared" si="227"/>
        <v>0.21854510357814938</v>
      </c>
      <c r="BL102" s="335">
        <f t="shared" si="228"/>
        <v>2.5689777458139051</v>
      </c>
      <c r="BM102" s="335">
        <f t="shared" si="229"/>
        <v>2.7229362809745972</v>
      </c>
      <c r="BO102" t="str">
        <f t="shared" si="250"/>
        <v>71 Sales occupations</v>
      </c>
      <c r="BP102" s="335">
        <f t="shared" si="230"/>
        <v>-2.4154332748379304</v>
      </c>
      <c r="BQ102" s="335">
        <f t="shared" si="230"/>
        <v>-5.9237828636592766</v>
      </c>
      <c r="BR102" s="335">
        <f t="shared" si="230"/>
        <v>-1.0558997397781322</v>
      </c>
      <c r="BS102" s="335">
        <f t="shared" si="230"/>
        <v>-1.9932616739626763</v>
      </c>
      <c r="BT102" s="335">
        <f t="shared" si="231"/>
        <v>-1.9524388803972892</v>
      </c>
      <c r="BV102" s="335">
        <f t="shared" si="232"/>
        <v>-1.6817985668670654</v>
      </c>
      <c r="BW102" s="335">
        <f t="shared" si="233"/>
        <v>2.3492691067800608</v>
      </c>
      <c r="BX102" s="335">
        <f t="shared" si="234"/>
        <v>1.1780365667708015</v>
      </c>
      <c r="BZ102" t="str">
        <f t="shared" si="251"/>
        <v>71 Sales occupations</v>
      </c>
      <c r="CA102" s="335">
        <f t="shared" si="235"/>
        <v>-1.8269185544144473</v>
      </c>
      <c r="CB102" s="335">
        <f t="shared" si="235"/>
        <v>-8.3947502584844518</v>
      </c>
      <c r="CC102" s="335">
        <f t="shared" si="235"/>
        <v>-3.2383530245318259</v>
      </c>
      <c r="CD102" s="335">
        <f t="shared" si="235"/>
        <v>-8.6645536024815506</v>
      </c>
      <c r="CE102" s="335">
        <f t="shared" si="236"/>
        <v>-6.9852364890422898</v>
      </c>
      <c r="CG102" s="335">
        <f t="shared" si="237"/>
        <v>-6.8905014418788273</v>
      </c>
      <c r="CH102" s="335">
        <f t="shared" si="238"/>
        <v>1.4952857183994084</v>
      </c>
      <c r="CI102" s="335">
        <f t="shared" si="239"/>
        <v>-3.4339914632095958</v>
      </c>
      <c r="CK102" t="str">
        <f t="shared" si="252"/>
        <v>71 Sales occupations</v>
      </c>
      <c r="CL102" s="335">
        <f t="shared" si="240"/>
        <v>-5.3410849661098991</v>
      </c>
      <c r="CM102" s="335">
        <f t="shared" si="240"/>
        <v>-14.571592495405428</v>
      </c>
      <c r="CN102" s="335">
        <f t="shared" si="240"/>
        <v>-6.0561060250576286</v>
      </c>
      <c r="CO102" s="335">
        <f t="shared" si="240"/>
        <v>-4.625552201926264</v>
      </c>
      <c r="CP102" s="335">
        <f t="shared" si="241"/>
        <v>-5.7260744285933418</v>
      </c>
      <c r="CR102" s="335">
        <f t="shared" si="242"/>
        <v>-5.1048076957857962</v>
      </c>
      <c r="CS102" s="335">
        <f t="shared" si="243"/>
        <v>1.1010976461575339</v>
      </c>
      <c r="CT102" s="335">
        <f t="shared" si="244"/>
        <v>-2.9902530253990811</v>
      </c>
    </row>
    <row r="103" spans="1:98">
      <c r="A103" t="str">
        <f t="shared" si="199"/>
        <v>72 Customer service occupations</v>
      </c>
      <c r="B103" s="335">
        <f t="shared" si="200"/>
        <v>5.2888440494879507</v>
      </c>
      <c r="C103" s="335">
        <f t="shared" si="200"/>
        <v>10.080078689460903</v>
      </c>
      <c r="D103" s="335">
        <f t="shared" si="200"/>
        <v>9.6374630314975072</v>
      </c>
      <c r="E103" s="335">
        <f t="shared" si="200"/>
        <v>4.8434549517595293</v>
      </c>
      <c r="F103" s="335">
        <f t="shared" si="201"/>
        <v>6.6429876937664112</v>
      </c>
      <c r="H103" s="335">
        <f t="shared" si="202"/>
        <v>6.4177016879165993</v>
      </c>
      <c r="I103" s="335">
        <f t="shared" si="203"/>
        <v>4.2007387937032403</v>
      </c>
      <c r="J103" s="335">
        <f t="shared" si="204"/>
        <v>8.492004503394579</v>
      </c>
      <c r="L103" t="str">
        <f t="shared" si="245"/>
        <v>72 Customer service occupations</v>
      </c>
      <c r="M103" s="335">
        <f t="shared" si="205"/>
        <v>7.5680695815903309</v>
      </c>
      <c r="N103" s="335">
        <f t="shared" si="205"/>
        <v>3.4951363704961658</v>
      </c>
      <c r="O103" s="335">
        <f t="shared" si="205"/>
        <v>7.8765552762749547</v>
      </c>
      <c r="P103" s="335">
        <f t="shared" si="205"/>
        <v>4.516571388624846</v>
      </c>
      <c r="Q103" s="335">
        <f t="shared" si="206"/>
        <v>5.4903971278670971</v>
      </c>
      <c r="S103" s="335">
        <f t="shared" si="207"/>
        <v>5.6247740715105854</v>
      </c>
      <c r="T103" s="335">
        <f t="shared" si="208"/>
        <v>4.125319611733258</v>
      </c>
      <c r="U103" s="335">
        <f t="shared" si="209"/>
        <v>7.8487539040063004</v>
      </c>
      <c r="W103" t="str">
        <f t="shared" si="246"/>
        <v>72 Customer service occupations</v>
      </c>
      <c r="X103" s="335">
        <f t="shared" si="210"/>
        <v>2.9156472091724561</v>
      </c>
      <c r="Y103" s="335">
        <f t="shared" si="210"/>
        <v>8.6514142897432311</v>
      </c>
      <c r="Z103" s="335">
        <f t="shared" si="210"/>
        <v>3.6078495137294997</v>
      </c>
      <c r="AA103" s="335">
        <f t="shared" si="210"/>
        <v>2.5854078102995448</v>
      </c>
      <c r="AB103" s="335">
        <f t="shared" si="211"/>
        <v>3.2739791887514524</v>
      </c>
      <c r="AD103" s="335">
        <f t="shared" si="212"/>
        <v>2.9250956721163401</v>
      </c>
      <c r="AE103" s="335">
        <f t="shared" si="213"/>
        <v>3.4692060292547122</v>
      </c>
      <c r="AF103" s="335">
        <f t="shared" si="214"/>
        <v>5.4255016042125792</v>
      </c>
      <c r="AH103" t="str">
        <f t="shared" si="247"/>
        <v>72 Customer service occupations</v>
      </c>
      <c r="AI103" s="335">
        <f t="shared" si="215"/>
        <v>4.1170388113216827</v>
      </c>
      <c r="AJ103" s="335">
        <f t="shared" si="215"/>
        <v>12.762945997840646</v>
      </c>
      <c r="AK103" s="335">
        <f t="shared" si="215"/>
        <v>3.5407616291039945</v>
      </c>
      <c r="AL103" s="335">
        <f t="shared" si="215"/>
        <v>2.4195701388731949</v>
      </c>
      <c r="AM103" s="335">
        <f t="shared" si="216"/>
        <v>3.3884542607313994</v>
      </c>
      <c r="AO103" s="335">
        <f t="shared" si="217"/>
        <v>2.7919451214607482</v>
      </c>
      <c r="AP103" s="335">
        <f t="shared" si="218"/>
        <v>3.6016026117584143</v>
      </c>
      <c r="AQ103" s="335">
        <f t="shared" si="219"/>
        <v>5.4339801668897625</v>
      </c>
      <c r="AS103" t="str">
        <f t="shared" si="248"/>
        <v>72 Customer service occupations</v>
      </c>
      <c r="AT103" s="335">
        <f t="shared" si="220"/>
        <v>2.2342184852616187</v>
      </c>
      <c r="AU103" s="335">
        <f t="shared" si="220"/>
        <v>4.7305142452590987</v>
      </c>
      <c r="AV103" s="335">
        <f t="shared" si="220"/>
        <v>3.4684397913282483</v>
      </c>
      <c r="AW103" s="335">
        <f t="shared" si="220"/>
        <v>1.4770018468897472</v>
      </c>
      <c r="AX103" s="335">
        <f t="shared" si="221"/>
        <v>2.2967445851312052</v>
      </c>
      <c r="AZ103" s="335">
        <f t="shared" si="222"/>
        <v>2.1365188908756716</v>
      </c>
      <c r="BA103" s="335">
        <f t="shared" si="223"/>
        <v>3.1197829333264648</v>
      </c>
      <c r="BB103" s="335">
        <f t="shared" si="224"/>
        <v>4.5831508662304676</v>
      </c>
      <c r="BD103" t="str">
        <f t="shared" si="249"/>
        <v>72 Customer service occupations</v>
      </c>
      <c r="BE103" s="335">
        <f t="shared" si="225"/>
        <v>1.6326597770690121</v>
      </c>
      <c r="BF103" s="335">
        <f t="shared" si="225"/>
        <v>4.8371655543936409</v>
      </c>
      <c r="BG103" s="335">
        <f t="shared" si="225"/>
        <v>1.5155038693047684</v>
      </c>
      <c r="BH103" s="335">
        <f t="shared" si="225"/>
        <v>0.8366375915718649</v>
      </c>
      <c r="BI103" s="335">
        <f t="shared" si="226"/>
        <v>1.2943084375533154</v>
      </c>
      <c r="BK103" s="335">
        <f t="shared" si="227"/>
        <v>1.0624204242317692</v>
      </c>
      <c r="BL103" s="335">
        <f t="shared" si="228"/>
        <v>2.6047602670652203</v>
      </c>
      <c r="BM103" s="335">
        <f t="shared" si="229"/>
        <v>3.3632029796739848</v>
      </c>
      <c r="BO103" t="str">
        <f t="shared" si="250"/>
        <v>72 Customer service occupations</v>
      </c>
      <c r="BP103" s="335">
        <f t="shared" si="230"/>
        <v>1.837375738802316</v>
      </c>
      <c r="BQ103" s="335">
        <f t="shared" si="230"/>
        <v>-5.0362524637628692</v>
      </c>
      <c r="BR103" s="335">
        <f t="shared" si="230"/>
        <v>1.0862250933765694</v>
      </c>
      <c r="BS103" s="335">
        <f t="shared" si="230"/>
        <v>-1.0027671728948806</v>
      </c>
      <c r="BT103" s="335">
        <f t="shared" si="231"/>
        <v>-0.61335776367692496</v>
      </c>
      <c r="BV103" s="335">
        <f t="shared" si="232"/>
        <v>-0.31127767427839848</v>
      </c>
      <c r="BW103" s="335">
        <f t="shared" si="233"/>
        <v>2.5975666540840159</v>
      </c>
      <c r="BX103" s="335">
        <f t="shared" si="234"/>
        <v>2.3817049146313884</v>
      </c>
      <c r="BZ103" t="str">
        <f t="shared" si="251"/>
        <v>72 Customer service occupations</v>
      </c>
      <c r="CA103" s="335">
        <f t="shared" si="235"/>
        <v>-0.81996454548857178</v>
      </c>
      <c r="CB103" s="335">
        <f t="shared" si="235"/>
        <v>-3.3361200386042622</v>
      </c>
      <c r="CC103" s="335">
        <f t="shared" si="235"/>
        <v>-0.91206450438167108</v>
      </c>
      <c r="CD103" s="335">
        <f t="shared" si="235"/>
        <v>-1.2597826710789795</v>
      </c>
      <c r="CE103" s="335">
        <f t="shared" si="236"/>
        <v>-1.2824639712409103</v>
      </c>
      <c r="CG103" s="335">
        <f t="shared" si="237"/>
        <v>-1.1440124061033008</v>
      </c>
      <c r="CH103" s="335">
        <f t="shared" si="238"/>
        <v>1.7710211205951953</v>
      </c>
      <c r="CI103" s="335">
        <f t="shared" si="239"/>
        <v>0.89346706915154339</v>
      </c>
      <c r="CK103" t="str">
        <f t="shared" si="252"/>
        <v>72 Customer service occupations</v>
      </c>
      <c r="CL103" s="335">
        <f t="shared" si="240"/>
        <v>3.3838189931596041</v>
      </c>
      <c r="CM103" s="335">
        <f t="shared" si="240"/>
        <v>-4.0453580896009811</v>
      </c>
      <c r="CN103" s="335">
        <f t="shared" si="240"/>
        <v>3.1842036943776408</v>
      </c>
      <c r="CO103" s="335">
        <f t="shared" si="240"/>
        <v>0.93963387629176776</v>
      </c>
      <c r="CP103" s="335">
        <f t="shared" si="241"/>
        <v>1.3145530374996106</v>
      </c>
      <c r="CR103" s="335">
        <f t="shared" si="242"/>
        <v>1.6823455554816569</v>
      </c>
      <c r="CS103" s="335">
        <f t="shared" si="243"/>
        <v>2.2061942095365383</v>
      </c>
      <c r="CT103" s="335">
        <f t="shared" si="244"/>
        <v>3.4845898968145717</v>
      </c>
    </row>
    <row r="104" spans="1:98">
      <c r="A104" t="str">
        <f t="shared" si="199"/>
        <v>81 Process, plant and machine operatives</v>
      </c>
      <c r="B104" s="335">
        <f t="shared" si="200"/>
        <v>7.3757457297798146</v>
      </c>
      <c r="C104" s="335">
        <f t="shared" si="200"/>
        <v>-15.282533803073894</v>
      </c>
      <c r="D104" s="335">
        <f t="shared" si="200"/>
        <v>10.622660055104793</v>
      </c>
      <c r="E104" s="335">
        <f t="shared" si="200"/>
        <v>7.0561323762801553</v>
      </c>
      <c r="F104" s="335">
        <f t="shared" si="201"/>
        <v>6.5876307604797457</v>
      </c>
      <c r="H104" s="335">
        <f t="shared" si="202"/>
        <v>8.2320120593922788</v>
      </c>
      <c r="I104" s="335">
        <f t="shared" si="203"/>
        <v>5.1367401396802403</v>
      </c>
      <c r="J104" s="335">
        <f t="shared" si="204"/>
        <v>10.37469904062911</v>
      </c>
      <c r="L104" t="str">
        <f t="shared" si="245"/>
        <v>81 Process, plant and machine operatives</v>
      </c>
      <c r="M104" s="335">
        <f t="shared" si="205"/>
        <v>7.2092616852173164</v>
      </c>
      <c r="N104" s="335">
        <f t="shared" si="205"/>
        <v>-11.255039100225851</v>
      </c>
      <c r="O104" s="335">
        <f t="shared" si="205"/>
        <v>10.868215016898164</v>
      </c>
      <c r="P104" s="335">
        <f t="shared" si="205"/>
        <v>6.1618495753718472</v>
      </c>
      <c r="Q104" s="335">
        <f t="shared" si="206"/>
        <v>6.4122151615240597</v>
      </c>
      <c r="S104" s="335">
        <f t="shared" si="207"/>
        <v>7.7080101687161839</v>
      </c>
      <c r="T104" s="335">
        <f t="shared" si="208"/>
        <v>4.8907814523197368</v>
      </c>
      <c r="U104" s="335">
        <f t="shared" si="209"/>
        <v>9.8500753469390254</v>
      </c>
      <c r="W104" t="str">
        <f t="shared" si="246"/>
        <v>81 Process, plant and machine operatives</v>
      </c>
      <c r="X104" s="335">
        <f t="shared" si="210"/>
        <v>0.40967147748203203</v>
      </c>
      <c r="Y104" s="335">
        <f t="shared" si="210"/>
        <v>-5.4601112581905369</v>
      </c>
      <c r="Z104" s="335">
        <f t="shared" si="210"/>
        <v>8.5931116780821206</v>
      </c>
      <c r="AA104" s="335">
        <f t="shared" si="210"/>
        <v>5.1123388348573551</v>
      </c>
      <c r="AB104" s="335">
        <f t="shared" si="211"/>
        <v>5.4867026050329226</v>
      </c>
      <c r="AD104" s="335">
        <f t="shared" si="212"/>
        <v>6.2600197583463357</v>
      </c>
      <c r="AE104" s="335">
        <f t="shared" si="213"/>
        <v>4.5440351758846198</v>
      </c>
      <c r="AF104" s="335">
        <f t="shared" si="214"/>
        <v>8.5721696011347603</v>
      </c>
      <c r="AH104" t="str">
        <f t="shared" si="247"/>
        <v>81 Process, plant and machine operatives</v>
      </c>
      <c r="AI104" s="335">
        <f t="shared" si="215"/>
        <v>0.77124648777906479</v>
      </c>
      <c r="AJ104" s="335">
        <f t="shared" si="215"/>
        <v>-1.5713641295993619</v>
      </c>
      <c r="AK104" s="335">
        <f t="shared" si="215"/>
        <v>6.8656888007561312</v>
      </c>
      <c r="AL104" s="335">
        <f t="shared" si="215"/>
        <v>3.9833208726502978</v>
      </c>
      <c r="AM104" s="335">
        <f t="shared" si="216"/>
        <v>4.5163799630105306</v>
      </c>
      <c r="AO104" s="335">
        <f t="shared" si="217"/>
        <v>4.9353668775966364</v>
      </c>
      <c r="AP104" s="335">
        <f t="shared" si="218"/>
        <v>3.882171509157506</v>
      </c>
      <c r="AQ104" s="335">
        <f t="shared" si="219"/>
        <v>7.182313906018023</v>
      </c>
      <c r="AS104" t="str">
        <f t="shared" si="248"/>
        <v>81 Process, plant and machine operatives</v>
      </c>
      <c r="AT104" s="335">
        <f t="shared" si="220"/>
        <v>0.26416686887666962</v>
      </c>
      <c r="AU104" s="335">
        <f t="shared" si="220"/>
        <v>-3.6641572741720196</v>
      </c>
      <c r="AV104" s="335">
        <f t="shared" si="220"/>
        <v>4.814952977110476</v>
      </c>
      <c r="AW104" s="335">
        <f t="shared" si="220"/>
        <v>2.8048573242664521</v>
      </c>
      <c r="AX104" s="335">
        <f t="shared" si="221"/>
        <v>3.0095593060226022</v>
      </c>
      <c r="AZ104" s="335">
        <f t="shared" si="222"/>
        <v>3.4705690941325029</v>
      </c>
      <c r="BA104" s="335">
        <f t="shared" si="223"/>
        <v>3.5068619396706469</v>
      </c>
      <c r="BB104" s="335">
        <f t="shared" si="224"/>
        <v>5.8471244406159251</v>
      </c>
      <c r="BD104" t="str">
        <f t="shared" si="249"/>
        <v>81 Process, plant and machine operatives</v>
      </c>
      <c r="BE104" s="335">
        <f t="shared" si="225"/>
        <v>0.77408198282098439</v>
      </c>
      <c r="BF104" s="335">
        <f t="shared" si="225"/>
        <v>-8.3842269285477009</v>
      </c>
      <c r="BG104" s="335">
        <f t="shared" si="225"/>
        <v>2.53573217177685</v>
      </c>
      <c r="BH104" s="335">
        <f t="shared" si="225"/>
        <v>0.80186837707907355</v>
      </c>
      <c r="BI104" s="335">
        <f t="shared" si="226"/>
        <v>0.73711660003361601</v>
      </c>
      <c r="BK104" s="335">
        <f t="shared" si="227"/>
        <v>1.3765405393640906</v>
      </c>
      <c r="BL104" s="335">
        <f t="shared" si="228"/>
        <v>2.3963007461719865</v>
      </c>
      <c r="BM104" s="335">
        <f t="shared" si="229"/>
        <v>3.4119175011960046</v>
      </c>
      <c r="BO104" t="str">
        <f t="shared" si="250"/>
        <v>81 Process, plant and machine operatives</v>
      </c>
      <c r="BP104" s="335">
        <f t="shared" si="230"/>
        <v>0.13305502703071515</v>
      </c>
      <c r="BQ104" s="335">
        <f t="shared" si="230"/>
        <v>-12.088557080406936</v>
      </c>
      <c r="BR104" s="335">
        <f t="shared" si="230"/>
        <v>1.7563742410766192</v>
      </c>
      <c r="BS104" s="335">
        <f t="shared" si="230"/>
        <v>-1.0033081822356849</v>
      </c>
      <c r="BT104" s="335">
        <f t="shared" si="231"/>
        <v>-0.88742220895012824</v>
      </c>
      <c r="BV104" s="335">
        <f t="shared" si="232"/>
        <v>-9.1831885746385122E-2</v>
      </c>
      <c r="BW104" s="335">
        <f t="shared" si="233"/>
        <v>2.371121770793061</v>
      </c>
      <c r="BX104" s="335">
        <f t="shared" si="234"/>
        <v>2.3051012499522017</v>
      </c>
      <c r="BZ104" t="str">
        <f t="shared" si="251"/>
        <v>81 Process, plant and machine operatives</v>
      </c>
      <c r="CA104" s="335">
        <f t="shared" si="235"/>
        <v>-1.5558015119488289</v>
      </c>
      <c r="CB104" s="335">
        <f t="shared" si="235"/>
        <v>-15.316334125258779</v>
      </c>
      <c r="CC104" s="335">
        <f t="shared" si="235"/>
        <v>-1.2256364148295118</v>
      </c>
      <c r="CD104" s="335">
        <f t="shared" si="235"/>
        <v>-7.6518916556348131</v>
      </c>
      <c r="CE104" s="335">
        <f t="shared" si="236"/>
        <v>-6.1992511509769148</v>
      </c>
      <c r="CG104" s="335">
        <f t="shared" si="237"/>
        <v>-5.5576577857899494</v>
      </c>
      <c r="CH104" s="335">
        <f t="shared" si="238"/>
        <v>1.6166790410178988</v>
      </c>
      <c r="CI104" s="335">
        <f t="shared" si="239"/>
        <v>-2.3861816495416965</v>
      </c>
      <c r="CK104" t="str">
        <f t="shared" si="252"/>
        <v>81 Process, plant and machine operatives</v>
      </c>
      <c r="CL104" s="335">
        <f t="shared" si="240"/>
        <v>-6.1670367696137873</v>
      </c>
      <c r="CM104" s="335">
        <f t="shared" si="240"/>
        <v>-17.653182639304298</v>
      </c>
      <c r="CN104" s="335">
        <f t="shared" si="240"/>
        <v>-13.092555526634019</v>
      </c>
      <c r="CO104" s="335">
        <f t="shared" si="240"/>
        <v>-7.8685123055326045</v>
      </c>
      <c r="CP104" s="335">
        <f t="shared" si="241"/>
        <v>-10.166507394471436</v>
      </c>
      <c r="CR104" s="335">
        <f t="shared" si="242"/>
        <v>-9.6438503846653099</v>
      </c>
      <c r="CS104" s="335">
        <f t="shared" si="243"/>
        <v>0.73853123001834664</v>
      </c>
      <c r="CT104" s="335">
        <f t="shared" si="244"/>
        <v>-7.02860102943339</v>
      </c>
    </row>
    <row r="105" spans="1:98">
      <c r="A105" t="str">
        <f t="shared" si="199"/>
        <v>82 Transport and mobile machine drivers and operatives</v>
      </c>
      <c r="B105" s="335">
        <f t="shared" si="200"/>
        <v>11.06183186875449</v>
      </c>
      <c r="C105" s="335">
        <f t="shared" si="200"/>
        <v>-6.8504221444416924</v>
      </c>
      <c r="D105" s="335">
        <f t="shared" si="200"/>
        <v>10.072155912359593</v>
      </c>
      <c r="E105" s="335">
        <f t="shared" si="200"/>
        <v>5.7780098386631007</v>
      </c>
      <c r="F105" s="335">
        <f t="shared" si="201"/>
        <v>6.2539626759818612</v>
      </c>
      <c r="H105" s="335">
        <f t="shared" si="202"/>
        <v>7.1904478437380348</v>
      </c>
      <c r="I105" s="335">
        <f t="shared" si="203"/>
        <v>5.6793110812653813</v>
      </c>
      <c r="J105" s="335">
        <f t="shared" si="204"/>
        <v>9.9054132458134205</v>
      </c>
      <c r="L105" t="str">
        <f t="shared" si="245"/>
        <v>82 Transport and mobile machine drivers and operatives</v>
      </c>
      <c r="M105" s="335">
        <f t="shared" si="205"/>
        <v>9.8739755549233301</v>
      </c>
      <c r="N105" s="335">
        <f t="shared" si="205"/>
        <v>-2.5158993540541075</v>
      </c>
      <c r="O105" s="335">
        <f t="shared" si="205"/>
        <v>8.0905950896044576</v>
      </c>
      <c r="P105" s="335">
        <f t="shared" si="205"/>
        <v>5.5587626164786297</v>
      </c>
      <c r="Q105" s="335">
        <f t="shared" si="206"/>
        <v>5.8159206128378216</v>
      </c>
      <c r="S105" s="335">
        <f t="shared" si="207"/>
        <v>6.396047921646697</v>
      </c>
      <c r="T105" s="335">
        <f t="shared" si="208"/>
        <v>5.236927881538822</v>
      </c>
      <c r="U105" s="335">
        <f t="shared" si="209"/>
        <v>9.084083090618611</v>
      </c>
      <c r="W105" t="str">
        <f t="shared" si="246"/>
        <v>82 Transport and mobile machine drivers and operatives</v>
      </c>
      <c r="X105" s="335">
        <f t="shared" si="210"/>
        <v>6.1963681260481129</v>
      </c>
      <c r="Y105" s="335">
        <f t="shared" si="210"/>
        <v>0.13484455238210735</v>
      </c>
      <c r="Z105" s="335">
        <f t="shared" si="210"/>
        <v>4.0356111288127217</v>
      </c>
      <c r="AA105" s="335">
        <f t="shared" si="210"/>
        <v>3.0780009405022346</v>
      </c>
      <c r="AB105" s="335">
        <f t="shared" si="211"/>
        <v>3.1893082193367173</v>
      </c>
      <c r="AD105" s="335">
        <f t="shared" si="212"/>
        <v>3.3962209243955988</v>
      </c>
      <c r="AE105" s="335">
        <f t="shared" si="213"/>
        <v>4.4537678843552531</v>
      </c>
      <c r="AF105" s="335">
        <f t="shared" si="214"/>
        <v>6.5026640383321732</v>
      </c>
      <c r="AH105" t="str">
        <f t="shared" si="247"/>
        <v>82 Transport and mobile machine drivers and operatives</v>
      </c>
      <c r="AI105" s="335">
        <f t="shared" si="215"/>
        <v>6.4409892772420152</v>
      </c>
      <c r="AJ105" s="335">
        <f t="shared" si="215"/>
        <v>1.4087123035138482</v>
      </c>
      <c r="AK105" s="335">
        <f t="shared" si="215"/>
        <v>3.8178973090061685</v>
      </c>
      <c r="AL105" s="335">
        <f t="shared" si="215"/>
        <v>2.4286183282774765</v>
      </c>
      <c r="AM105" s="335">
        <f t="shared" si="216"/>
        <v>2.7964453549351731</v>
      </c>
      <c r="AO105" s="335">
        <f t="shared" si="217"/>
        <v>2.88963325395728</v>
      </c>
      <c r="AP105" s="335">
        <f t="shared" si="218"/>
        <v>4.2723325516328403</v>
      </c>
      <c r="AQ105" s="335">
        <f t="shared" si="219"/>
        <v>6.0281046544247152</v>
      </c>
      <c r="AS105" t="str">
        <f t="shared" si="248"/>
        <v>82 Transport and mobile machine drivers and operatives</v>
      </c>
      <c r="AT105" s="335">
        <f t="shared" si="220"/>
        <v>4.5742552211292642</v>
      </c>
      <c r="AU105" s="335">
        <f t="shared" si="220"/>
        <v>1.6136842452906475</v>
      </c>
      <c r="AV105" s="335">
        <f t="shared" si="220"/>
        <v>2.8317859695451641</v>
      </c>
      <c r="AW105" s="335">
        <f t="shared" si="220"/>
        <v>1.9900041335052299</v>
      </c>
      <c r="AX105" s="335">
        <f t="shared" si="221"/>
        <v>2.2286967001900138</v>
      </c>
      <c r="AZ105" s="335">
        <f t="shared" si="222"/>
        <v>2.2698296317704036</v>
      </c>
      <c r="BA105" s="335">
        <f t="shared" si="223"/>
        <v>4.1402756506256244</v>
      </c>
      <c r="BB105" s="335">
        <f t="shared" si="224"/>
        <v>5.5173822698392216</v>
      </c>
      <c r="BD105" t="str">
        <f t="shared" si="249"/>
        <v>82 Transport and mobile machine drivers and operatives</v>
      </c>
      <c r="BE105" s="335">
        <f t="shared" si="225"/>
        <v>3.0800673449303595</v>
      </c>
      <c r="BF105" s="335">
        <f t="shared" si="225"/>
        <v>-4.4903419204601169</v>
      </c>
      <c r="BG105" s="335">
        <f t="shared" si="225"/>
        <v>1.4095932680726175</v>
      </c>
      <c r="BH105" s="335">
        <f t="shared" si="225"/>
        <v>0.83097924142176982</v>
      </c>
      <c r="BI105" s="335">
        <f t="shared" si="226"/>
        <v>0.66972830536777828</v>
      </c>
      <c r="BK105" s="335">
        <f t="shared" si="227"/>
        <v>1.0234828274784391</v>
      </c>
      <c r="BL105" s="335">
        <f t="shared" si="228"/>
        <v>3.0025717583084921</v>
      </c>
      <c r="BM105" s="335">
        <f t="shared" si="229"/>
        <v>3.6960040205813227</v>
      </c>
      <c r="BO105" t="str">
        <f t="shared" si="250"/>
        <v>82 Transport and mobile machine drivers and operatives</v>
      </c>
      <c r="BP105" s="335">
        <f t="shared" si="230"/>
        <v>3.5169368898837705</v>
      </c>
      <c r="BQ105" s="335">
        <f t="shared" si="230"/>
        <v>-12.996816398846978</v>
      </c>
      <c r="BR105" s="335">
        <f t="shared" si="230"/>
        <v>1.0946269901759731</v>
      </c>
      <c r="BS105" s="335">
        <f t="shared" si="230"/>
        <v>-0.32624113314003722</v>
      </c>
      <c r="BT105" s="335">
        <f t="shared" si="231"/>
        <v>-0.73149244523679213</v>
      </c>
      <c r="BV105" s="335">
        <f t="shared" si="232"/>
        <v>0.14514870332089647</v>
      </c>
      <c r="BW105" s="335">
        <f t="shared" si="233"/>
        <v>3.0227706824740297</v>
      </c>
      <c r="BX105" s="335">
        <f t="shared" si="234"/>
        <v>3.1187837900853221</v>
      </c>
      <c r="BZ105" t="str">
        <f t="shared" si="251"/>
        <v>82 Transport and mobile machine drivers and operatives</v>
      </c>
      <c r="CA105" s="335">
        <f t="shared" si="235"/>
        <v>0.71497447357826704</v>
      </c>
      <c r="CB105" s="335">
        <f t="shared" si="235"/>
        <v>-14.572158355516141</v>
      </c>
      <c r="CC105" s="335">
        <f t="shared" si="235"/>
        <v>-1.4594865611463503</v>
      </c>
      <c r="CD105" s="335">
        <f t="shared" si="235"/>
        <v>-2.7466860450224617</v>
      </c>
      <c r="CE105" s="335">
        <f t="shared" si="236"/>
        <v>-3.1343377971818631</v>
      </c>
      <c r="CG105" s="335">
        <f t="shared" si="237"/>
        <v>-2.3194987274912204</v>
      </c>
      <c r="CH105" s="335">
        <f t="shared" si="238"/>
        <v>2.236285114465919</v>
      </c>
      <c r="CI105" s="335">
        <f t="shared" si="239"/>
        <v>0.61704831843476526</v>
      </c>
      <c r="CK105" t="str">
        <f t="shared" si="252"/>
        <v>82 Transport and mobile machine drivers and operatives</v>
      </c>
      <c r="CL105" s="335">
        <f t="shared" si="240"/>
        <v>1.9817338677888818</v>
      </c>
      <c r="CM105" s="335">
        <f t="shared" si="240"/>
        <v>-16.390107218660553</v>
      </c>
      <c r="CN105" s="335">
        <f t="shared" si="240"/>
        <v>-4.2708558167463</v>
      </c>
      <c r="CO105" s="335">
        <f t="shared" si="240"/>
        <v>-5.9900753212760227</v>
      </c>
      <c r="CP105" s="335">
        <f t="shared" si="241"/>
        <v>-6.1463915845905603</v>
      </c>
      <c r="CR105" s="335">
        <f t="shared" si="242"/>
        <v>-5.4204604729501282</v>
      </c>
      <c r="CS105" s="335">
        <f t="shared" si="243"/>
        <v>1.6284084989196757</v>
      </c>
      <c r="CT105" s="335">
        <f t="shared" si="244"/>
        <v>-2.2791164231230177</v>
      </c>
    </row>
    <row r="106" spans="1:98">
      <c r="A106" t="str">
        <f t="shared" si="199"/>
        <v>91 Elementary trades and related occupations</v>
      </c>
      <c r="B106" s="335">
        <f t="shared" si="200"/>
        <v>-0.76860666551068491</v>
      </c>
      <c r="C106" s="335">
        <f t="shared" si="200"/>
        <v>-6.4189474855584683</v>
      </c>
      <c r="D106" s="335">
        <f t="shared" si="200"/>
        <v>37.768822775243471</v>
      </c>
      <c r="E106" s="335">
        <f t="shared" si="200"/>
        <v>8.2288970000615755</v>
      </c>
      <c r="F106" s="335">
        <f t="shared" si="201"/>
        <v>15.650745507866336</v>
      </c>
      <c r="H106" s="335">
        <f t="shared" si="202"/>
        <v>17.294902181568329</v>
      </c>
      <c r="I106" s="335">
        <f t="shared" si="203"/>
        <v>12.110358344944849</v>
      </c>
      <c r="J106" s="335">
        <f t="shared" si="204"/>
        <v>20.047783036890078</v>
      </c>
      <c r="L106" t="str">
        <f t="shared" si="245"/>
        <v>91 Elementary trades and related occupations</v>
      </c>
      <c r="M106" s="335">
        <f t="shared" si="205"/>
        <v>4.8764898428537817</v>
      </c>
      <c r="N106" s="335">
        <f t="shared" si="205"/>
        <v>-17.655789617033236</v>
      </c>
      <c r="O106" s="335">
        <f t="shared" si="205"/>
        <v>20.358511690903992</v>
      </c>
      <c r="P106" s="335">
        <f t="shared" si="205"/>
        <v>7.9164479737205529</v>
      </c>
      <c r="Q106" s="335">
        <f t="shared" si="206"/>
        <v>9.7882458078183188</v>
      </c>
      <c r="S106" s="335">
        <f t="shared" si="207"/>
        <v>11.913900183936054</v>
      </c>
      <c r="T106" s="335">
        <f t="shared" si="208"/>
        <v>7.5339386800788777</v>
      </c>
      <c r="U106" s="335">
        <f t="shared" si="209"/>
        <v>14.257565707134322</v>
      </c>
      <c r="W106" t="str">
        <f t="shared" si="246"/>
        <v>91 Elementary trades and related occupations</v>
      </c>
      <c r="X106" s="335">
        <f t="shared" si="210"/>
        <v>-1.2930078916806309E-2</v>
      </c>
      <c r="Y106" s="335">
        <f t="shared" si="210"/>
        <v>-9.0398004761998116</v>
      </c>
      <c r="Z106" s="335">
        <f t="shared" si="210"/>
        <v>21.414844361077947</v>
      </c>
      <c r="AA106" s="335">
        <f t="shared" si="210"/>
        <v>4.1453776157453159</v>
      </c>
      <c r="AB106" s="335">
        <f t="shared" si="211"/>
        <v>8.3398289896534195</v>
      </c>
      <c r="AD106" s="335">
        <f t="shared" si="212"/>
        <v>9.6101053492160471</v>
      </c>
      <c r="AE106" s="335">
        <f t="shared" si="213"/>
        <v>7.5873092311873336</v>
      </c>
      <c r="AF106" s="335">
        <f t="shared" si="214"/>
        <v>12.632115854847648</v>
      </c>
      <c r="AH106" t="str">
        <f t="shared" si="247"/>
        <v>91 Elementary trades and related occupations</v>
      </c>
      <c r="AI106" s="335">
        <f t="shared" si="215"/>
        <v>0.34465247255728304</v>
      </c>
      <c r="AJ106" s="335">
        <f t="shared" si="215"/>
        <v>-10.361235285283533</v>
      </c>
      <c r="AK106" s="335">
        <f t="shared" si="215"/>
        <v>20.59630831171777</v>
      </c>
      <c r="AL106" s="335">
        <f t="shared" si="215"/>
        <v>4.5495188385570984</v>
      </c>
      <c r="AM106" s="335">
        <f t="shared" si="216"/>
        <v>8.2739908496882286</v>
      </c>
      <c r="AO106" s="335">
        <f t="shared" si="217"/>
        <v>9.6459757550901628</v>
      </c>
      <c r="AP106" s="335">
        <f t="shared" si="218"/>
        <v>7.6281687972409307</v>
      </c>
      <c r="AQ106" s="335">
        <f t="shared" si="219"/>
        <v>12.678121097638439</v>
      </c>
      <c r="AS106" t="str">
        <f t="shared" si="248"/>
        <v>91 Elementary trades and related occupations</v>
      </c>
      <c r="AT106" s="335">
        <f t="shared" si="220"/>
        <v>-0.57027704830292514</v>
      </c>
      <c r="AU106" s="335">
        <f t="shared" si="220"/>
        <v>1.62449388712127</v>
      </c>
      <c r="AV106" s="335">
        <f t="shared" si="220"/>
        <v>19.274645126465462</v>
      </c>
      <c r="AW106" s="335">
        <f t="shared" si="220"/>
        <v>3.6634873138730706</v>
      </c>
      <c r="AX106" s="335">
        <f t="shared" si="221"/>
        <v>8.1744823231636445</v>
      </c>
      <c r="AZ106" s="335">
        <f t="shared" si="222"/>
        <v>8.6258665945796231</v>
      </c>
      <c r="BA106" s="335">
        <f t="shared" si="223"/>
        <v>6.6375103140811298</v>
      </c>
      <c r="BB106" s="335">
        <f t="shared" si="224"/>
        <v>11.446404955263079</v>
      </c>
      <c r="BD106" t="str">
        <f t="shared" si="249"/>
        <v>91 Elementary trades and related occupations</v>
      </c>
      <c r="BE106" s="335">
        <f t="shared" si="225"/>
        <v>-2.464947142821905</v>
      </c>
      <c r="BF106" s="335">
        <f t="shared" si="225"/>
        <v>-7.060020203251149</v>
      </c>
      <c r="BG106" s="335">
        <f t="shared" si="225"/>
        <v>14.330677905982858</v>
      </c>
      <c r="BH106" s="335">
        <f t="shared" si="225"/>
        <v>2.8882775541048566</v>
      </c>
      <c r="BI106" s="335">
        <f t="shared" si="226"/>
        <v>5.6616077546962407</v>
      </c>
      <c r="BK106" s="335">
        <f t="shared" si="227"/>
        <v>6.5691554504659022</v>
      </c>
      <c r="BL106" s="335">
        <f t="shared" si="228"/>
        <v>4.6513333957948211</v>
      </c>
      <c r="BM106" s="335">
        <f t="shared" si="229"/>
        <v>8.8637005014547086</v>
      </c>
      <c r="BO106" t="str">
        <f t="shared" si="250"/>
        <v>91 Elementary trades and related occupations</v>
      </c>
      <c r="BP106" s="335">
        <f t="shared" si="230"/>
        <v>-2.8432781395991369</v>
      </c>
      <c r="BQ106" s="335">
        <f t="shared" si="230"/>
        <v>-10.757412948684886</v>
      </c>
      <c r="BR106" s="335">
        <f t="shared" si="230"/>
        <v>11.650318295079121</v>
      </c>
      <c r="BS106" s="335">
        <f t="shared" si="230"/>
        <v>0.62024932993391957</v>
      </c>
      <c r="BT106" s="335">
        <f t="shared" si="231"/>
        <v>3.1680844390110208</v>
      </c>
      <c r="BV106" s="335">
        <f t="shared" si="232"/>
        <v>4.1702199765315751</v>
      </c>
      <c r="BW106" s="335">
        <f t="shared" si="233"/>
        <v>3.6843613710441314</v>
      </c>
      <c r="BX106" s="335">
        <f t="shared" si="234"/>
        <v>6.4848083426271241</v>
      </c>
      <c r="BZ106" t="str">
        <f t="shared" si="251"/>
        <v>91 Elementary trades and related occupations</v>
      </c>
      <c r="CA106" s="335">
        <f t="shared" si="235"/>
        <v>-2.696117797743347</v>
      </c>
      <c r="CB106" s="335">
        <f t="shared" si="235"/>
        <v>-14.659125385475569</v>
      </c>
      <c r="CC106" s="335">
        <f t="shared" si="235"/>
        <v>10.499936488872574</v>
      </c>
      <c r="CD106" s="335">
        <f t="shared" si="235"/>
        <v>-1.1130324991825202</v>
      </c>
      <c r="CE106" s="335">
        <f t="shared" si="236"/>
        <v>1.4401455702858001</v>
      </c>
      <c r="CG106" s="335">
        <f t="shared" si="237"/>
        <v>2.6155983984314402</v>
      </c>
      <c r="CH106" s="335">
        <f t="shared" si="238"/>
        <v>3.3546814839545913</v>
      </c>
      <c r="CI106" s="335">
        <f t="shared" si="239"/>
        <v>5.1151911211378076</v>
      </c>
      <c r="CK106" t="str">
        <f t="shared" si="252"/>
        <v>91 Elementary trades and related occupations</v>
      </c>
      <c r="CL106" s="335">
        <f t="shared" si="240"/>
        <v>-4.1646755542132707</v>
      </c>
      <c r="CM106" s="335">
        <f t="shared" si="240"/>
        <v>-13.623928429658294</v>
      </c>
      <c r="CN106" s="335">
        <f t="shared" si="240"/>
        <v>9.6966095594952293</v>
      </c>
      <c r="CO106" s="335">
        <f t="shared" si="240"/>
        <v>-1.1726851797434046</v>
      </c>
      <c r="CP106" s="335">
        <f t="shared" si="241"/>
        <v>1.2472157724119581</v>
      </c>
      <c r="CR106" s="335">
        <f t="shared" si="242"/>
        <v>2.3251520504210754</v>
      </c>
      <c r="CS106" s="335">
        <f t="shared" si="243"/>
        <v>2.745929743047304</v>
      </c>
      <c r="CT106" s="335">
        <f t="shared" si="244"/>
        <v>4.419300951142624</v>
      </c>
    </row>
    <row r="107" spans="1:98">
      <c r="A107" t="str">
        <f t="shared" si="199"/>
        <v>92 Elementary administration and service occupations</v>
      </c>
      <c r="B107" s="335">
        <f t="shared" si="200"/>
        <v>6.3318991469036856</v>
      </c>
      <c r="C107" s="335">
        <f t="shared" si="200"/>
        <v>-1.4655490385164116</v>
      </c>
      <c r="D107" s="335">
        <f t="shared" si="200"/>
        <v>5.1493080681124015</v>
      </c>
      <c r="E107" s="335">
        <f t="shared" si="200"/>
        <v>4.0558445516979846</v>
      </c>
      <c r="F107" s="335">
        <f t="shared" si="201"/>
        <v>4.0411901001478068</v>
      </c>
      <c r="H107" s="335">
        <f t="shared" si="202"/>
        <v>4.419063060667594</v>
      </c>
      <c r="I107" s="335">
        <f t="shared" si="203"/>
        <v>4.1267956019970464</v>
      </c>
      <c r="J107" s="335">
        <f t="shared" si="204"/>
        <v>6.969041786204544</v>
      </c>
      <c r="L107" t="str">
        <f t="shared" ref="L107" si="253">A107</f>
        <v>92 Elementary administration and service occupations</v>
      </c>
      <c r="M107" s="335">
        <f t="shared" si="205"/>
        <v>8.6025405803063606</v>
      </c>
      <c r="N107" s="335">
        <f t="shared" si="205"/>
        <v>3.2669006436871539</v>
      </c>
      <c r="O107" s="335">
        <f t="shared" si="205"/>
        <v>6.6149200998256497</v>
      </c>
      <c r="P107" s="335">
        <f t="shared" si="205"/>
        <v>5.78593443051858</v>
      </c>
      <c r="Q107" s="335">
        <f t="shared" si="206"/>
        <v>5.884684307810395</v>
      </c>
      <c r="S107" s="335">
        <f t="shared" si="207"/>
        <v>6.0615443019051751</v>
      </c>
      <c r="T107" s="335">
        <f t="shared" si="208"/>
        <v>4.6915943283516004</v>
      </c>
      <c r="U107" s="335">
        <f t="shared" si="209"/>
        <v>8.5148078810938888</v>
      </c>
      <c r="W107" t="str">
        <f t="shared" ref="W107" si="254">A107</f>
        <v>92 Elementary administration and service occupations</v>
      </c>
      <c r="X107" s="335">
        <f t="shared" si="210"/>
        <v>4.3667762878170313</v>
      </c>
      <c r="Y107" s="335">
        <f t="shared" si="210"/>
        <v>3.3404046217148764</v>
      </c>
      <c r="Z107" s="335">
        <f t="shared" si="210"/>
        <v>1.4911230287015353</v>
      </c>
      <c r="AA107" s="335">
        <f t="shared" si="210"/>
        <v>2.3185277713693386</v>
      </c>
      <c r="AB107" s="335">
        <f t="shared" si="211"/>
        <v>2.1226508865124227</v>
      </c>
      <c r="AD107" s="335">
        <f t="shared" si="212"/>
        <v>2.0419794039670425</v>
      </c>
      <c r="AE107" s="335">
        <f t="shared" si="213"/>
        <v>3.8377652408092544</v>
      </c>
      <c r="AF107" s="335">
        <f t="shared" si="214"/>
        <v>5.1153837066930441</v>
      </c>
      <c r="AH107" t="str">
        <f t="shared" ref="AH107" si="255">L107</f>
        <v>92 Elementary administration and service occupations</v>
      </c>
      <c r="AI107" s="335">
        <f t="shared" si="215"/>
        <v>4.5444799820607784</v>
      </c>
      <c r="AJ107" s="335">
        <f t="shared" si="215"/>
        <v>4.849055095776067</v>
      </c>
      <c r="AK107" s="335">
        <f t="shared" si="215"/>
        <v>0.92960125835088725</v>
      </c>
      <c r="AL107" s="335">
        <f t="shared" si="215"/>
        <v>2.4175652305601369</v>
      </c>
      <c r="AM107" s="335">
        <f t="shared" si="216"/>
        <v>2.099851693156185</v>
      </c>
      <c r="AO107" s="335">
        <f t="shared" si="217"/>
        <v>1.9191556912641072</v>
      </c>
      <c r="AP107" s="335">
        <f t="shared" si="218"/>
        <v>3.6321099826369885</v>
      </c>
      <c r="AQ107" s="335">
        <f t="shared" si="219"/>
        <v>4.8597749194349671</v>
      </c>
      <c r="AS107" t="str">
        <f t="shared" ref="AS107" si="256">W107</f>
        <v>92 Elementary administration and service occupations</v>
      </c>
      <c r="AT107" s="335">
        <f t="shared" si="220"/>
        <v>2.8641829181798917</v>
      </c>
      <c r="AU107" s="335">
        <f t="shared" si="220"/>
        <v>8.6723966306729405</v>
      </c>
      <c r="AV107" s="335">
        <f t="shared" si="220"/>
        <v>0.44510932575962947</v>
      </c>
      <c r="AW107" s="335">
        <f t="shared" si="220"/>
        <v>2.4320081212844347</v>
      </c>
      <c r="AX107" s="335">
        <f t="shared" si="221"/>
        <v>2.1839074472046693</v>
      </c>
      <c r="AZ107" s="335">
        <f t="shared" si="222"/>
        <v>1.7653795080824874</v>
      </c>
      <c r="BA107" s="335">
        <f t="shared" si="223"/>
        <v>3.5314738453466887</v>
      </c>
      <c r="BB107" s="335">
        <f t="shared" si="224"/>
        <v>4.6704595304930763</v>
      </c>
      <c r="BD107" t="str">
        <f t="shared" ref="BD107" si="257">AH107</f>
        <v>92 Elementary administration and service occupations</v>
      </c>
      <c r="BE107" s="335">
        <f t="shared" si="225"/>
        <v>-0.59101116869297865</v>
      </c>
      <c r="BF107" s="335">
        <f t="shared" si="225"/>
        <v>-3.9584105404648184</v>
      </c>
      <c r="BG107" s="335">
        <f t="shared" si="225"/>
        <v>-3.1644155064252999</v>
      </c>
      <c r="BH107" s="335">
        <f t="shared" si="225"/>
        <v>-0.64990621762754941</v>
      </c>
      <c r="BI107" s="335">
        <f t="shared" si="226"/>
        <v>-1.6510301550607065</v>
      </c>
      <c r="BK107" s="335">
        <f t="shared" si="227"/>
        <v>-1.4952483598062449</v>
      </c>
      <c r="BL107" s="335">
        <f t="shared" si="228"/>
        <v>2.3549024024972276</v>
      </c>
      <c r="BM107" s="335">
        <f t="shared" si="229"/>
        <v>1.3099896004998168</v>
      </c>
      <c r="BO107" t="str">
        <f t="shared" ref="BO107" si="258">AS107</f>
        <v>92 Elementary administration and service occupations</v>
      </c>
      <c r="BP107" s="335">
        <f t="shared" si="230"/>
        <v>1.0214508904006436</v>
      </c>
      <c r="BQ107" s="335">
        <f t="shared" si="230"/>
        <v>-11.458098884181977</v>
      </c>
      <c r="BR107" s="335">
        <f t="shared" si="230"/>
        <v>-1.5563606638710259</v>
      </c>
      <c r="BS107" s="335">
        <f t="shared" si="230"/>
        <v>-1.535262163206319</v>
      </c>
      <c r="BT107" s="335">
        <f t="shared" si="231"/>
        <v>-2.1933459096075913</v>
      </c>
      <c r="BV107" s="335">
        <f t="shared" si="232"/>
        <v>-1.5422954991404225</v>
      </c>
      <c r="BW107" s="335">
        <f t="shared" si="233"/>
        <v>2.3672327566945706</v>
      </c>
      <c r="BX107" s="335">
        <f t="shared" si="234"/>
        <v>1.2925675831578998</v>
      </c>
      <c r="BZ107" t="str">
        <f t="shared" ref="BZ107" si="259">BD107</f>
        <v>92 Elementary administration and service occupations</v>
      </c>
      <c r="CA107" s="335">
        <f t="shared" si="235"/>
        <v>0.3785949279186962</v>
      </c>
      <c r="CB107" s="335">
        <f t="shared" si="235"/>
        <v>-12.178279699336613</v>
      </c>
      <c r="CC107" s="335">
        <f t="shared" si="235"/>
        <v>-2.7371954294580614</v>
      </c>
      <c r="CD107" s="335">
        <f t="shared" si="235"/>
        <v>-3.8705965717982016</v>
      </c>
      <c r="CE107" s="335">
        <f t="shared" si="236"/>
        <v>-4.0613402708934103</v>
      </c>
      <c r="CG107" s="335">
        <f t="shared" si="237"/>
        <v>-3.4942713430240691</v>
      </c>
      <c r="CH107" s="335">
        <f t="shared" si="238"/>
        <v>1.8235845651650484</v>
      </c>
      <c r="CI107" s="335">
        <f t="shared" si="239"/>
        <v>-0.71533359735326263</v>
      </c>
      <c r="CK107" t="str">
        <f t="shared" ref="CK107" si="260">BO107</f>
        <v>92 Elementary administration and service occupations</v>
      </c>
      <c r="CL107" s="335">
        <f t="shared" si="240"/>
        <v>-5.7930802464246316</v>
      </c>
      <c r="CM107" s="335">
        <f t="shared" si="240"/>
        <v>-20.907876157998363</v>
      </c>
      <c r="CN107" s="335">
        <f t="shared" si="240"/>
        <v>-9.3790465164918508</v>
      </c>
      <c r="CO107" s="335">
        <f t="shared" si="240"/>
        <v>-4.7246444944911259</v>
      </c>
      <c r="CP107" s="335">
        <f t="shared" si="241"/>
        <v>-7.2892414106001446</v>
      </c>
      <c r="CR107" s="335">
        <f t="shared" si="242"/>
        <v>-6.3020848187296474</v>
      </c>
      <c r="CS107" s="335">
        <f t="shared" si="243"/>
        <v>0.97712659057056506</v>
      </c>
      <c r="CT107" s="335">
        <f t="shared" si="244"/>
        <v>-4.0998434161124813</v>
      </c>
    </row>
    <row r="108" spans="1:98">
      <c r="B108" s="335"/>
      <c r="C108" s="335"/>
      <c r="D108" s="335"/>
      <c r="E108" s="335"/>
      <c r="F108" s="335"/>
      <c r="H108" s="335"/>
      <c r="I108" s="335"/>
      <c r="J108" s="335"/>
      <c r="M108" s="335"/>
      <c r="N108" s="335"/>
      <c r="O108" s="335"/>
      <c r="P108" s="335"/>
      <c r="Q108" s="335"/>
      <c r="S108" s="335"/>
      <c r="T108" s="335"/>
      <c r="U108" s="335"/>
      <c r="X108" s="335"/>
      <c r="Y108" s="335"/>
      <c r="Z108" s="335"/>
      <c r="AA108" s="335"/>
      <c r="AB108" s="335"/>
      <c r="AD108" s="335"/>
      <c r="AE108" s="335"/>
      <c r="AF108" s="335"/>
      <c r="AI108" s="335"/>
      <c r="AJ108" s="335"/>
      <c r="AK108" s="335"/>
      <c r="AL108" s="335"/>
      <c r="AM108" s="335"/>
      <c r="AO108" s="335"/>
      <c r="AP108" s="335"/>
      <c r="AQ108" s="335"/>
      <c r="AT108" s="335"/>
      <c r="AU108" s="335"/>
      <c r="AV108" s="335"/>
      <c r="AW108" s="335"/>
      <c r="AX108" s="335"/>
      <c r="AZ108" s="335"/>
      <c r="BA108" s="335"/>
      <c r="BB108" s="335"/>
      <c r="BE108" s="335"/>
      <c r="BF108" s="335"/>
      <c r="BG108" s="335"/>
      <c r="BH108" s="335"/>
      <c r="BI108" s="335"/>
      <c r="BK108" s="335"/>
      <c r="BL108" s="335"/>
      <c r="BM108" s="335"/>
      <c r="BP108" s="335"/>
      <c r="BQ108" s="335"/>
      <c r="BR108" s="335"/>
      <c r="BS108" s="335"/>
      <c r="BT108" s="335"/>
      <c r="BV108" s="335"/>
      <c r="BW108" s="335"/>
      <c r="BX108" s="335"/>
      <c r="CA108" s="335"/>
      <c r="CB108" s="335"/>
      <c r="CC108" s="335"/>
      <c r="CD108" s="335"/>
      <c r="CE108" s="335"/>
      <c r="CG108" s="335"/>
      <c r="CH108" s="335"/>
      <c r="CI108" s="335"/>
      <c r="CL108" s="335"/>
      <c r="CM108" s="335"/>
      <c r="CN108" s="335"/>
      <c r="CO108" s="335"/>
      <c r="CP108" s="335"/>
      <c r="CR108" s="335"/>
      <c r="CS108" s="335"/>
      <c r="CT108" s="335"/>
    </row>
    <row r="109" spans="1:98">
      <c r="A109" s="21" t="str">
        <f>A35</f>
        <v>All occupations</v>
      </c>
      <c r="B109" s="336">
        <f>IF(AND(C$6-B$6 &lt;&gt; 0,B35&lt;&gt;0,C35&lt;&gt;0),(EXP(LN(C35/B35)/(C$6-B$6))-1)*100,0)</f>
        <v>6.5664272878815266</v>
      </c>
      <c r="C109" s="336">
        <f>IF(AND(D$6-C$6 &lt;&gt; 0,C35&lt;&gt;0,D35&lt;&gt;0),(EXP(LN(D35/C35)/(D$6-C$6))-1)*100,0)</f>
        <v>2.9287959763828697</v>
      </c>
      <c r="D109" s="336">
        <f>IF(AND(E$6-D$6 &lt;&gt; 0,D35&lt;&gt;0,E35&lt;&gt;0),(EXP(LN(E35/D35)/(E$6-D$6))-1)*100,0)</f>
        <v>5.0846937918852753</v>
      </c>
      <c r="E109" s="336">
        <f>IF(AND(F$6-E$6 &lt;&gt; 0,E35&lt;&gt;0,F35&lt;&gt;0),(EXP(LN(F35/E35)/(F$6-E$6))-1)*100,0)</f>
        <v>3.3836842633473641</v>
      </c>
      <c r="F109" s="336">
        <f>IF(AND(F$6-C$6 &lt;&gt; 0,C35&lt;&gt;0,F35&lt;&gt;0),(EXP(LN(F35/C35)/(F$6-C$6))-1)*100,0)</f>
        <v>3.8836358252290815</v>
      </c>
      <c r="H109" s="336">
        <f>IF($F$6-$D$6 &lt;&gt; 0,(EXP(LN(1+(H72/100))/($F$6-$D$6))-1)*100,0)</f>
        <v>3.947605853026892</v>
      </c>
      <c r="I109" s="336">
        <f>IF(D35&gt;0,((1+(I35/D35))^(1/($F$6-$D$6))-1)*100,0)</f>
        <v>3.5474491507063499</v>
      </c>
      <c r="J109" s="336">
        <f>IF($F$6-$D$6 &lt;&gt; 0,(EXP(LN(1+(J72/100))/($F$6-$D$6))-1)*100,0)</f>
        <v>6.2258033976320792</v>
      </c>
      <c r="L109" s="21" t="str">
        <f>L35</f>
        <v>All occupations</v>
      </c>
      <c r="M109" s="336">
        <f>IF(AND(N$6-M$6 &lt;&gt; 0,M35&lt;&gt;0,N35&lt;&gt;0),(EXP(LN(N35/M35)/(N$6-M$6))-1)*100,0)</f>
        <v>6.9438028850268063</v>
      </c>
      <c r="N109" s="336">
        <f>IF(AND(O$6-N$6 &lt;&gt; 0,N35&lt;&gt;0,O35&lt;&gt;0),(EXP(LN(O35/N35)/(O$6-N$6))-1)*100,0)</f>
        <v>4.5187773305750856</v>
      </c>
      <c r="O109" s="336">
        <f>IF(AND(P$6-O$6 &lt;&gt; 0,O35&lt;&gt;0,P35&lt;&gt;0),(EXP(LN(P35/O35)/(P$6-O$6))-1)*100,0)</f>
        <v>5.0705546987109829</v>
      </c>
      <c r="P109" s="336">
        <f>IF(AND(Q$6-P$6 &lt;&gt; 0,P35&lt;&gt;0,Q35&lt;&gt;0),(EXP(LN(Q35/P35)/(Q$6-P$6))-1)*100,0)</f>
        <v>3.4816718171529981</v>
      </c>
      <c r="Q109" s="336">
        <f>IF(AND(Q$6-N$6 &lt;&gt; 0,N35&lt;&gt;0,Q35&lt;&gt;0),(EXP(LN(Q35/N35)/(Q$6-N$6))-1)*100,0)</f>
        <v>4.0404239295944944</v>
      </c>
      <c r="S109" s="336">
        <f t="shared" ref="S109" si="261">IF($F$6-$D$6 &lt;&gt; 0,(EXP(LN(1+(S72/100))/($F$6-$D$6))-1)*100,0)</f>
        <v>4.0086116553876838</v>
      </c>
      <c r="T109" s="336">
        <f t="shared" ref="T109" si="262">IF(O35&gt;0,((1+(T35/O35))^(1/($F$6-$D$6))-1)*100,0)</f>
        <v>3.6950293982475291</v>
      </c>
      <c r="U109" s="336">
        <f t="shared" ref="U109" si="263">IF($F$6-$D$6 &lt;&gt; 0,(EXP(LN(1+(U72/100))/($F$6-$D$6))-1)*100,0)</f>
        <v>6.373826772393465</v>
      </c>
      <c r="W109" s="21" t="str">
        <f>W35</f>
        <v>All occupations</v>
      </c>
      <c r="X109" s="336">
        <f>IF(AND(Y$6-X$6 &lt;&gt; 0,X35&lt;&gt;0,Y35&lt;&gt;0),(EXP(LN(Y35/X35)/(Y$6-X$6))-1)*100,0)</f>
        <v>2.2650065258756014</v>
      </c>
      <c r="Y109" s="336">
        <f>IF(AND(Z$6-Y$6 &lt;&gt; 0,Y35&lt;&gt;0,Z35&lt;&gt;0),(EXP(LN(Z35/Y35)/(Z$6-Y$6))-1)*100,0)</f>
        <v>4.6499424223964247</v>
      </c>
      <c r="Z109" s="336">
        <f>IF(AND(AA$6-Z$6 &lt;&gt; 0,Z35&lt;&gt;0,AA35&lt;&gt;0),(EXP(LN(AA35/Z35)/(AA$6-Z$6))-1)*100,0)</f>
        <v>1.206391714009647</v>
      </c>
      <c r="AA109" s="336">
        <f>IF(AND(AB$6-AA$6 &lt;&gt; 0,AA35&lt;&gt;0,AB35&lt;&gt;0),(EXP(LN(AB35/AA35)/(AB$6-AA$6))-1)*100,0)</f>
        <v>1.1402436103482572</v>
      </c>
      <c r="AB109" s="336">
        <f>IF(AND(AB$6-Y$6 &lt;&gt; 0,Y35&lt;&gt;0,AB35&lt;&gt;0),(EXP(LN(AB35/Y35)/(AB$6-Y$6))-1)*100,0)</f>
        <v>1.3768204142552642</v>
      </c>
      <c r="AD109" s="336">
        <f t="shared" ref="AD109" si="264">IF($F$6-$D$6 &lt;&gt; 0,(EXP(LN(1+(AD72/100))/($F$6-$D$6))-1)*100,0)</f>
        <v>1.1622881730457557</v>
      </c>
      <c r="AE109" s="336">
        <f t="shared" ref="AE109" si="265">IF(Z35&gt;0,((1+(AE35/Z35))^(1/($F$6-$D$6))-1)*100,0)</f>
        <v>3.192343288337951</v>
      </c>
      <c r="AF109" s="336">
        <f t="shared" ref="AF109" si="266">IF($F$6-$D$6 &lt;&gt; 0,(EXP(LN(1+(AF72/100))/($F$6-$D$6))-1)*100,0)</f>
        <v>3.9633644362440545</v>
      </c>
      <c r="AH109" s="21" t="str">
        <f>AH35</f>
        <v>All occupations</v>
      </c>
      <c r="AI109" s="336">
        <f>IF(AND(AJ$6-AI$6 &lt;&gt; 0,AI35&lt;&gt;0,AJ35&lt;&gt;0),(EXP(LN(AJ35/AI35)/(AJ$6-AI$6))-1)*100,0)</f>
        <v>-3.9826319373048591E-3</v>
      </c>
      <c r="AJ109" s="336">
        <f>IF(AND(AK$6-AJ$6 &lt;&gt; 0,AJ35&lt;&gt;0,AK35&lt;&gt;0),(EXP(LN(AK35/AJ35)/(AK$6-AJ$6))-1)*100,0)</f>
        <v>4.3707746426555616</v>
      </c>
      <c r="AK109" s="336">
        <f>IF(AND(AL$6-AK$6 &lt;&gt; 0,AK35&lt;&gt;0,AL35&lt;&gt;0),(EXP(LN(AL35/AK35)/(AL$6-AK$6))-1)*100,0)</f>
        <v>-2.9880271484272747E-2</v>
      </c>
      <c r="AL109" s="336">
        <f>IF(AND(AM$6-AL$6 &lt;&gt; 0,AL35&lt;&gt;0,AM35&lt;&gt;0),(EXP(LN(AM35/AL35)/(AM$6-AL$6))-1)*100,0)</f>
        <v>0.93037163793898703</v>
      </c>
      <c r="AM109" s="336">
        <f>IF(AND(AM$6-AJ$6 &lt;&gt; 0,AJ35&lt;&gt;0,AM35&lt;&gt;0),(EXP(LN(AM35/AJ35)/(AM$6-AJ$6))-1)*100,0)</f>
        <v>0.8403381276738342</v>
      </c>
      <c r="AO109" s="336">
        <f t="shared" ref="AO109" si="267">IF($F$6-$D$6 &lt;&gt; 0,(EXP(LN(1+(AO72/100))/($F$6-$D$6))-1)*100,0)</f>
        <v>0.60926717519051987</v>
      </c>
      <c r="AP109" s="336">
        <f t="shared" ref="AP109" si="268">IF(AK35&gt;0,((1+(AP35/AK35))^(1/($F$6-$D$6))-1)*100,0)</f>
        <v>3.000131981013876</v>
      </c>
      <c r="AQ109" s="336">
        <f t="shared" ref="AQ109" si="269">IF($F$6-$D$6 &lt;&gt; 0,(EXP(LN(1+(AQ72/100))/($F$6-$D$6))-1)*100,0)</f>
        <v>3.4090033218192817</v>
      </c>
      <c r="AS109" s="21" t="str">
        <f>AS35</f>
        <v>All occupations</v>
      </c>
      <c r="AT109" s="336">
        <f>IF(AND(AU$6-AT$6 &lt;&gt; 0,AT35&lt;&gt;0,AU35&lt;&gt;0),(EXP(LN(AU35/AT35)/(AU$6-AT$6))-1)*100,0)</f>
        <v>1.6468220138965872</v>
      </c>
      <c r="AU109" s="336">
        <f>IF(AND(AV$6-AU$6 &lt;&gt; 0,AU35&lt;&gt;0,AV35&lt;&gt;0),(EXP(LN(AV35/AU35)/(AV$6-AU$6))-1)*100,0)</f>
        <v>5.2212692418343032</v>
      </c>
      <c r="AV109" s="336">
        <f>IF(AND(AW$6-AV$6 &lt;&gt; 0,AV35&lt;&gt;0,AW35&lt;&gt;0),(EXP(LN(AW35/AV35)/(AW$6-AV$6))-1)*100,0)</f>
        <v>0.82216815300981683</v>
      </c>
      <c r="AW109" s="336">
        <f>IF(AND(AX$6-AW$6 &lt;&gt; 0,AW35&lt;&gt;0,AX35&lt;&gt;0),(EXP(LN(AX35/AW35)/(AX$6-AW$6))-1)*100,0)</f>
        <v>1.2510200406947058</v>
      </c>
      <c r="AX109" s="336">
        <f>IF(AND(AX$6-AU$6 &lt;&gt; 0,AU35&lt;&gt;0,AX35&lt;&gt;0),(EXP(LN(AX35/AU35)/(AX$6-AU$6))-1)*100,0)</f>
        <v>1.3601770946993774</v>
      </c>
      <c r="AZ109" s="336">
        <f t="shared" ref="AZ109" si="270">IF($F$6-$D$6 &lt;&gt; 0,(EXP(LN(1+(AZ72/100))/($F$6-$D$6))-1)*100,0)</f>
        <v>1.1078671112489946</v>
      </c>
      <c r="BA109" s="336">
        <f t="shared" ref="BA109" si="271">IF(AV35&gt;0,((1+(BA35/AV35))^(1/($F$6-$D$6))-1)*100,0)</f>
        <v>3.0645131125476066</v>
      </c>
      <c r="BB109" s="336">
        <f t="shared" ref="BB109" si="272">IF($F$6-$D$6 &lt;&gt; 0,(EXP(LN(1+(BB72/100))/($F$6-$D$6))-1)*100,0)</f>
        <v>3.8106293750825859</v>
      </c>
      <c r="BD109" s="21" t="str">
        <f>BD35</f>
        <v>All occupations</v>
      </c>
      <c r="BE109" s="336">
        <f>IF(AND(BF$6-BE$6 &lt;&gt; 0,BE35&lt;&gt;0,BF35&lt;&gt;0),(EXP(LN(BF35/BE35)/(BF$6-BE$6))-1)*100,0)</f>
        <v>0.84738367190446695</v>
      </c>
      <c r="BF109" s="336">
        <f>IF(AND(BG$6-BF$6 &lt;&gt; 0,BF35&lt;&gt;0,BG35&lt;&gt;0),(EXP(LN(BG35/BF35)/(BG$6-BF$6))-1)*100,0)</f>
        <v>0.17050321593494733</v>
      </c>
      <c r="BG109" s="336">
        <f>IF(AND(BH$6-BG$6 &lt;&gt; 0,BG35&lt;&gt;0,BH35&lt;&gt;0),(EXP(LN(BH35/BG35)/(BH$6-BG$6))-1)*100,0)</f>
        <v>-0.105871397906665</v>
      </c>
      <c r="BH109" s="336">
        <f>IF(AND(BI$6-BH$6 &lt;&gt; 0,BH35&lt;&gt;0,BI35&lt;&gt;0),(EXP(LN(BI35/BH35)/(BI$6-BH$6))-1)*100,0)</f>
        <v>1.5380705209921963E-2</v>
      </c>
      <c r="BI109" s="336">
        <f>IF(AND(BI$6-BF$6 &lt;&gt; 0,BF35&lt;&gt;0,BI35&lt;&gt;0),(EXP(LN(BI35/BF35)/(BI$6-BF$6))-1)*100,0)</f>
        <v>-1.2841935169816132E-2</v>
      </c>
      <c r="BK109" s="336">
        <f t="shared" ref="BK109" si="273">IF($F$6-$D$6 &lt;&gt; 0,(EXP(LN(1+(BK72/100))/($F$6-$D$6))-1)*100,0)</f>
        <v>-2.5053006629149888E-2</v>
      </c>
      <c r="BL109" s="336">
        <f t="shared" ref="BL109" si="274">IF(BG35&gt;0,((1+(BL35/BG35))^(1/($F$6-$D$6))-1)*100,0)</f>
        <v>2.5154316093494167</v>
      </c>
      <c r="BM109" s="336">
        <f t="shared" ref="BM109" si="275">IF($F$6-$D$6 &lt;&gt; 0,(EXP(LN(1+(BM72/100))/($F$6-$D$6))-1)*100,0)</f>
        <v>2.4977479031140781</v>
      </c>
      <c r="BO109" s="21" t="str">
        <f>BO35</f>
        <v>All occupations</v>
      </c>
      <c r="BP109" s="336">
        <f>IF(AND(BQ$6-BP$6 &lt;&gt; 0,BP35&lt;&gt;0,BQ35&lt;&gt;0),(EXP(LN(BQ35/BP35)/(BQ$6-BP$6))-1)*100,0)</f>
        <v>0.21168132727666933</v>
      </c>
      <c r="BQ109" s="336">
        <f>IF(AND(BR$6-BQ$6 &lt;&gt; 0,BQ35&lt;&gt;0,BR35&lt;&gt;0),(EXP(LN(BR35/BQ35)/(BR$6-BQ$6))-1)*100,0)</f>
        <v>-7.4425968692602424</v>
      </c>
      <c r="BR109" s="336">
        <f>IF(AND(BS$6-BR$6 &lt;&gt; 0,BR35&lt;&gt;0,BS35&lt;&gt;0),(EXP(LN(BS35/BR35)/(BS$6-BR$6))-1)*100,0)</f>
        <v>-0.74539927715892018</v>
      </c>
      <c r="BS109" s="336">
        <f>IF(AND(BT$6-BS$6 &lt;&gt; 0,BS35&lt;&gt;0,BT35&lt;&gt;0),(EXP(LN(BT35/BS35)/(BT$6-BS$6))-1)*100,0)</f>
        <v>-1.820847695426131</v>
      </c>
      <c r="BT109" s="336">
        <f>IF(AND(BT$6-BQ$6 &lt;&gt; 0,BQ35&lt;&gt;0,BT35&lt;&gt;0),(EXP(LN(BT35/BQ35)/(BT$6-BQ$6))-1)*100,0)</f>
        <v>-1.8484135963227399</v>
      </c>
      <c r="BV109" s="336">
        <f t="shared" ref="BV109" si="276">IF($F$6-$D$6 &lt;&gt; 0,(EXP(LN(1+(BV72/100))/($F$6-$D$6))-1)*100,0)</f>
        <v>-1.4636659144008912</v>
      </c>
      <c r="BW109" s="336">
        <f t="shared" ref="BW109" si="277">IF(BR35&gt;0,((1+(BW35/BR35))^(1/($F$6-$D$6))-1)*100,0)</f>
        <v>2.3220130450204213</v>
      </c>
      <c r="BX109" s="336">
        <f t="shared" ref="BX109" si="278">IF($F$6-$D$6 &lt;&gt; 0,(EXP(LN(1+(BX72/100))/($F$6-$D$6))-1)*100,0)</f>
        <v>1.2934499814005518</v>
      </c>
      <c r="BZ109" s="21" t="str">
        <f>BZ35</f>
        <v>All occupations</v>
      </c>
      <c r="CA109" s="336">
        <f>IF(AND(CB$6-CA$6 &lt;&gt; 0,CA35&lt;&gt;0,CB35&lt;&gt;0),(EXP(LN(CB35/CA35)/(CB$6-CA$6))-1)*100,0)</f>
        <v>-0.794041056540018</v>
      </c>
      <c r="CB109" s="336">
        <f>IF(AND(CC$6-CB$6 &lt;&gt; 0,CB35&lt;&gt;0,CC35&lt;&gt;0),(EXP(LN(CC35/CB35)/(CC$6-CB$6))-1)*100,0)</f>
        <v>-9.4465497397287823</v>
      </c>
      <c r="CC109" s="336">
        <f>IF(AND(CD$6-CC$6 &lt;&gt; 0,CC35&lt;&gt;0,CD35&lt;&gt;0),(EXP(LN(CD35/CC35)/(CD$6-CC$6))-1)*100,0)</f>
        <v>-2.0900413940599161</v>
      </c>
      <c r="CD109" s="336">
        <f>IF(AND(CE$6-CD$6 &lt;&gt; 0,CD35&lt;&gt;0,CE35&lt;&gt;0),(EXP(LN(CE35/CD35)/(CE$6-CD$6))-1)*100,0)</f>
        <v>-4.0192495874224354</v>
      </c>
      <c r="CE109" s="336">
        <f>IF(AND(CE$6-CB$6 &lt;&gt; 0,CB35&lt;&gt;0,CE35&lt;&gt;0),(EXP(LN(CE35/CB35)/(CE$6-CB$6))-1)*100,0)</f>
        <v>-3.7712051632080579</v>
      </c>
      <c r="CG109" s="336">
        <f t="shared" ref="CG109" si="279">IF($F$6-$D$6 &lt;&gt; 0,(EXP(LN(1+(CG72/100))/($F$6-$D$6))-1)*100,0)</f>
        <v>-3.3804412669577788</v>
      </c>
      <c r="CH109" s="336">
        <f t="shared" ref="CH109" si="280">IF(CC35&gt;0,((1+(CH35/CC35))^(1/($F$6-$D$6))-1)*100,0)</f>
        <v>1.8356097190358467</v>
      </c>
      <c r="CI109" s="336">
        <f t="shared" ref="CI109" si="281">IF($F$6-$D$6 &lt;&gt; 0,(EXP(LN(1+(CI72/100))/($F$6-$D$6))-1)*100,0)</f>
        <v>-0.62168303262308822</v>
      </c>
      <c r="CK109" s="21" t="str">
        <f>CK35</f>
        <v>All occupations</v>
      </c>
      <c r="CL109" s="336">
        <f>IF(AND(CM$6-CL$6 &lt;&gt; 0,CL35&lt;&gt;0,CM35&lt;&gt;0),(EXP(LN(CM35/CL35)/(CM$6-CL$6))-1)*100,0)</f>
        <v>-2.6627944505365653</v>
      </c>
      <c r="CM109" s="336">
        <f>IF(AND(CN$6-CM$6 &lt;&gt; 0,CM35&lt;&gt;0,CN35&lt;&gt;0),(EXP(LN(CN35/CM35)/(CN$6-CM$6))-1)*100,0)</f>
        <v>-14.6228882731121</v>
      </c>
      <c r="CN109" s="336">
        <f>IF(AND(CO$6-CN$6 &lt;&gt; 0,CN35&lt;&gt;0,CO35&lt;&gt;0),(EXP(LN(CO35/CN35)/(CO$6-CN$6))-1)*100,0)</f>
        <v>-3.8371225706028356</v>
      </c>
      <c r="CO109" s="336">
        <f>IF(AND(CP$6-CO$6 &lt;&gt; 0,CO35&lt;&gt;0,CP35&lt;&gt;0),(EXP(LN(CP35/CO35)/(CP$6-CO$6))-1)*100,0)</f>
        <v>-2.9555109219178366</v>
      </c>
      <c r="CP109" s="336">
        <f>IF(AND(CP$6-CM$6 &lt;&gt; 0,CM35&lt;&gt;0,CP35&lt;&gt;0),(EXP(LN(CP35/CM35)/(CP$6-CM$6))-1)*100,0)</f>
        <v>-4.0034847744255364</v>
      </c>
      <c r="CR109" s="336">
        <f t="shared" ref="CR109" si="282">IF($F$6-$D$6 &lt;&gt; 0,(EXP(LN(1+(CR72/100))/($F$6-$D$6))-1)*100,0)</f>
        <v>-3.2502758902891116</v>
      </c>
      <c r="CS109" s="336">
        <f t="shared" ref="CS109" si="283">IF(CN35&gt;0,((1+(CS35/CN35))^(1/($F$6-$D$6))-1)*100,0)</f>
        <v>1.4798646314606589</v>
      </c>
      <c r="CT109" s="336">
        <f t="shared" ref="CT109" si="284">IF($F$6-$D$6 &lt;&gt; 0,(EXP(LN(1+(CT72/100))/($F$6-$D$6))-1)*100,0)</f>
        <v>-1.0335441937519008</v>
      </c>
    </row>
    <row r="112" spans="1:98" ht="47.25" customHeight="1">
      <c r="A112" s="373" t="str">
        <f>CONCATENATE(A$1," (Continued)")</f>
        <v>Basic Table 2  Employment Change by Occupation and Replacement Demand, RQF8 Doctorate, 2015-2035, England (Continued)</v>
      </c>
      <c r="B112" s="373"/>
      <c r="C112" s="373"/>
      <c r="D112" s="373"/>
      <c r="E112" s="373"/>
      <c r="F112" s="373"/>
      <c r="G112" s="373"/>
      <c r="H112" s="373"/>
      <c r="I112" s="373"/>
      <c r="J112" s="373"/>
      <c r="L112" s="373" t="str">
        <f>CONCATENATE(L$1," (Continued)")</f>
        <v>Basic Table 2.1  Employment Change by Occupation and Replacement Demand, RQF7 Other higher degree, 2015-2035, England (Continued)</v>
      </c>
      <c r="M112" s="373"/>
      <c r="N112" s="373"/>
      <c r="O112" s="373"/>
      <c r="P112" s="373"/>
      <c r="Q112" s="373"/>
      <c r="R112" s="373"/>
      <c r="S112" s="373"/>
      <c r="T112" s="373"/>
      <c r="U112" s="373"/>
      <c r="W112" s="373" t="str">
        <f>CONCATENATE(W$1," (Continued)")</f>
        <v>Basic Table 2.2  Employment Change by Occupation and Replacement Demand, RQF6 First degree, 2015-2035, England (Continued)</v>
      </c>
      <c r="X112" s="373"/>
      <c r="Y112" s="373"/>
      <c r="Z112" s="373"/>
      <c r="AA112" s="373"/>
      <c r="AB112" s="373"/>
      <c r="AC112" s="373"/>
      <c r="AD112" s="373"/>
      <c r="AE112" s="373"/>
      <c r="AF112" s="373"/>
      <c r="AH112" s="373" t="str">
        <f>CONCATENATE(AH$1," (Continued)")</f>
        <v>Basic Table 2.3  Employment Change by Occupation and Replacement Demand, RQF5 Foundation degree;Nursing;Teaching, 2015-2035, England (Continued)</v>
      </c>
      <c r="AI112" s="373"/>
      <c r="AJ112" s="373"/>
      <c r="AK112" s="373"/>
      <c r="AL112" s="373"/>
      <c r="AM112" s="373"/>
      <c r="AN112" s="373"/>
      <c r="AO112" s="373"/>
      <c r="AP112" s="373"/>
      <c r="AQ112" s="373"/>
      <c r="AS112" s="373" t="str">
        <f>CONCATENATE(AS$1," (Continued)")</f>
        <v>Basic Table 2.4  Employment Change by Occupation and Replacement Demand, RQF4 HE below degree level, 2015-2035, England (Continued)</v>
      </c>
      <c r="AT112" s="373"/>
      <c r="AU112" s="373"/>
      <c r="AV112" s="373"/>
      <c r="AW112" s="373"/>
      <c r="AX112" s="373"/>
      <c r="AY112" s="373"/>
      <c r="AZ112" s="373"/>
      <c r="BA112" s="373"/>
      <c r="BB112" s="373"/>
      <c r="BD112" s="373" t="str">
        <f>CONCATENATE(BD$1," (Continued)")</f>
        <v>Basic Table 2.5  Employment Change by Occupation and Replacement Demand, RQF3 A level &amp; equivalent, 2015-2035, England (Continued)</v>
      </c>
      <c r="BE112" s="373"/>
      <c r="BF112" s="373"/>
      <c r="BG112" s="373"/>
      <c r="BH112" s="373"/>
      <c r="BI112" s="373"/>
      <c r="BJ112" s="373"/>
      <c r="BK112" s="373"/>
      <c r="BL112" s="373"/>
      <c r="BM112" s="373"/>
      <c r="BO112" s="373" t="str">
        <f>CONCATENATE(BO$1," (Continued)")</f>
        <v>Basic Table 2.6  Employment Change by Occupation and Replacement Demand, RQF2 GCSE(A-C) &amp; equivalent, 2015-2035, England (Continued)</v>
      </c>
      <c r="BP112" s="373"/>
      <c r="BQ112" s="373"/>
      <c r="BR112" s="373"/>
      <c r="BS112" s="373"/>
      <c r="BT112" s="373"/>
      <c r="BU112" s="373"/>
      <c r="BV112" s="373"/>
      <c r="BW112" s="373"/>
      <c r="BX112" s="373"/>
      <c r="BZ112" s="373" t="str">
        <f>CONCATENATE(BZ$1," (Continued)")</f>
        <v>Basic Table 2.7  Employment Change by Occupation and Replacement Demand, RQF1 GCSE(below grade C) &amp; equivalent, 2015-2035, England (Continued)</v>
      </c>
      <c r="CA112" s="373"/>
      <c r="CB112" s="373"/>
      <c r="CC112" s="373"/>
      <c r="CD112" s="373"/>
      <c r="CE112" s="373"/>
      <c r="CF112" s="373"/>
      <c r="CG112" s="373"/>
      <c r="CH112" s="373"/>
      <c r="CI112" s="373"/>
      <c r="CK112" s="373" t="str">
        <f>CONCATENATE(CK$1," (Continued)")</f>
        <v>Basic Table 2.8  Employment Change by Occupation and Replacement Demand, No Qualification, 2015-2035, England (Continued)</v>
      </c>
      <c r="CL112" s="373"/>
      <c r="CM112" s="373"/>
      <c r="CN112" s="373"/>
      <c r="CO112" s="373"/>
      <c r="CP112" s="373"/>
      <c r="CQ112" s="373"/>
      <c r="CR112" s="373"/>
      <c r="CS112" s="373"/>
      <c r="CT112" s="373"/>
    </row>
    <row r="114" spans="1:94">
      <c r="F114" s="15" t="s">
        <v>114</v>
      </c>
      <c r="Q114" s="15" t="s">
        <v>114</v>
      </c>
      <c r="AB114" s="15" t="s">
        <v>114</v>
      </c>
      <c r="AM114" s="15" t="s">
        <v>114</v>
      </c>
      <c r="AX114" s="15" t="s">
        <v>114</v>
      </c>
      <c r="BI114" s="15" t="s">
        <v>114</v>
      </c>
      <c r="BT114" s="15" t="s">
        <v>114</v>
      </c>
      <c r="CE114" s="15" t="s">
        <v>114</v>
      </c>
      <c r="CP114" s="15" t="s">
        <v>114</v>
      </c>
    </row>
    <row r="115" spans="1:94">
      <c r="A115" s="28"/>
      <c r="B115" s="28"/>
      <c r="C115" s="28"/>
      <c r="D115" s="28"/>
      <c r="E115" s="28"/>
      <c r="F115" s="28"/>
      <c r="L115" s="28"/>
      <c r="M115" s="28"/>
      <c r="N115" s="28"/>
      <c r="O115" s="28"/>
      <c r="P115" s="28"/>
      <c r="Q115" s="28"/>
      <c r="W115" s="28"/>
      <c r="X115" s="28"/>
      <c r="Y115" s="28"/>
      <c r="Z115" s="28"/>
      <c r="AA115" s="28"/>
      <c r="AB115" s="28"/>
      <c r="AH115" s="28"/>
      <c r="AI115" s="28"/>
      <c r="AJ115" s="28"/>
      <c r="AK115" s="28"/>
      <c r="AL115" s="28"/>
      <c r="AM115" s="28"/>
      <c r="AS115" s="28"/>
      <c r="AT115" s="28"/>
      <c r="AU115" s="28"/>
      <c r="AV115" s="28"/>
      <c r="AW115" s="28"/>
      <c r="AX115" s="28"/>
      <c r="BD115" s="28"/>
      <c r="BE115" s="28"/>
      <c r="BF115" s="28"/>
      <c r="BG115" s="28"/>
      <c r="BH115" s="28"/>
      <c r="BI115" s="28"/>
      <c r="BO115" s="28"/>
      <c r="BP115" s="28"/>
      <c r="BQ115" s="28"/>
      <c r="BR115" s="28"/>
      <c r="BS115" s="28"/>
      <c r="BT115" s="28"/>
      <c r="BZ115" s="28"/>
      <c r="CA115" s="28"/>
      <c r="CB115" s="28"/>
      <c r="CC115" s="28"/>
      <c r="CD115" s="28"/>
      <c r="CE115" s="28"/>
      <c r="CK115" s="28"/>
      <c r="CL115" s="28"/>
      <c r="CM115" s="28"/>
      <c r="CN115" s="28"/>
      <c r="CO115" s="28"/>
      <c r="CP115" s="28"/>
    </row>
    <row r="117" spans="1:94" ht="12.95">
      <c r="A117" s="31" t="s">
        <v>126</v>
      </c>
      <c r="B117" s="51" t="str">
        <f>CONCATENATE(B$6,"-",C$6)</f>
        <v>2015-2019</v>
      </c>
      <c r="C117" s="51" t="str">
        <f>CONCATENATE(C$6,"-",D$6)</f>
        <v>2019-2020</v>
      </c>
      <c r="D117" s="51" t="str">
        <f>CONCATENATE(D$6,"-",E$6)</f>
        <v>2020-2025</v>
      </c>
      <c r="E117" s="51" t="str">
        <f>CONCATENATE(E$6,"-",F$6)</f>
        <v>2025-2035</v>
      </c>
      <c r="F117" s="51" t="str">
        <f>CONCATENATE(D$6,"-",F$6)</f>
        <v>2020-2035</v>
      </c>
      <c r="L117" s="31" t="s">
        <v>126</v>
      </c>
      <c r="M117" s="51" t="str">
        <f>CONCATENATE(M$6,"-",N$6)</f>
        <v>2015-2019</v>
      </c>
      <c r="N117" s="51" t="str">
        <f>CONCATENATE(N$6,"-",O$6)</f>
        <v>2019-2020</v>
      </c>
      <c r="O117" s="51" t="str">
        <f>CONCATENATE(O$6,"-",P$6)</f>
        <v>2020-2025</v>
      </c>
      <c r="P117" s="51" t="str">
        <f>CONCATENATE(P$6,"-",Q$6)</f>
        <v>2025-2035</v>
      </c>
      <c r="Q117" s="51" t="str">
        <f>CONCATENATE(O$6,"-",Q$6)</f>
        <v>2020-2035</v>
      </c>
      <c r="W117" s="31" t="s">
        <v>126</v>
      </c>
      <c r="X117" s="51" t="str">
        <f>CONCATENATE(X$6,"-",Y$6)</f>
        <v>2015-2019</v>
      </c>
      <c r="Y117" s="51" t="str">
        <f>CONCATENATE(Y$6,"-",Z$6)</f>
        <v>2019-2020</v>
      </c>
      <c r="Z117" s="51" t="str">
        <f>CONCATENATE(Z$6,"-",AA$6)</f>
        <v>2020-2025</v>
      </c>
      <c r="AA117" s="51" t="str">
        <f>CONCATENATE(AA$6,"-",AB$6)</f>
        <v>2025-2035</v>
      </c>
      <c r="AB117" s="51" t="str">
        <f>CONCATENATE(Z$6,"-",AB$6)</f>
        <v>2020-2035</v>
      </c>
      <c r="AH117" s="31" t="s">
        <v>126</v>
      </c>
      <c r="AI117" s="51" t="str">
        <f>CONCATENATE(AI$6,"-",AJ$6)</f>
        <v>2015-2019</v>
      </c>
      <c r="AJ117" s="51" t="str">
        <f>CONCATENATE(AJ$6,"-",AK$6)</f>
        <v>2019-2020</v>
      </c>
      <c r="AK117" s="51" t="str">
        <f>CONCATENATE(AK$6,"-",AL$6)</f>
        <v>2020-2025</v>
      </c>
      <c r="AL117" s="51" t="str">
        <f>CONCATENATE(AL$6,"-",AM$6)</f>
        <v>2025-2035</v>
      </c>
      <c r="AM117" s="51" t="str">
        <f>CONCATENATE(AK$6,"-",AM$6)</f>
        <v>2020-2035</v>
      </c>
      <c r="AS117" s="31" t="s">
        <v>126</v>
      </c>
      <c r="AT117" s="51" t="str">
        <f>CONCATENATE(AT$6,"-",AU$6)</f>
        <v>2015-2019</v>
      </c>
      <c r="AU117" s="51" t="str">
        <f>CONCATENATE(AU$6,"-",AV$6)</f>
        <v>2019-2020</v>
      </c>
      <c r="AV117" s="51" t="str">
        <f>CONCATENATE(AV$6,"-",AW$6)</f>
        <v>2020-2025</v>
      </c>
      <c r="AW117" s="51" t="str">
        <f>CONCATENATE(AW$6,"-",AX$6)</f>
        <v>2025-2035</v>
      </c>
      <c r="AX117" s="51" t="str">
        <f>CONCATENATE(AV$6,"-",AX$6)</f>
        <v>2020-2035</v>
      </c>
      <c r="BD117" s="31" t="s">
        <v>126</v>
      </c>
      <c r="BE117" s="51" t="str">
        <f>CONCATENATE(BE$6,"-",BF$6)</f>
        <v>2015-2019</v>
      </c>
      <c r="BF117" s="51" t="str">
        <f>CONCATENATE(BF$6,"-",BG$6)</f>
        <v>2019-2020</v>
      </c>
      <c r="BG117" s="51" t="str">
        <f>CONCATENATE(BG$6,"-",BH$6)</f>
        <v>2020-2025</v>
      </c>
      <c r="BH117" s="51" t="str">
        <f>CONCATENATE(BH$6,"-",BI$6)</f>
        <v>2025-2035</v>
      </c>
      <c r="BI117" s="51" t="str">
        <f>CONCATENATE(BG$6,"-",BI$6)</f>
        <v>2020-2035</v>
      </c>
      <c r="BO117" s="31" t="s">
        <v>126</v>
      </c>
      <c r="BP117" s="51" t="str">
        <f>CONCATENATE(BP$6,"-",BQ$6)</f>
        <v>2015-2019</v>
      </c>
      <c r="BQ117" s="51" t="str">
        <f>CONCATENATE(BQ$6,"-",BR$6)</f>
        <v>2019-2020</v>
      </c>
      <c r="BR117" s="51" t="str">
        <f>CONCATENATE(BR$6,"-",BS$6)</f>
        <v>2020-2025</v>
      </c>
      <c r="BS117" s="51" t="str">
        <f>CONCATENATE(BS$6,"-",BT$6)</f>
        <v>2025-2035</v>
      </c>
      <c r="BT117" s="51" t="str">
        <f>CONCATENATE(BR$6,"-",BT$6)</f>
        <v>2020-2035</v>
      </c>
      <c r="BZ117" s="31" t="s">
        <v>126</v>
      </c>
      <c r="CA117" s="51" t="str">
        <f>CONCATENATE(CA$6,"-",CB$6)</f>
        <v>2015-2019</v>
      </c>
      <c r="CB117" s="51" t="str">
        <f>CONCATENATE(CB$6,"-",CC$6)</f>
        <v>2019-2020</v>
      </c>
      <c r="CC117" s="51" t="str">
        <f>CONCATENATE(CC$6,"-",CD$6)</f>
        <v>2020-2025</v>
      </c>
      <c r="CD117" s="51" t="str">
        <f>CONCATENATE(CD$6,"-",CE$6)</f>
        <v>2025-2035</v>
      </c>
      <c r="CE117" s="51" t="str">
        <f>CONCATENATE(CC$6,"-",CE$6)</f>
        <v>2020-2035</v>
      </c>
      <c r="CK117" s="31" t="s">
        <v>126</v>
      </c>
      <c r="CL117" s="51" t="str">
        <f>CONCATENATE(CL$6,"-",CM$6)</f>
        <v>2015-2019</v>
      </c>
      <c r="CM117" s="51" t="str">
        <f>CONCATENATE(CM$6,"-",CN$6)</f>
        <v>2019-2020</v>
      </c>
      <c r="CN117" s="51" t="str">
        <f>CONCATENATE(CN$6,"-",CO$6)</f>
        <v>2020-2025</v>
      </c>
      <c r="CO117" s="51" t="str">
        <f>CONCATENATE(CO$6,"-",CP$6)</f>
        <v>2025-2035</v>
      </c>
      <c r="CP117" s="51" t="str">
        <f>CONCATENATE(CN$6,"-",CP$6)</f>
        <v>2020-2035</v>
      </c>
    </row>
    <row r="118" spans="1:94" ht="12.95">
      <c r="B118" s="18"/>
      <c r="C118" s="18"/>
      <c r="D118" s="18"/>
      <c r="E118" s="18"/>
      <c r="F118" s="18"/>
      <c r="M118" s="18"/>
      <c r="N118" s="18"/>
      <c r="O118" s="18"/>
      <c r="P118" s="18"/>
      <c r="Q118" s="18"/>
      <c r="X118" s="18"/>
      <c r="Y118" s="18"/>
      <c r="Z118" s="18"/>
      <c r="AA118" s="18"/>
      <c r="AB118" s="18"/>
      <c r="AI118" s="18"/>
      <c r="AJ118" s="18"/>
      <c r="AK118" s="18"/>
      <c r="AL118" s="18"/>
      <c r="AM118" s="18"/>
      <c r="AT118" s="18"/>
      <c r="AU118" s="18"/>
      <c r="AV118" s="18"/>
      <c r="AW118" s="18"/>
      <c r="AX118" s="18"/>
      <c r="BE118" s="18"/>
      <c r="BF118" s="18"/>
      <c r="BG118" s="18"/>
      <c r="BH118" s="18"/>
      <c r="BI118" s="18"/>
      <c r="BP118" s="18"/>
      <c r="BQ118" s="18"/>
      <c r="BR118" s="18"/>
      <c r="BS118" s="18"/>
      <c r="BT118" s="18"/>
      <c r="CA118" s="18"/>
      <c r="CB118" s="18"/>
      <c r="CC118" s="18"/>
      <c r="CD118" s="18"/>
      <c r="CE118" s="18"/>
      <c r="CL118" s="18"/>
      <c r="CM118" s="18"/>
      <c r="CN118" s="18"/>
      <c r="CO118" s="18"/>
      <c r="CP118" s="18"/>
    </row>
    <row r="119" spans="1:94">
      <c r="A119" t="str">
        <f t="shared" ref="A119:A144" si="285">A8</f>
        <v>11 Corporate managers and directors</v>
      </c>
      <c r="B119" s="225">
        <f t="shared" ref="B119:E144" si="286">C8-B8</f>
        <v>10.297466990853096</v>
      </c>
      <c r="C119" s="225">
        <f t="shared" si="286"/>
        <v>1.7555705101180408</v>
      </c>
      <c r="D119" s="225">
        <f t="shared" si="286"/>
        <v>7.198020302461174</v>
      </c>
      <c r="E119" s="225">
        <f t="shared" si="286"/>
        <v>21.887165999622219</v>
      </c>
      <c r="F119" s="225">
        <f t="shared" ref="F119:F144" si="287">F8-D8</f>
        <v>29.085186302083393</v>
      </c>
      <c r="L119" t="str">
        <f>A119</f>
        <v>11 Corporate managers and directors</v>
      </c>
      <c r="M119" s="225">
        <f t="shared" ref="M119:P144" si="288">N8-M8</f>
        <v>92.610123697340612</v>
      </c>
      <c r="N119" s="225">
        <f t="shared" si="288"/>
        <v>13.581075009961239</v>
      </c>
      <c r="O119" s="225">
        <f t="shared" si="288"/>
        <v>47.504117382437983</v>
      </c>
      <c r="P119" s="225">
        <f t="shared" si="288"/>
        <v>163.25348830849407</v>
      </c>
      <c r="Q119" s="225">
        <f t="shared" ref="Q119:Q144" si="289">Q8-O8</f>
        <v>210.75760569093205</v>
      </c>
      <c r="W119" t="str">
        <f>A119</f>
        <v>11 Corporate managers and directors</v>
      </c>
      <c r="X119" s="225">
        <f t="shared" ref="X119:AA144" si="290">Y8-X8</f>
        <v>109.5414875879934</v>
      </c>
      <c r="Y119" s="225">
        <f t="shared" si="290"/>
        <v>15.994373967503861</v>
      </c>
      <c r="Z119" s="225">
        <f t="shared" si="290"/>
        <v>-52.319540625980267</v>
      </c>
      <c r="AA119" s="225">
        <f t="shared" si="290"/>
        <v>63.211337884715476</v>
      </c>
      <c r="AB119" s="225">
        <f t="shared" ref="AB119:AB144" si="291">AB8-Z8</f>
        <v>10.89179725873521</v>
      </c>
      <c r="AH119" t="str">
        <f>L119</f>
        <v>11 Corporate managers and directors</v>
      </c>
      <c r="AI119" s="225">
        <f t="shared" ref="AI119:AL144" si="292">AJ8-AI8</f>
        <v>13.64714401187257</v>
      </c>
      <c r="AJ119" s="225">
        <f t="shared" si="292"/>
        <v>8.4968976162928271</v>
      </c>
      <c r="AK119" s="225">
        <f t="shared" si="292"/>
        <v>-14.438004348246949</v>
      </c>
      <c r="AL119" s="225">
        <f t="shared" si="292"/>
        <v>8.1801065256578909</v>
      </c>
      <c r="AM119" s="225">
        <f t="shared" ref="AM119:AM144" si="293">AM8-AK8</f>
        <v>-6.257897822589058</v>
      </c>
      <c r="AS119" t="str">
        <f>W119</f>
        <v>11 Corporate managers and directors</v>
      </c>
      <c r="AT119" s="225">
        <f t="shared" ref="AT119:AW144" si="294">AU8-AT8</f>
        <v>20.980969766542842</v>
      </c>
      <c r="AU119" s="225">
        <f t="shared" si="294"/>
        <v>10.833029304750255</v>
      </c>
      <c r="AV119" s="225">
        <f t="shared" si="294"/>
        <v>-24.809989699592819</v>
      </c>
      <c r="AW119" s="225">
        <f t="shared" si="294"/>
        <v>11.484262082141271</v>
      </c>
      <c r="AX119" s="225">
        <f t="shared" ref="AX119:AX144" si="295">AX8-AV8</f>
        <v>-13.325727617451548</v>
      </c>
      <c r="BD119" t="str">
        <f>AH119</f>
        <v>11 Corporate managers and directors</v>
      </c>
      <c r="BE119" s="225">
        <f t="shared" ref="BE119:BH144" si="296">BF8-BE8</f>
        <v>49.731569228119611</v>
      </c>
      <c r="BF119" s="225">
        <f t="shared" si="296"/>
        <v>18.808510401909302</v>
      </c>
      <c r="BG119" s="225">
        <f t="shared" si="296"/>
        <v>-65.769563866931719</v>
      </c>
      <c r="BH119" s="225">
        <f t="shared" si="296"/>
        <v>8.0900769574856781</v>
      </c>
      <c r="BI119" s="225">
        <f t="shared" ref="BI119:BI144" si="297">BI8-BG8</f>
        <v>-57.679486909446041</v>
      </c>
      <c r="BO119" t="str">
        <f>AS119</f>
        <v>11 Corporate managers and directors</v>
      </c>
      <c r="BP119" s="225">
        <f t="shared" ref="BP119:BS144" si="298">BQ8-BP8</f>
        <v>29.355021683835616</v>
      </c>
      <c r="BQ119" s="225">
        <f t="shared" si="298"/>
        <v>-9.7966066796526547</v>
      </c>
      <c r="BR119" s="225">
        <f t="shared" si="298"/>
        <v>-59.553828647705529</v>
      </c>
      <c r="BS119" s="225">
        <f t="shared" si="298"/>
        <v>-51.795945516620208</v>
      </c>
      <c r="BT119" s="225">
        <f t="shared" ref="BT119:BT144" si="299">BT8-BR8</f>
        <v>-111.34977416432574</v>
      </c>
      <c r="BZ119" t="str">
        <f>BD119</f>
        <v>11 Corporate managers and directors</v>
      </c>
      <c r="CA119" s="278">
        <f t="shared" ref="CA119:CD144" si="300">CB8-CA8</f>
        <v>21.1051816989374</v>
      </c>
      <c r="CB119" s="278">
        <f t="shared" si="300"/>
        <v>-0.67116641648235031</v>
      </c>
      <c r="CC119" s="278">
        <f t="shared" si="300"/>
        <v>-35.105715479551748</v>
      </c>
      <c r="CD119" s="278">
        <f t="shared" si="300"/>
        <v>-45.764328679780704</v>
      </c>
      <c r="CE119" s="278">
        <f t="shared" ref="CE119:CE144" si="301">CE8-CC8</f>
        <v>-80.870044159332451</v>
      </c>
      <c r="CK119" t="str">
        <f>BO119</f>
        <v>11 Corporate managers and directors</v>
      </c>
      <c r="CL119" s="278">
        <f t="shared" ref="CL119:CO144" si="302">CM8-CL8</f>
        <v>5.7408722767202249</v>
      </c>
      <c r="CM119" s="278">
        <f t="shared" si="302"/>
        <v>-3.7050552917130233</v>
      </c>
      <c r="CN119" s="278">
        <f t="shared" si="302"/>
        <v>-5.1434992378703583</v>
      </c>
      <c r="CO119" s="278">
        <f t="shared" si="302"/>
        <v>-0.12220242288437078</v>
      </c>
      <c r="CP119" s="278">
        <f t="shared" ref="CP119:CP144" si="303">CP8-CN8</f>
        <v>-5.2657016607547291</v>
      </c>
    </row>
    <row r="120" spans="1:94">
      <c r="A120" t="str">
        <f t="shared" si="285"/>
        <v>12 Other managers and proprietors</v>
      </c>
      <c r="B120" s="225">
        <f t="shared" si="286"/>
        <v>3.4599815219143384</v>
      </c>
      <c r="C120" s="225">
        <f t="shared" si="286"/>
        <v>-0.40248458119594943</v>
      </c>
      <c r="D120" s="225">
        <f t="shared" si="286"/>
        <v>5.3539154650590302</v>
      </c>
      <c r="E120" s="225">
        <f t="shared" si="286"/>
        <v>11.233880837594739</v>
      </c>
      <c r="F120" s="225">
        <f t="shared" si="287"/>
        <v>16.587796302653771</v>
      </c>
      <c r="L120" t="str">
        <f t="shared" ref="L120:L143" si="304">A120</f>
        <v>12 Other managers and proprietors</v>
      </c>
      <c r="M120" s="225">
        <f t="shared" si="288"/>
        <v>27.853947013843083</v>
      </c>
      <c r="N120" s="225">
        <f t="shared" si="288"/>
        <v>4.250945524299965</v>
      </c>
      <c r="O120" s="225">
        <f t="shared" si="288"/>
        <v>38.108522417397637</v>
      </c>
      <c r="P120" s="225">
        <f t="shared" si="288"/>
        <v>85.192342550550023</v>
      </c>
      <c r="Q120" s="225">
        <f t="shared" si="289"/>
        <v>123.30086496794766</v>
      </c>
      <c r="W120" t="str">
        <f t="shared" ref="W120:W143" si="305">A120</f>
        <v>12 Other managers and proprietors</v>
      </c>
      <c r="X120" s="225">
        <f t="shared" si="290"/>
        <v>19.897981369166189</v>
      </c>
      <c r="Y120" s="225">
        <f t="shared" si="290"/>
        <v>7.3468866545713354</v>
      </c>
      <c r="Z120" s="225">
        <f t="shared" si="290"/>
        <v>19.851061414088292</v>
      </c>
      <c r="AA120" s="225">
        <f t="shared" si="290"/>
        <v>48.583446009028819</v>
      </c>
      <c r="AB120" s="225">
        <f t="shared" si="291"/>
        <v>68.434507423117111</v>
      </c>
      <c r="AH120" t="str">
        <f t="shared" ref="AH120:AH143" si="306">L120</f>
        <v>12 Other managers and proprietors</v>
      </c>
      <c r="AI120" s="225">
        <f t="shared" si="292"/>
        <v>5.5593597871166267</v>
      </c>
      <c r="AJ120" s="225">
        <f t="shared" si="292"/>
        <v>5.8276607396423543</v>
      </c>
      <c r="AK120" s="225">
        <f t="shared" si="292"/>
        <v>0.18644294584558452</v>
      </c>
      <c r="AL120" s="225">
        <f t="shared" si="292"/>
        <v>13.501623741444575</v>
      </c>
      <c r="AM120" s="225">
        <f t="shared" si="293"/>
        <v>13.68806668729016</v>
      </c>
      <c r="AS120" t="str">
        <f t="shared" ref="AS120:AS143" si="307">W120</f>
        <v>12 Other managers and proprietors</v>
      </c>
      <c r="AT120" s="225">
        <f t="shared" si="294"/>
        <v>5.3372941366012441</v>
      </c>
      <c r="AU120" s="225">
        <f t="shared" si="294"/>
        <v>3.4002919117161241</v>
      </c>
      <c r="AV120" s="225">
        <f t="shared" si="294"/>
        <v>5.7841163155781317</v>
      </c>
      <c r="AW120" s="225">
        <f t="shared" si="294"/>
        <v>11.018167506292059</v>
      </c>
      <c r="AX120" s="225">
        <f t="shared" si="295"/>
        <v>16.802283821870191</v>
      </c>
      <c r="BD120" t="str">
        <f t="shared" ref="BD120:BD143" si="308">AH120</f>
        <v>12 Other managers and proprietors</v>
      </c>
      <c r="BE120" s="225">
        <f t="shared" si="296"/>
        <v>-3.7748518339423356</v>
      </c>
      <c r="BF120" s="225">
        <f t="shared" si="296"/>
        <v>6.558711233355325</v>
      </c>
      <c r="BG120" s="225">
        <f t="shared" si="296"/>
        <v>-12.024105736295297</v>
      </c>
      <c r="BH120" s="225">
        <f t="shared" si="296"/>
        <v>2.8803549355123437</v>
      </c>
      <c r="BI120" s="225">
        <f t="shared" si="297"/>
        <v>-9.1437508007829535</v>
      </c>
      <c r="BO120" t="str">
        <f t="shared" ref="BO120:BO143" si="309">AS120</f>
        <v>12 Other managers and proprietors</v>
      </c>
      <c r="BP120" s="225">
        <f t="shared" si="298"/>
        <v>6.3985167965024061</v>
      </c>
      <c r="BQ120" s="225">
        <f t="shared" si="298"/>
        <v>-5.4971678569730784</v>
      </c>
      <c r="BR120" s="225">
        <f t="shared" si="298"/>
        <v>-5.9302392628745508</v>
      </c>
      <c r="BS120" s="225">
        <f t="shared" si="298"/>
        <v>-18.204279799699435</v>
      </c>
      <c r="BT120" s="225">
        <f t="shared" si="299"/>
        <v>-24.134519062573986</v>
      </c>
      <c r="BZ120" t="str">
        <f t="shared" ref="BZ120:BZ143" si="310">BD120</f>
        <v>12 Other managers and proprietors</v>
      </c>
      <c r="CA120" s="278">
        <f t="shared" si="300"/>
        <v>2.9297870764134899</v>
      </c>
      <c r="CB120" s="278">
        <f t="shared" si="300"/>
        <v>-7.101520486512257</v>
      </c>
      <c r="CC120" s="278">
        <f t="shared" si="300"/>
        <v>-8.10038658735985</v>
      </c>
      <c r="CD120" s="278">
        <f t="shared" si="300"/>
        <v>-26.975983991511683</v>
      </c>
      <c r="CE120" s="278">
        <f t="shared" si="301"/>
        <v>-35.076370578871533</v>
      </c>
      <c r="CK120" t="str">
        <f t="shared" ref="CK120:CK143" si="311">BO120</f>
        <v>12 Other managers and proprietors</v>
      </c>
      <c r="CL120" s="278">
        <f t="shared" si="302"/>
        <v>-1.8391162412623174</v>
      </c>
      <c r="CM120" s="278">
        <f t="shared" si="302"/>
        <v>-3.9538949998078508</v>
      </c>
      <c r="CN120" s="278">
        <f t="shared" si="302"/>
        <v>-0.85817327343830385</v>
      </c>
      <c r="CO120" s="278">
        <f t="shared" si="302"/>
        <v>-0.72720000210481572</v>
      </c>
      <c r="CP120" s="278">
        <f t="shared" si="303"/>
        <v>-1.5853732755431196</v>
      </c>
    </row>
    <row r="121" spans="1:94">
      <c r="A121" t="str">
        <f t="shared" si="285"/>
        <v>21 Science, research, engineering and technology professionals</v>
      </c>
      <c r="B121" s="225">
        <f t="shared" si="286"/>
        <v>22.69453790952717</v>
      </c>
      <c r="C121" s="225">
        <f t="shared" si="286"/>
        <v>1.6107457934562603</v>
      </c>
      <c r="D121" s="225">
        <f t="shared" si="286"/>
        <v>40.592892991903938</v>
      </c>
      <c r="E121" s="225">
        <f t="shared" si="286"/>
        <v>50.087128148100362</v>
      </c>
      <c r="F121" s="225">
        <f t="shared" si="287"/>
        <v>90.6800211400043</v>
      </c>
      <c r="L121" t="str">
        <f t="shared" si="304"/>
        <v>21 Science, research, engineering and technology professionals</v>
      </c>
      <c r="M121" s="225">
        <f t="shared" si="288"/>
        <v>105.60301048447798</v>
      </c>
      <c r="N121" s="225">
        <f t="shared" si="288"/>
        <v>23.614283275707464</v>
      </c>
      <c r="O121" s="225">
        <f t="shared" si="288"/>
        <v>222.09209780905832</v>
      </c>
      <c r="P121" s="225">
        <f t="shared" si="288"/>
        <v>280.40576748937315</v>
      </c>
      <c r="Q121" s="225">
        <f t="shared" si="289"/>
        <v>502.49786529843146</v>
      </c>
      <c r="W121" t="str">
        <f t="shared" si="305"/>
        <v>21 Science, research, engineering and technology professionals</v>
      </c>
      <c r="X121" s="225">
        <f t="shared" si="290"/>
        <v>55.785951649365416</v>
      </c>
      <c r="Y121" s="225">
        <f t="shared" si="290"/>
        <v>23.185671675742924</v>
      </c>
      <c r="Z121" s="225">
        <f t="shared" si="290"/>
        <v>116.21380825832546</v>
      </c>
      <c r="AA121" s="225">
        <f t="shared" si="290"/>
        <v>41.904694375057147</v>
      </c>
      <c r="AB121" s="225">
        <f t="shared" si="291"/>
        <v>158.1185026333826</v>
      </c>
      <c r="AH121" t="str">
        <f t="shared" si="306"/>
        <v>21 Science, research, engineering and technology professionals</v>
      </c>
      <c r="AI121" s="225">
        <f t="shared" si="292"/>
        <v>4.6721990012156311</v>
      </c>
      <c r="AJ121" s="225">
        <f t="shared" si="292"/>
        <v>6.2007407836840898</v>
      </c>
      <c r="AK121" s="225">
        <f t="shared" si="292"/>
        <v>13.639484018761834</v>
      </c>
      <c r="AL121" s="225">
        <f t="shared" si="292"/>
        <v>9.1877456082257396</v>
      </c>
      <c r="AM121" s="225">
        <f t="shared" si="293"/>
        <v>22.827229626987574</v>
      </c>
      <c r="AS121" t="str">
        <f t="shared" si="307"/>
        <v>21 Science, research, engineering and technology professionals</v>
      </c>
      <c r="AT121" s="225">
        <f t="shared" si="294"/>
        <v>10.402969350651546</v>
      </c>
      <c r="AU121" s="225">
        <f t="shared" si="294"/>
        <v>6.5379334945026812</v>
      </c>
      <c r="AV121" s="225">
        <f t="shared" si="294"/>
        <v>13.356770926543561</v>
      </c>
      <c r="AW121" s="225">
        <f t="shared" si="294"/>
        <v>3.247976015196258</v>
      </c>
      <c r="AX121" s="225">
        <f t="shared" si="295"/>
        <v>16.604746941739819</v>
      </c>
      <c r="BD121" t="str">
        <f t="shared" si="308"/>
        <v>21 Science, research, engineering and technology professionals</v>
      </c>
      <c r="BE121" s="225">
        <f t="shared" si="296"/>
        <v>15.021840955136838</v>
      </c>
      <c r="BF121" s="225">
        <f t="shared" si="296"/>
        <v>13.447123909656256</v>
      </c>
      <c r="BG121" s="225">
        <f t="shared" si="296"/>
        <v>15.921310419065804</v>
      </c>
      <c r="BH121" s="225">
        <f t="shared" si="296"/>
        <v>-3.8282363506019692</v>
      </c>
      <c r="BI121" s="225">
        <f t="shared" si="297"/>
        <v>12.093074068463835</v>
      </c>
      <c r="BO121" t="str">
        <f t="shared" si="309"/>
        <v>21 Science, research, engineering and technology professionals</v>
      </c>
      <c r="BP121" s="225">
        <f t="shared" si="298"/>
        <v>11.850766846632808</v>
      </c>
      <c r="BQ121" s="225">
        <f t="shared" si="298"/>
        <v>1.3857518804555298</v>
      </c>
      <c r="BR121" s="225">
        <f t="shared" si="298"/>
        <v>15.162663867518859</v>
      </c>
      <c r="BS121" s="225">
        <f t="shared" si="298"/>
        <v>-19.764502527842922</v>
      </c>
      <c r="BT121" s="225">
        <f t="shared" si="299"/>
        <v>-4.6018386603240629</v>
      </c>
      <c r="BZ121" t="str">
        <f t="shared" si="310"/>
        <v>21 Science, research, engineering and technology professionals</v>
      </c>
      <c r="CA121" s="278">
        <f t="shared" si="300"/>
        <v>8.5243502862710301</v>
      </c>
      <c r="CB121" s="278">
        <f t="shared" si="300"/>
        <v>-1.6651153262829439</v>
      </c>
      <c r="CC121" s="278">
        <f t="shared" si="300"/>
        <v>8.7387814553121927</v>
      </c>
      <c r="CD121" s="278">
        <f t="shared" si="300"/>
        <v>-34.339892756720289</v>
      </c>
      <c r="CE121" s="278">
        <f t="shared" si="301"/>
        <v>-25.601111301408096</v>
      </c>
      <c r="CK121" t="str">
        <f t="shared" si="311"/>
        <v>21 Science, research, engineering and technology professionals</v>
      </c>
      <c r="CL121" s="278">
        <f t="shared" si="302"/>
        <v>4.634869276792589</v>
      </c>
      <c r="CM121" s="278">
        <f t="shared" si="302"/>
        <v>-0.51549421159426956</v>
      </c>
      <c r="CN121" s="278">
        <f t="shared" si="302"/>
        <v>7.9618364304694822</v>
      </c>
      <c r="CO121" s="278">
        <f t="shared" si="302"/>
        <v>2.7224472306930068</v>
      </c>
      <c r="CP121" s="278">
        <f t="shared" si="303"/>
        <v>10.684283661162489</v>
      </c>
    </row>
    <row r="122" spans="1:94">
      <c r="A122" t="str">
        <f t="shared" si="285"/>
        <v>22 Health professionals</v>
      </c>
      <c r="B122" s="225">
        <f t="shared" si="286"/>
        <v>25.060807420174868</v>
      </c>
      <c r="C122" s="225">
        <f t="shared" si="286"/>
        <v>1.5467136415911824</v>
      </c>
      <c r="D122" s="225">
        <f t="shared" si="286"/>
        <v>26.220201414942039</v>
      </c>
      <c r="E122" s="225">
        <f t="shared" si="286"/>
        <v>43.464973585217678</v>
      </c>
      <c r="F122" s="225">
        <f t="shared" si="287"/>
        <v>69.685175000159717</v>
      </c>
      <c r="L122" t="str">
        <f t="shared" si="304"/>
        <v>22 Health professionals</v>
      </c>
      <c r="M122" s="225">
        <f t="shared" si="288"/>
        <v>76.243875628602751</v>
      </c>
      <c r="N122" s="225">
        <f t="shared" si="288"/>
        <v>2.2986791324268552</v>
      </c>
      <c r="O122" s="225">
        <f t="shared" si="288"/>
        <v>47.441722089443829</v>
      </c>
      <c r="P122" s="225">
        <f t="shared" si="288"/>
        <v>97.871750117943066</v>
      </c>
      <c r="Q122" s="225">
        <f t="shared" si="289"/>
        <v>145.31347220738689</v>
      </c>
      <c r="W122" t="str">
        <f t="shared" si="305"/>
        <v>22 Health professionals</v>
      </c>
      <c r="X122" s="225">
        <f t="shared" si="290"/>
        <v>71.476536347399417</v>
      </c>
      <c r="Y122" s="225">
        <f t="shared" si="290"/>
        <v>12.828720391103332</v>
      </c>
      <c r="Z122" s="225">
        <f t="shared" si="290"/>
        <v>-5.3381094795061586</v>
      </c>
      <c r="AA122" s="225">
        <f t="shared" si="290"/>
        <v>28.341676797041941</v>
      </c>
      <c r="AB122" s="225">
        <f t="shared" si="291"/>
        <v>23.003567317535783</v>
      </c>
      <c r="AH122" t="str">
        <f t="shared" si="306"/>
        <v>22 Health professionals</v>
      </c>
      <c r="AI122" s="225">
        <f t="shared" si="292"/>
        <v>-45.135411623385153</v>
      </c>
      <c r="AJ122" s="225">
        <f t="shared" si="292"/>
        <v>-12.569084133410968</v>
      </c>
      <c r="AK122" s="225">
        <f t="shared" si="292"/>
        <v>-76.105677656924001</v>
      </c>
      <c r="AL122" s="225">
        <f t="shared" si="292"/>
        <v>-51.718307795419513</v>
      </c>
      <c r="AM122" s="225">
        <f t="shared" si="293"/>
        <v>-127.82398545234352</v>
      </c>
      <c r="AS122" t="str">
        <f t="shared" si="307"/>
        <v>22 Health professionals</v>
      </c>
      <c r="AT122" s="225">
        <f t="shared" si="294"/>
        <v>4.4843766916553953</v>
      </c>
      <c r="AU122" s="225">
        <f t="shared" si="294"/>
        <v>4.491366154862753</v>
      </c>
      <c r="AV122" s="225">
        <f t="shared" si="294"/>
        <v>0.61410146799987331</v>
      </c>
      <c r="AW122" s="225">
        <f t="shared" si="294"/>
        <v>3.6044852697184098</v>
      </c>
      <c r="AX122" s="225">
        <f t="shared" si="295"/>
        <v>4.2185867377182831</v>
      </c>
      <c r="BD122" t="str">
        <f t="shared" si="308"/>
        <v>22 Health professionals</v>
      </c>
      <c r="BE122" s="225">
        <f t="shared" si="296"/>
        <v>27.337109616793271</v>
      </c>
      <c r="BF122" s="225">
        <f t="shared" si="296"/>
        <v>2.9805354949440925</v>
      </c>
      <c r="BG122" s="225">
        <f t="shared" si="296"/>
        <v>3.4135415629859551</v>
      </c>
      <c r="BH122" s="225">
        <f t="shared" si="296"/>
        <v>7.2498261649629399</v>
      </c>
      <c r="BI122" s="225">
        <f t="shared" si="297"/>
        <v>10.663367727948895</v>
      </c>
      <c r="BO122" t="str">
        <f t="shared" si="309"/>
        <v>22 Health professionals</v>
      </c>
      <c r="BP122" s="225">
        <f t="shared" si="298"/>
        <v>14.610147663220303</v>
      </c>
      <c r="BQ122" s="225">
        <f t="shared" si="298"/>
        <v>-3.2330959745318353</v>
      </c>
      <c r="BR122" s="225">
        <f t="shared" si="298"/>
        <v>-5.8523617066973799</v>
      </c>
      <c r="BS122" s="225">
        <f t="shared" si="298"/>
        <v>-18.280101610067945</v>
      </c>
      <c r="BT122" s="225">
        <f t="shared" si="299"/>
        <v>-24.132463316765325</v>
      </c>
      <c r="BZ122" t="str">
        <f t="shared" si="310"/>
        <v>22 Health professionals</v>
      </c>
      <c r="CA122" s="278">
        <f t="shared" si="300"/>
        <v>9.3320514208849872</v>
      </c>
      <c r="CB122" s="278">
        <f t="shared" si="300"/>
        <v>-7.1740359494529926</v>
      </c>
      <c r="CC122" s="278">
        <f t="shared" si="300"/>
        <v>-4.4748167264543781</v>
      </c>
      <c r="CD122" s="278">
        <f t="shared" si="300"/>
        <v>-17.060468757968419</v>
      </c>
      <c r="CE122" s="278">
        <f t="shared" si="301"/>
        <v>-21.535285484422797</v>
      </c>
      <c r="CK122" t="str">
        <f t="shared" si="311"/>
        <v>22 Health professionals</v>
      </c>
      <c r="CL122" s="278">
        <f t="shared" si="302"/>
        <v>1.8043307285089991</v>
      </c>
      <c r="CM122" s="278">
        <f t="shared" si="302"/>
        <v>0.10635405973363543</v>
      </c>
      <c r="CN122" s="278">
        <f t="shared" si="302"/>
        <v>0.19752180213344417</v>
      </c>
      <c r="CO122" s="278">
        <f t="shared" si="302"/>
        <v>1.2667685985335595</v>
      </c>
      <c r="CP122" s="278">
        <f t="shared" si="303"/>
        <v>1.4642904006670037</v>
      </c>
    </row>
    <row r="123" spans="1:94">
      <c r="A123" t="str">
        <f t="shared" si="285"/>
        <v>23 Teaching and other educational professionals</v>
      </c>
      <c r="B123" s="225">
        <f t="shared" si="286"/>
        <v>18.567535296695027</v>
      </c>
      <c r="C123" s="225">
        <f t="shared" si="286"/>
        <v>4.3907472058848498</v>
      </c>
      <c r="D123" s="225">
        <f t="shared" si="286"/>
        <v>15.521463270767043</v>
      </c>
      <c r="E123" s="225">
        <f t="shared" si="286"/>
        <v>31.350600925683523</v>
      </c>
      <c r="F123" s="225">
        <f t="shared" si="287"/>
        <v>46.872064196450566</v>
      </c>
      <c r="L123" t="str">
        <f t="shared" si="304"/>
        <v>23 Teaching and other educational professionals</v>
      </c>
      <c r="M123" s="225">
        <f t="shared" si="288"/>
        <v>122.61433085703845</v>
      </c>
      <c r="N123" s="225">
        <f t="shared" si="288"/>
        <v>27.01522654459859</v>
      </c>
      <c r="O123" s="225">
        <f t="shared" si="288"/>
        <v>77.281835242723332</v>
      </c>
      <c r="P123" s="225">
        <f t="shared" si="288"/>
        <v>157.47761917539378</v>
      </c>
      <c r="Q123" s="225">
        <f t="shared" si="289"/>
        <v>234.75945441811712</v>
      </c>
      <c r="W123" t="str">
        <f t="shared" si="305"/>
        <v>23 Teaching and other educational professionals</v>
      </c>
      <c r="X123" s="225">
        <f t="shared" si="290"/>
        <v>-43.284486160291522</v>
      </c>
      <c r="Y123" s="225">
        <f t="shared" si="290"/>
        <v>23.025717815735902</v>
      </c>
      <c r="Z123" s="225">
        <f t="shared" si="290"/>
        <v>-87.198227788296833</v>
      </c>
      <c r="AA123" s="225">
        <f t="shared" si="290"/>
        <v>-70.534353870075051</v>
      </c>
      <c r="AB123" s="225">
        <f t="shared" si="291"/>
        <v>-157.73258165837188</v>
      </c>
      <c r="AH123" t="str">
        <f t="shared" si="306"/>
        <v>23 Teaching and other educational professionals</v>
      </c>
      <c r="AI123" s="225">
        <f t="shared" si="292"/>
        <v>-23.592182234555047</v>
      </c>
      <c r="AJ123" s="225">
        <f t="shared" si="292"/>
        <v>-2.1552929240523078</v>
      </c>
      <c r="AK123" s="225">
        <f t="shared" si="292"/>
        <v>-13.346956291777257</v>
      </c>
      <c r="AL123" s="225">
        <f t="shared" si="292"/>
        <v>-0.12657898963559688</v>
      </c>
      <c r="AM123" s="225">
        <f t="shared" si="293"/>
        <v>-13.473535281412854</v>
      </c>
      <c r="AS123" t="str">
        <f t="shared" si="307"/>
        <v>23 Teaching and other educational professionals</v>
      </c>
      <c r="AT123" s="225">
        <f t="shared" si="294"/>
        <v>2.2192195194641329E-2</v>
      </c>
      <c r="AU123" s="225">
        <f t="shared" si="294"/>
        <v>1.1494734639693043</v>
      </c>
      <c r="AV123" s="225">
        <f t="shared" si="294"/>
        <v>-2.8737386810335472</v>
      </c>
      <c r="AW123" s="225">
        <f t="shared" si="294"/>
        <v>-1.2953454021973698</v>
      </c>
      <c r="AX123" s="225">
        <f t="shared" si="295"/>
        <v>-4.1690840832309171</v>
      </c>
      <c r="BD123" t="str">
        <f t="shared" si="308"/>
        <v>23 Teaching and other educational professionals</v>
      </c>
      <c r="BE123" s="225">
        <f t="shared" si="296"/>
        <v>1.7694036025531048</v>
      </c>
      <c r="BF123" s="225">
        <f t="shared" si="296"/>
        <v>6.7014408167890096</v>
      </c>
      <c r="BG123" s="225">
        <f t="shared" si="296"/>
        <v>-6.2002074509909662</v>
      </c>
      <c r="BH123" s="225">
        <f t="shared" si="296"/>
        <v>4.9349670050770484</v>
      </c>
      <c r="BI123" s="225">
        <f t="shared" si="297"/>
        <v>-1.2652404459139177</v>
      </c>
      <c r="BO123" t="str">
        <f t="shared" si="309"/>
        <v>23 Teaching and other educational professionals</v>
      </c>
      <c r="BP123" s="225">
        <f t="shared" si="298"/>
        <v>1.3252036531369171</v>
      </c>
      <c r="BQ123" s="225">
        <f t="shared" si="298"/>
        <v>0.33097721502895183</v>
      </c>
      <c r="BR123" s="225">
        <f t="shared" si="298"/>
        <v>-5.7543812483636358</v>
      </c>
      <c r="BS123" s="225">
        <f t="shared" si="298"/>
        <v>-5.18776450129198</v>
      </c>
      <c r="BT123" s="225">
        <f t="shared" si="299"/>
        <v>-10.942145749655616</v>
      </c>
      <c r="BZ123" t="str">
        <f t="shared" si="310"/>
        <v>23 Teaching and other educational professionals</v>
      </c>
      <c r="CA123" s="278">
        <f t="shared" si="300"/>
        <v>1.063192338242132</v>
      </c>
      <c r="CB123" s="278">
        <f t="shared" si="300"/>
        <v>0.97703827381798902</v>
      </c>
      <c r="CC123" s="278">
        <f t="shared" si="300"/>
        <v>-4.1260466787297077</v>
      </c>
      <c r="CD123" s="278">
        <f t="shared" si="300"/>
        <v>-6.8039813832435136</v>
      </c>
      <c r="CE123" s="278">
        <f t="shared" si="301"/>
        <v>-10.930028061973221</v>
      </c>
      <c r="CK123" t="str">
        <f t="shared" si="311"/>
        <v>23 Teaching and other educational professionals</v>
      </c>
      <c r="CL123" s="278">
        <f t="shared" si="302"/>
        <v>1.0046578115509348</v>
      </c>
      <c r="CM123" s="278">
        <f t="shared" si="302"/>
        <v>0.95875173480557496</v>
      </c>
      <c r="CN123" s="278">
        <f t="shared" si="302"/>
        <v>-0.16643995503480458</v>
      </c>
      <c r="CO123" s="278">
        <f t="shared" si="302"/>
        <v>-0.16445416344726116</v>
      </c>
      <c r="CP123" s="278">
        <f t="shared" si="303"/>
        <v>-0.33089411848206574</v>
      </c>
    </row>
    <row r="124" spans="1:94">
      <c r="A124" t="str">
        <f t="shared" si="285"/>
        <v>24 Business, media and public service professionals</v>
      </c>
      <c r="B124" s="225">
        <f t="shared" si="286"/>
        <v>12.303237414088315</v>
      </c>
      <c r="C124" s="225">
        <f t="shared" si="286"/>
        <v>3.4730444227539508</v>
      </c>
      <c r="D124" s="225">
        <f t="shared" si="286"/>
        <v>15.949685562780708</v>
      </c>
      <c r="E124" s="225">
        <f t="shared" si="286"/>
        <v>30.276696223693961</v>
      </c>
      <c r="F124" s="225">
        <f t="shared" si="287"/>
        <v>46.226381786474668</v>
      </c>
      <c r="L124" t="str">
        <f t="shared" si="304"/>
        <v>24 Business, media and public service professionals</v>
      </c>
      <c r="M124" s="225">
        <f t="shared" si="288"/>
        <v>154.93201053451662</v>
      </c>
      <c r="N124" s="225">
        <f t="shared" si="288"/>
        <v>39.093328972725772</v>
      </c>
      <c r="O124" s="225">
        <f t="shared" si="288"/>
        <v>160.01692834597191</v>
      </c>
      <c r="P124" s="225">
        <f t="shared" si="288"/>
        <v>273.05827107052858</v>
      </c>
      <c r="Q124" s="225">
        <f t="shared" si="289"/>
        <v>433.07519941650048</v>
      </c>
      <c r="W124" t="str">
        <f t="shared" si="305"/>
        <v>24 Business, media and public service professionals</v>
      </c>
      <c r="X124" s="225">
        <f t="shared" si="290"/>
        <v>92.928095377657883</v>
      </c>
      <c r="Y124" s="225">
        <f t="shared" si="290"/>
        <v>69.503516384326304</v>
      </c>
      <c r="Z124" s="225">
        <f t="shared" si="290"/>
        <v>-6.0725041926833683</v>
      </c>
      <c r="AA124" s="225">
        <f t="shared" si="290"/>
        <v>5.8482537151992346</v>
      </c>
      <c r="AB124" s="225">
        <f t="shared" si="291"/>
        <v>-0.22425047748413363</v>
      </c>
      <c r="AH124" t="str">
        <f t="shared" si="306"/>
        <v>24 Business, media and public service professionals</v>
      </c>
      <c r="AI124" s="225">
        <f t="shared" si="292"/>
        <v>-1.8793685198622967</v>
      </c>
      <c r="AJ124" s="225">
        <f t="shared" si="292"/>
        <v>8.7482111253705739</v>
      </c>
      <c r="AK124" s="225">
        <f t="shared" si="292"/>
        <v>-7.1158212431853656</v>
      </c>
      <c r="AL124" s="225">
        <f t="shared" si="292"/>
        <v>1.7155362206874543</v>
      </c>
      <c r="AM124" s="225">
        <f t="shared" si="293"/>
        <v>-5.4002850224979113</v>
      </c>
      <c r="AS124" t="str">
        <f t="shared" si="307"/>
        <v>24 Business, media and public service professionals</v>
      </c>
      <c r="AT124" s="225">
        <f t="shared" si="294"/>
        <v>11.671743957911318</v>
      </c>
      <c r="AU124" s="225">
        <f t="shared" si="294"/>
        <v>13.691780761821448</v>
      </c>
      <c r="AV124" s="225">
        <f t="shared" si="294"/>
        <v>0.50770215329941948</v>
      </c>
      <c r="AW124" s="225">
        <f t="shared" si="294"/>
        <v>7.014446130521236</v>
      </c>
      <c r="AX124" s="225">
        <f t="shared" si="295"/>
        <v>7.5221482838206555</v>
      </c>
      <c r="BD124" t="str">
        <f t="shared" si="308"/>
        <v>24 Business, media and public service professionals</v>
      </c>
      <c r="BE124" s="225">
        <f t="shared" si="296"/>
        <v>29.282160168350345</v>
      </c>
      <c r="BF124" s="225">
        <f t="shared" si="296"/>
        <v>26.931183583769069</v>
      </c>
      <c r="BG124" s="225">
        <f t="shared" si="296"/>
        <v>-5.2672629401341737</v>
      </c>
      <c r="BH124" s="225">
        <f t="shared" si="296"/>
        <v>4.685694830365378</v>
      </c>
      <c r="BI124" s="225">
        <f t="shared" si="297"/>
        <v>-0.58156810976879569</v>
      </c>
      <c r="BO124" t="str">
        <f t="shared" si="309"/>
        <v>24 Business, media and public service professionals</v>
      </c>
      <c r="BP124" s="225">
        <f t="shared" si="298"/>
        <v>14.325160706252802</v>
      </c>
      <c r="BQ124" s="225">
        <f t="shared" si="298"/>
        <v>4.5588047731389736</v>
      </c>
      <c r="BR124" s="225">
        <f t="shared" si="298"/>
        <v>-14.286070374151535</v>
      </c>
      <c r="BS124" s="225">
        <f t="shared" si="298"/>
        <v>-31.301745012155465</v>
      </c>
      <c r="BT124" s="225">
        <f t="shared" si="299"/>
        <v>-45.587815386307</v>
      </c>
      <c r="BZ124" t="str">
        <f t="shared" si="310"/>
        <v>24 Business, media and public service professionals</v>
      </c>
      <c r="CA124" s="278">
        <f t="shared" si="300"/>
        <v>10.963574313684063</v>
      </c>
      <c r="CB124" s="278">
        <f t="shared" si="300"/>
        <v>3.3174854253856125</v>
      </c>
      <c r="CC124" s="278">
        <f t="shared" si="300"/>
        <v>-11.601552113040327</v>
      </c>
      <c r="CD124" s="278">
        <f t="shared" si="300"/>
        <v>-35.793145376393085</v>
      </c>
      <c r="CE124" s="278">
        <f t="shared" si="301"/>
        <v>-47.394697489433412</v>
      </c>
      <c r="CK124" t="str">
        <f t="shared" si="311"/>
        <v>24 Business, media and public service professionals</v>
      </c>
      <c r="CL124" s="278">
        <f t="shared" si="302"/>
        <v>4.5110510560464938</v>
      </c>
      <c r="CM124" s="278">
        <f t="shared" si="302"/>
        <v>-0.58600776664554388</v>
      </c>
      <c r="CN124" s="278">
        <f t="shared" si="302"/>
        <v>0.65781954739954429</v>
      </c>
      <c r="CO124" s="278">
        <f t="shared" si="302"/>
        <v>-0.46070771761313623</v>
      </c>
      <c r="CP124" s="278">
        <f t="shared" si="303"/>
        <v>0.19711182978640807</v>
      </c>
    </row>
    <row r="125" spans="1:94">
      <c r="A125" t="str">
        <f t="shared" si="285"/>
        <v>31 Science, engineering and technology associate professionals</v>
      </c>
      <c r="B125" s="225">
        <f t="shared" si="286"/>
        <v>3.8164426633885373</v>
      </c>
      <c r="C125" s="225">
        <f t="shared" si="286"/>
        <v>0.92735708995122401</v>
      </c>
      <c r="D125" s="225">
        <f t="shared" si="286"/>
        <v>3.0639303372927618</v>
      </c>
      <c r="E125" s="225">
        <f t="shared" si="286"/>
        <v>9.1105519140040556</v>
      </c>
      <c r="F125" s="225">
        <f t="shared" si="287"/>
        <v>12.174482251296817</v>
      </c>
      <c r="L125" t="str">
        <f t="shared" si="304"/>
        <v>31 Science, engineering and technology associate professionals</v>
      </c>
      <c r="M125" s="225">
        <f t="shared" si="288"/>
        <v>19.141541770073822</v>
      </c>
      <c r="N125" s="225">
        <f t="shared" si="288"/>
        <v>6.1119379018179814</v>
      </c>
      <c r="O125" s="225">
        <f t="shared" si="288"/>
        <v>12.229781986320205</v>
      </c>
      <c r="P125" s="225">
        <f t="shared" si="288"/>
        <v>35.868221623912731</v>
      </c>
      <c r="Q125" s="225">
        <f t="shared" si="289"/>
        <v>48.098003610232936</v>
      </c>
      <c r="W125" t="str">
        <f t="shared" si="305"/>
        <v>31 Science, engineering and technology associate professionals</v>
      </c>
      <c r="X125" s="225">
        <f t="shared" si="290"/>
        <v>24.728898887212111</v>
      </c>
      <c r="Y125" s="225">
        <f t="shared" si="290"/>
        <v>10.402451937796769</v>
      </c>
      <c r="Z125" s="225">
        <f t="shared" si="290"/>
        <v>-4.1323668676911041</v>
      </c>
      <c r="AA125" s="225">
        <f t="shared" si="290"/>
        <v>16.782064665380574</v>
      </c>
      <c r="AB125" s="225">
        <f t="shared" si="291"/>
        <v>12.64969779768947</v>
      </c>
      <c r="AH125" t="str">
        <f t="shared" si="306"/>
        <v>31 Science, engineering and technology associate professionals</v>
      </c>
      <c r="AI125" s="225">
        <f t="shared" si="292"/>
        <v>4.65825258535736</v>
      </c>
      <c r="AJ125" s="225">
        <f t="shared" si="292"/>
        <v>2.9271186169454104</v>
      </c>
      <c r="AK125" s="225">
        <f t="shared" si="292"/>
        <v>1.7311492261536578</v>
      </c>
      <c r="AL125" s="225">
        <f t="shared" si="292"/>
        <v>8.8913240559242581</v>
      </c>
      <c r="AM125" s="225">
        <f t="shared" si="293"/>
        <v>10.622473282077916</v>
      </c>
      <c r="AS125" t="str">
        <f t="shared" si="307"/>
        <v>31 Science, engineering and technology associate professionals</v>
      </c>
      <c r="AT125" s="225">
        <f t="shared" si="294"/>
        <v>4.5167270722589379</v>
      </c>
      <c r="AU125" s="225">
        <f t="shared" si="294"/>
        <v>3.6727632715938867</v>
      </c>
      <c r="AV125" s="225">
        <f t="shared" si="294"/>
        <v>-7.6736653742630523</v>
      </c>
      <c r="AW125" s="225">
        <f t="shared" si="294"/>
        <v>-0.1882367071110167</v>
      </c>
      <c r="AX125" s="225">
        <f t="shared" si="295"/>
        <v>-7.861902081374069</v>
      </c>
      <c r="BD125" t="str">
        <f t="shared" si="308"/>
        <v>31 Science, engineering and technology associate professionals</v>
      </c>
      <c r="BE125" s="225">
        <f t="shared" si="296"/>
        <v>5.2486859765629248</v>
      </c>
      <c r="BF125" s="225">
        <f t="shared" si="296"/>
        <v>10.10604150428351</v>
      </c>
      <c r="BG125" s="225">
        <f t="shared" si="296"/>
        <v>-20.865330592285787</v>
      </c>
      <c r="BH125" s="225">
        <f t="shared" si="296"/>
        <v>-13.681388072753123</v>
      </c>
      <c r="BI125" s="225">
        <f t="shared" si="297"/>
        <v>-34.54671866503891</v>
      </c>
      <c r="BO125" t="str">
        <f t="shared" si="309"/>
        <v>31 Science, engineering and technology associate professionals</v>
      </c>
      <c r="BP125" s="225">
        <f t="shared" si="298"/>
        <v>8.7597328321917516</v>
      </c>
      <c r="BQ125" s="225">
        <f t="shared" si="298"/>
        <v>3.5767275206805778</v>
      </c>
      <c r="BR125" s="225">
        <f t="shared" si="298"/>
        <v>-9.0200030124205028</v>
      </c>
      <c r="BS125" s="225">
        <f t="shared" si="298"/>
        <v>-3.9978076477043416</v>
      </c>
      <c r="BT125" s="225">
        <f t="shared" si="299"/>
        <v>-13.017810660124844</v>
      </c>
      <c r="BZ125" t="str">
        <f t="shared" si="310"/>
        <v>31 Science, engineering and technology associate professionals</v>
      </c>
      <c r="CA125" s="278">
        <f t="shared" si="300"/>
        <v>8.5473485438910259</v>
      </c>
      <c r="CB125" s="278">
        <f t="shared" si="300"/>
        <v>3.5853290948971832</v>
      </c>
      <c r="CC125" s="278">
        <f t="shared" si="300"/>
        <v>-7.6549239275077241</v>
      </c>
      <c r="CD125" s="278">
        <f t="shared" si="300"/>
        <v>-10.67879763819527</v>
      </c>
      <c r="CE125" s="278">
        <f t="shared" si="301"/>
        <v>-18.333721565702994</v>
      </c>
      <c r="CK125" t="str">
        <f t="shared" si="311"/>
        <v>31 Science, engineering and technology associate professionals</v>
      </c>
      <c r="CL125" s="278">
        <f t="shared" si="302"/>
        <v>3.1262334071812585</v>
      </c>
      <c r="CM125" s="278">
        <f t="shared" si="302"/>
        <v>1.2710843157001612</v>
      </c>
      <c r="CN125" s="278">
        <f t="shared" si="302"/>
        <v>1.3398092709723919</v>
      </c>
      <c r="CO125" s="278">
        <f t="shared" si="302"/>
        <v>4.8007330042537415</v>
      </c>
      <c r="CP125" s="278">
        <f t="shared" si="303"/>
        <v>6.1405422752261334</v>
      </c>
    </row>
    <row r="126" spans="1:94">
      <c r="A126" t="str">
        <f t="shared" si="285"/>
        <v>32 Health and social care associate professionals</v>
      </c>
      <c r="B126" s="225">
        <f t="shared" si="286"/>
        <v>0.86209606091717195</v>
      </c>
      <c r="C126" s="225">
        <f t="shared" si="286"/>
        <v>-0.20384914107741592</v>
      </c>
      <c r="D126" s="225">
        <f t="shared" si="286"/>
        <v>2.8049036337605258</v>
      </c>
      <c r="E126" s="225">
        <f t="shared" si="286"/>
        <v>4.298450335109977</v>
      </c>
      <c r="F126" s="225">
        <f t="shared" si="287"/>
        <v>7.1033539688705023</v>
      </c>
      <c r="L126" t="str">
        <f t="shared" si="304"/>
        <v>32 Health and social care associate professionals</v>
      </c>
      <c r="M126" s="225">
        <f t="shared" si="288"/>
        <v>19.098575491119774</v>
      </c>
      <c r="N126" s="225">
        <f t="shared" si="288"/>
        <v>1.9795578562779212</v>
      </c>
      <c r="O126" s="225">
        <f t="shared" si="288"/>
        <v>69.647129016277148</v>
      </c>
      <c r="P126" s="225">
        <f t="shared" si="288"/>
        <v>89.896448041037189</v>
      </c>
      <c r="Q126" s="225">
        <f t="shared" si="289"/>
        <v>159.54357705731434</v>
      </c>
      <c r="W126" t="str">
        <f t="shared" si="305"/>
        <v>32 Health and social care associate professionals</v>
      </c>
      <c r="X126" s="225">
        <f t="shared" si="290"/>
        <v>25.602571940837663</v>
      </c>
      <c r="Y126" s="225">
        <f t="shared" si="290"/>
        <v>7.7187924455770656</v>
      </c>
      <c r="Z126" s="225">
        <f t="shared" si="290"/>
        <v>122.23771661255881</v>
      </c>
      <c r="AA126" s="225">
        <f t="shared" si="290"/>
        <v>79.563055912054438</v>
      </c>
      <c r="AB126" s="225">
        <f t="shared" si="291"/>
        <v>201.80077252461325</v>
      </c>
      <c r="AH126" t="str">
        <f t="shared" si="306"/>
        <v>32 Health and social care associate professionals</v>
      </c>
      <c r="AI126" s="225">
        <f t="shared" si="292"/>
        <v>-12.930973226374959</v>
      </c>
      <c r="AJ126" s="225">
        <f t="shared" si="292"/>
        <v>-0.74624435197024752</v>
      </c>
      <c r="AK126" s="225">
        <f t="shared" si="292"/>
        <v>10.451162056311205</v>
      </c>
      <c r="AL126" s="225">
        <f t="shared" si="292"/>
        <v>-36.990851957822954</v>
      </c>
      <c r="AM126" s="225">
        <f t="shared" si="293"/>
        <v>-26.53968990151175</v>
      </c>
      <c r="AS126" t="str">
        <f t="shared" si="307"/>
        <v>32 Health and social care associate professionals</v>
      </c>
      <c r="AT126" s="225">
        <f t="shared" si="294"/>
        <v>2.9365995028117631</v>
      </c>
      <c r="AU126" s="225">
        <f t="shared" si="294"/>
        <v>3.2245492335640442</v>
      </c>
      <c r="AV126" s="225">
        <f t="shared" si="294"/>
        <v>12.549002697094934</v>
      </c>
      <c r="AW126" s="225">
        <f t="shared" si="294"/>
        <v>6.9346615564741398</v>
      </c>
      <c r="AX126" s="225">
        <f t="shared" si="295"/>
        <v>19.483664253569074</v>
      </c>
      <c r="BD126" t="str">
        <f t="shared" si="308"/>
        <v>32 Health and social care associate professionals</v>
      </c>
      <c r="BE126" s="225">
        <f t="shared" si="296"/>
        <v>18.742267599351095</v>
      </c>
      <c r="BF126" s="225">
        <f t="shared" si="296"/>
        <v>4.8810112108493513</v>
      </c>
      <c r="BG126" s="225">
        <f t="shared" si="296"/>
        <v>67.402393720174842</v>
      </c>
      <c r="BH126" s="225">
        <f t="shared" si="296"/>
        <v>37.787515719887409</v>
      </c>
      <c r="BI126" s="225">
        <f t="shared" si="297"/>
        <v>105.18990944006225</v>
      </c>
      <c r="BO126" t="str">
        <f t="shared" si="309"/>
        <v>32 Health and social care associate professionals</v>
      </c>
      <c r="BP126" s="225">
        <f t="shared" si="298"/>
        <v>9.1916896203413927</v>
      </c>
      <c r="BQ126" s="225">
        <f t="shared" si="298"/>
        <v>-2.8191337214248335</v>
      </c>
      <c r="BR126" s="225">
        <f t="shared" si="298"/>
        <v>34.682075376737615</v>
      </c>
      <c r="BS126" s="225">
        <f t="shared" si="298"/>
        <v>-14.865471741232298</v>
      </c>
      <c r="BT126" s="225">
        <f t="shared" si="299"/>
        <v>19.816603635505317</v>
      </c>
      <c r="BZ126" t="str">
        <f t="shared" si="310"/>
        <v>32 Health and social care associate professionals</v>
      </c>
      <c r="CA126" s="278">
        <f t="shared" si="300"/>
        <v>-1.1359761034239888</v>
      </c>
      <c r="CB126" s="278">
        <f t="shared" si="300"/>
        <v>-2.6500435030044542</v>
      </c>
      <c r="CC126" s="278">
        <f t="shared" si="300"/>
        <v>7.6508460368953841</v>
      </c>
      <c r="CD126" s="278">
        <f t="shared" si="300"/>
        <v>-10.076621853929982</v>
      </c>
      <c r="CE126" s="278">
        <f t="shared" si="301"/>
        <v>-2.425775817034598</v>
      </c>
      <c r="CK126" t="str">
        <f t="shared" si="311"/>
        <v>32 Health and social care associate professionals</v>
      </c>
      <c r="CL126" s="278">
        <f t="shared" si="302"/>
        <v>0.45502749043865176</v>
      </c>
      <c r="CM126" s="278">
        <f t="shared" si="302"/>
        <v>-3.2219774366637033E-2</v>
      </c>
      <c r="CN126" s="278">
        <f t="shared" si="302"/>
        <v>2.3423465436145108</v>
      </c>
      <c r="CO126" s="278">
        <f t="shared" si="302"/>
        <v>1.7130531367702542</v>
      </c>
      <c r="CP126" s="278">
        <f t="shared" si="303"/>
        <v>4.0553996803847649</v>
      </c>
    </row>
    <row r="127" spans="1:94">
      <c r="A127" t="str">
        <f t="shared" si="285"/>
        <v>33 Protective service occupations</v>
      </c>
      <c r="B127" s="225">
        <f t="shared" si="286"/>
        <v>0.19213639767433865</v>
      </c>
      <c r="C127" s="225">
        <f t="shared" si="286"/>
        <v>6.4461193082504975E-2</v>
      </c>
      <c r="D127" s="225">
        <f t="shared" si="286"/>
        <v>0.28642020078148134</v>
      </c>
      <c r="E127" s="225">
        <f t="shared" si="286"/>
        <v>0.89010781684012086</v>
      </c>
      <c r="F127" s="225">
        <f t="shared" si="287"/>
        <v>1.1765280176216022</v>
      </c>
      <c r="L127" t="str">
        <f t="shared" si="304"/>
        <v>33 Protective service occupations</v>
      </c>
      <c r="M127" s="225">
        <f t="shared" si="288"/>
        <v>4.2593882576795359</v>
      </c>
      <c r="N127" s="225">
        <f t="shared" si="288"/>
        <v>2.1078423725178119</v>
      </c>
      <c r="O127" s="225">
        <f t="shared" si="288"/>
        <v>2.4535014991796871</v>
      </c>
      <c r="P127" s="225">
        <f t="shared" si="288"/>
        <v>15.293011447823353</v>
      </c>
      <c r="Q127" s="225">
        <f t="shared" si="289"/>
        <v>17.74651294700304</v>
      </c>
      <c r="W127" t="str">
        <f t="shared" si="305"/>
        <v>33 Protective service occupations</v>
      </c>
      <c r="X127" s="225">
        <f t="shared" si="290"/>
        <v>8.3030203609989854</v>
      </c>
      <c r="Y127" s="225">
        <f t="shared" si="290"/>
        <v>9.145822752844154</v>
      </c>
      <c r="Z127" s="225">
        <f t="shared" si="290"/>
        <v>-7.5590197845586715</v>
      </c>
      <c r="AA127" s="225">
        <f t="shared" si="290"/>
        <v>23.338884575245785</v>
      </c>
      <c r="AB127" s="225">
        <f t="shared" si="291"/>
        <v>15.779864790687114</v>
      </c>
      <c r="AH127" t="str">
        <f t="shared" si="306"/>
        <v>33 Protective service occupations</v>
      </c>
      <c r="AI127" s="225">
        <f t="shared" si="292"/>
        <v>1.6726326602618258</v>
      </c>
      <c r="AJ127" s="225">
        <f t="shared" si="292"/>
        <v>2.7325930362084812</v>
      </c>
      <c r="AK127" s="225">
        <f t="shared" si="292"/>
        <v>-1.6360668000083187</v>
      </c>
      <c r="AL127" s="225">
        <f t="shared" si="292"/>
        <v>6.1832054907216438</v>
      </c>
      <c r="AM127" s="225">
        <f t="shared" si="293"/>
        <v>4.5471386907133251</v>
      </c>
      <c r="AS127" t="str">
        <f t="shared" si="307"/>
        <v>33 Protective service occupations</v>
      </c>
      <c r="AT127" s="225">
        <f t="shared" si="294"/>
        <v>-1.2235814503832891</v>
      </c>
      <c r="AU127" s="225">
        <f t="shared" si="294"/>
        <v>1.4824676842836482</v>
      </c>
      <c r="AV127" s="225">
        <f t="shared" si="294"/>
        <v>-3.9204321560370161</v>
      </c>
      <c r="AW127" s="225">
        <f t="shared" si="294"/>
        <v>1.0287237972630905</v>
      </c>
      <c r="AX127" s="225">
        <f t="shared" si="295"/>
        <v>-2.8917083587739256</v>
      </c>
      <c r="BD127" t="str">
        <f t="shared" si="308"/>
        <v>33 Protective service occupations</v>
      </c>
      <c r="BE127" s="225">
        <f t="shared" si="296"/>
        <v>-3.8448642142310518</v>
      </c>
      <c r="BF127" s="225">
        <f t="shared" si="296"/>
        <v>4.3383467352101732</v>
      </c>
      <c r="BG127" s="225">
        <f t="shared" si="296"/>
        <v>-12.850698715415326</v>
      </c>
      <c r="BH127" s="225">
        <f t="shared" si="296"/>
        <v>-6.3673492686002149</v>
      </c>
      <c r="BI127" s="225">
        <f t="shared" si="297"/>
        <v>-19.218047984015541</v>
      </c>
      <c r="BO127" t="str">
        <f t="shared" si="309"/>
        <v>33 Protective service occupations</v>
      </c>
      <c r="BP127" s="225">
        <f t="shared" si="298"/>
        <v>0.75169593530695522</v>
      </c>
      <c r="BQ127" s="225">
        <f t="shared" si="298"/>
        <v>-1.4655012245519003</v>
      </c>
      <c r="BR127" s="225">
        <f t="shared" si="298"/>
        <v>-15.285675479896383</v>
      </c>
      <c r="BS127" s="225">
        <f t="shared" si="298"/>
        <v>-14.142614044527832</v>
      </c>
      <c r="BT127" s="225">
        <f t="shared" si="299"/>
        <v>-29.428289524424216</v>
      </c>
      <c r="BZ127" t="str">
        <f t="shared" si="310"/>
        <v>33 Protective service occupations</v>
      </c>
      <c r="CA127" s="278">
        <f t="shared" si="300"/>
        <v>-0.76322446300225977</v>
      </c>
      <c r="CB127" s="278">
        <f t="shared" si="300"/>
        <v>2.1516504466333686E-2</v>
      </c>
      <c r="CC127" s="278">
        <f t="shared" si="300"/>
        <v>-7.750778975586659</v>
      </c>
      <c r="CD127" s="278">
        <f t="shared" si="300"/>
        <v>-4.8647430400568759</v>
      </c>
      <c r="CE127" s="278">
        <f t="shared" si="301"/>
        <v>-12.615522015643535</v>
      </c>
      <c r="CK127" t="str">
        <f t="shared" si="311"/>
        <v>33 Protective service occupations</v>
      </c>
      <c r="CL127" s="278">
        <f t="shared" si="302"/>
        <v>-1.0428062641097684</v>
      </c>
      <c r="CM127" s="278">
        <f t="shared" si="302"/>
        <v>-0.40839419085603446</v>
      </c>
      <c r="CN127" s="278">
        <f t="shared" si="302"/>
        <v>-1.3812129694743112</v>
      </c>
      <c r="CO127" s="278">
        <f t="shared" si="302"/>
        <v>-0.53106970817781951</v>
      </c>
      <c r="CP127" s="278">
        <f t="shared" si="303"/>
        <v>-1.9122826776521307</v>
      </c>
    </row>
    <row r="128" spans="1:94">
      <c r="A128" t="str">
        <f t="shared" si="285"/>
        <v>34 Culture, media and sports occupations</v>
      </c>
      <c r="B128" s="225">
        <f t="shared" si="286"/>
        <v>2.2529992837497375</v>
      </c>
      <c r="C128" s="225">
        <f t="shared" si="286"/>
        <v>0.47684268989112333</v>
      </c>
      <c r="D128" s="225">
        <f t="shared" si="286"/>
        <v>1.7138907936292416</v>
      </c>
      <c r="E128" s="225">
        <f t="shared" si="286"/>
        <v>4.1782373199984182</v>
      </c>
      <c r="F128" s="225">
        <f t="shared" si="287"/>
        <v>5.8921281136276598</v>
      </c>
      <c r="L128" t="str">
        <f t="shared" si="304"/>
        <v>34 Culture, media and sports occupations</v>
      </c>
      <c r="M128" s="225">
        <f t="shared" si="288"/>
        <v>20.920794814668554</v>
      </c>
      <c r="N128" s="225">
        <f t="shared" si="288"/>
        <v>23.132139487904595</v>
      </c>
      <c r="O128" s="225">
        <f t="shared" si="288"/>
        <v>22.348587584669502</v>
      </c>
      <c r="P128" s="225">
        <f t="shared" si="288"/>
        <v>69.855040553987294</v>
      </c>
      <c r="Q128" s="225">
        <f t="shared" si="289"/>
        <v>92.203628138656796</v>
      </c>
      <c r="W128" t="str">
        <f t="shared" si="305"/>
        <v>34 Culture, media and sports occupations</v>
      </c>
      <c r="X128" s="225">
        <f t="shared" si="290"/>
        <v>-5.7556127569436342</v>
      </c>
      <c r="Y128" s="225">
        <f t="shared" si="290"/>
        <v>22.20846755632175</v>
      </c>
      <c r="Z128" s="225">
        <f t="shared" si="290"/>
        <v>-29.414911579546981</v>
      </c>
      <c r="AA128" s="225">
        <f t="shared" si="290"/>
        <v>3.6937017997199462</v>
      </c>
      <c r="AB128" s="225">
        <f t="shared" si="291"/>
        <v>-25.721209779827035</v>
      </c>
      <c r="AH128" t="str">
        <f t="shared" si="306"/>
        <v>34 Culture, media and sports occupations</v>
      </c>
      <c r="AI128" s="225">
        <f t="shared" si="292"/>
        <v>0.19648808586633493</v>
      </c>
      <c r="AJ128" s="225">
        <f t="shared" si="292"/>
        <v>5.5386438172246528</v>
      </c>
      <c r="AK128" s="225">
        <f t="shared" si="292"/>
        <v>-3.6233030653176783</v>
      </c>
      <c r="AL128" s="225">
        <f t="shared" si="292"/>
        <v>6.7464397391183724</v>
      </c>
      <c r="AM128" s="225">
        <f t="shared" si="293"/>
        <v>3.123136673800694</v>
      </c>
      <c r="AS128" t="str">
        <f t="shared" si="307"/>
        <v>34 Culture, media and sports occupations</v>
      </c>
      <c r="AT128" s="225">
        <f t="shared" si="294"/>
        <v>-2.9700186279813821</v>
      </c>
      <c r="AU128" s="225">
        <f t="shared" si="294"/>
        <v>2.7829504439538155</v>
      </c>
      <c r="AV128" s="225">
        <f t="shared" si="294"/>
        <v>-6.3085977972137002</v>
      </c>
      <c r="AW128" s="225">
        <f t="shared" si="294"/>
        <v>-1.0607440942847326</v>
      </c>
      <c r="AX128" s="225">
        <f t="shared" si="295"/>
        <v>-7.3693418914984328</v>
      </c>
      <c r="BD128" t="str">
        <f t="shared" si="308"/>
        <v>34 Culture, media and sports occupations</v>
      </c>
      <c r="BE128" s="225">
        <f t="shared" si="296"/>
        <v>-6.0868498032784828</v>
      </c>
      <c r="BF128" s="225">
        <f t="shared" si="296"/>
        <v>5.3879955792043575</v>
      </c>
      <c r="BG128" s="225">
        <f t="shared" si="296"/>
        <v>-18.673454095820546</v>
      </c>
      <c r="BH128" s="225">
        <f t="shared" si="296"/>
        <v>-3.8014181432668153</v>
      </c>
      <c r="BI128" s="225">
        <f t="shared" si="297"/>
        <v>-22.474872239087361</v>
      </c>
      <c r="BO128" t="str">
        <f t="shared" si="309"/>
        <v>34 Culture, media and sports occupations</v>
      </c>
      <c r="BP128" s="225">
        <f t="shared" si="298"/>
        <v>-6.8279669442995043</v>
      </c>
      <c r="BQ128" s="225">
        <f t="shared" si="298"/>
        <v>-2.7150328345511454</v>
      </c>
      <c r="BR128" s="225">
        <f t="shared" si="298"/>
        <v>-12.455439382029947</v>
      </c>
      <c r="BS128" s="225">
        <f t="shared" si="298"/>
        <v>-12.019376301130187</v>
      </c>
      <c r="BT128" s="225">
        <f t="shared" si="299"/>
        <v>-24.474815683160134</v>
      </c>
      <c r="BZ128" t="str">
        <f t="shared" si="310"/>
        <v>34 Culture, media and sports occupations</v>
      </c>
      <c r="CA128" s="278">
        <f t="shared" si="300"/>
        <v>-3.0618771227056101</v>
      </c>
      <c r="CB128" s="278">
        <f t="shared" si="300"/>
        <v>-1.8422631640813947</v>
      </c>
      <c r="CC128" s="278">
        <f t="shared" si="300"/>
        <v>-11.005876393154121</v>
      </c>
      <c r="CD128" s="278">
        <f t="shared" si="300"/>
        <v>-10.325349675544359</v>
      </c>
      <c r="CE128" s="278">
        <f t="shared" si="301"/>
        <v>-21.331226068698481</v>
      </c>
      <c r="CK128" t="str">
        <f t="shared" si="311"/>
        <v>34 Culture, media and sports occupations</v>
      </c>
      <c r="CL128" s="278">
        <f t="shared" si="302"/>
        <v>1.3404922697834056</v>
      </c>
      <c r="CM128" s="278">
        <f t="shared" si="302"/>
        <v>-1.3797065061800264</v>
      </c>
      <c r="CN128" s="278">
        <f t="shared" si="302"/>
        <v>-1.3347732165072905</v>
      </c>
      <c r="CO128" s="278">
        <f t="shared" si="302"/>
        <v>-0.863975347445054</v>
      </c>
      <c r="CP128" s="278">
        <f t="shared" si="303"/>
        <v>-2.1987485639523445</v>
      </c>
    </row>
    <row r="129" spans="1:94">
      <c r="A129" t="str">
        <f t="shared" si="285"/>
        <v>35 Business and public service associate professionals</v>
      </c>
      <c r="B129" s="225">
        <f t="shared" si="286"/>
        <v>6.8388386147621389</v>
      </c>
      <c r="C129" s="225">
        <f t="shared" si="286"/>
        <v>1.3556488209004165</v>
      </c>
      <c r="D129" s="225">
        <f t="shared" si="286"/>
        <v>10.802418875925447</v>
      </c>
      <c r="E129" s="225">
        <f t="shared" si="286"/>
        <v>22.078623857738187</v>
      </c>
      <c r="F129" s="225">
        <f t="shared" si="287"/>
        <v>32.881042733663634</v>
      </c>
      <c r="L129" t="str">
        <f t="shared" si="304"/>
        <v>35 Business and public service associate professionals</v>
      </c>
      <c r="M129" s="225">
        <f t="shared" si="288"/>
        <v>71.892244957280923</v>
      </c>
      <c r="N129" s="225">
        <f t="shared" si="288"/>
        <v>12.710314669835213</v>
      </c>
      <c r="O129" s="225">
        <f t="shared" si="288"/>
        <v>94.819468199570167</v>
      </c>
      <c r="P129" s="225">
        <f t="shared" si="288"/>
        <v>168.66445395754465</v>
      </c>
      <c r="Q129" s="225">
        <f t="shared" si="289"/>
        <v>263.48392215711482</v>
      </c>
      <c r="W129" t="str">
        <f t="shared" si="305"/>
        <v>35 Business and public service associate professionals</v>
      </c>
      <c r="X129" s="225">
        <f t="shared" si="290"/>
        <v>32.66999922513628</v>
      </c>
      <c r="Y129" s="225">
        <f t="shared" si="290"/>
        <v>17.770631723479141</v>
      </c>
      <c r="Z129" s="225">
        <f t="shared" si="290"/>
        <v>4.9064032016422061</v>
      </c>
      <c r="AA129" s="225">
        <f t="shared" si="290"/>
        <v>14.137133625172737</v>
      </c>
      <c r="AB129" s="225">
        <f t="shared" si="291"/>
        <v>19.043536826814943</v>
      </c>
      <c r="AH129" t="str">
        <f t="shared" si="306"/>
        <v>35 Business and public service associate professionals</v>
      </c>
      <c r="AI129" s="225">
        <f t="shared" si="292"/>
        <v>7.7285267776676676</v>
      </c>
      <c r="AJ129" s="225">
        <f t="shared" si="292"/>
        <v>13.980570007565916</v>
      </c>
      <c r="AK129" s="225">
        <f t="shared" si="292"/>
        <v>3.4843403203914534</v>
      </c>
      <c r="AL129" s="225">
        <f t="shared" si="292"/>
        <v>14.58895359173971</v>
      </c>
      <c r="AM129" s="225">
        <f t="shared" si="293"/>
        <v>18.073293912131163</v>
      </c>
      <c r="AS129" t="str">
        <f t="shared" si="307"/>
        <v>35 Business and public service associate professionals</v>
      </c>
      <c r="AT129" s="225">
        <f t="shared" si="294"/>
        <v>5.4712429810306702</v>
      </c>
      <c r="AU129" s="225">
        <f t="shared" si="294"/>
        <v>8.9371238369722903</v>
      </c>
      <c r="AV129" s="225">
        <f t="shared" si="294"/>
        <v>0.90511100665742106</v>
      </c>
      <c r="AW129" s="225">
        <f t="shared" si="294"/>
        <v>10.072072309103135</v>
      </c>
      <c r="AX129" s="225">
        <f t="shared" si="295"/>
        <v>10.977183315760556</v>
      </c>
      <c r="BD129" t="str">
        <f t="shared" si="308"/>
        <v>35 Business and public service associate professionals</v>
      </c>
      <c r="BE129" s="225">
        <f t="shared" si="296"/>
        <v>9.3966019465018462</v>
      </c>
      <c r="BF129" s="225">
        <f t="shared" si="296"/>
        <v>18.24881079227373</v>
      </c>
      <c r="BG129" s="225">
        <f t="shared" si="296"/>
        <v>-24.767245356019544</v>
      </c>
      <c r="BH129" s="225">
        <f t="shared" si="296"/>
        <v>-15.791584849298886</v>
      </c>
      <c r="BI129" s="225">
        <f t="shared" si="297"/>
        <v>-40.558830205318429</v>
      </c>
      <c r="BO129" t="str">
        <f t="shared" si="309"/>
        <v>35 Business and public service associate professionals</v>
      </c>
      <c r="BP129" s="225">
        <f t="shared" si="298"/>
        <v>4.2561356729676163</v>
      </c>
      <c r="BQ129" s="225">
        <f t="shared" si="298"/>
        <v>-6.4812058224507041</v>
      </c>
      <c r="BR129" s="225">
        <f t="shared" si="298"/>
        <v>-27.378008345677017</v>
      </c>
      <c r="BS129" s="225">
        <f t="shared" si="298"/>
        <v>-47.870693242124304</v>
      </c>
      <c r="BT129" s="225">
        <f t="shared" si="299"/>
        <v>-75.248701587801321</v>
      </c>
      <c r="BZ129" t="str">
        <f t="shared" si="310"/>
        <v>35 Business and public service associate professionals</v>
      </c>
      <c r="CA129" s="278">
        <f t="shared" si="300"/>
        <v>-0.20480760923601338</v>
      </c>
      <c r="CB129" s="278">
        <f t="shared" si="300"/>
        <v>-7.1880558985484413</v>
      </c>
      <c r="CC129" s="278">
        <f t="shared" si="300"/>
        <v>-23.082257292242844</v>
      </c>
      <c r="CD129" s="278">
        <f t="shared" si="300"/>
        <v>-50.371229338480234</v>
      </c>
      <c r="CE129" s="278">
        <f t="shared" si="301"/>
        <v>-73.453486630723077</v>
      </c>
      <c r="CK129" t="str">
        <f t="shared" si="311"/>
        <v>35 Business and public service associate professionals</v>
      </c>
      <c r="CL129" s="278">
        <f t="shared" si="302"/>
        <v>1.4836682790580937</v>
      </c>
      <c r="CM129" s="278">
        <f t="shared" si="302"/>
        <v>-2.6462422013622131</v>
      </c>
      <c r="CN129" s="278">
        <f t="shared" si="302"/>
        <v>-5.4261614886050182</v>
      </c>
      <c r="CO129" s="278">
        <f t="shared" si="302"/>
        <v>5.8740314490961509E-2</v>
      </c>
      <c r="CP129" s="278">
        <f t="shared" si="303"/>
        <v>-5.3674211741140567</v>
      </c>
    </row>
    <row r="130" spans="1:94">
      <c r="A130" t="str">
        <f t="shared" si="285"/>
        <v>41 Administrative occupations</v>
      </c>
      <c r="B130" s="225">
        <f t="shared" si="286"/>
        <v>2.8307359652483886</v>
      </c>
      <c r="C130" s="225">
        <f t="shared" si="286"/>
        <v>1.0829341304595399</v>
      </c>
      <c r="D130" s="225">
        <f t="shared" si="286"/>
        <v>6.8904208031554148</v>
      </c>
      <c r="E130" s="225">
        <f t="shared" si="286"/>
        <v>14.082879051423514</v>
      </c>
      <c r="F130" s="225">
        <f t="shared" si="287"/>
        <v>20.973299854578929</v>
      </c>
      <c r="L130" t="str">
        <f t="shared" si="304"/>
        <v>41 Administrative occupations</v>
      </c>
      <c r="M130" s="225">
        <f t="shared" si="288"/>
        <v>35.081856682231518</v>
      </c>
      <c r="N130" s="225">
        <f t="shared" si="288"/>
        <v>12.661041318100104</v>
      </c>
      <c r="O130" s="225">
        <f t="shared" si="288"/>
        <v>78.031329410871308</v>
      </c>
      <c r="P130" s="225">
        <f t="shared" si="288"/>
        <v>135.10467354975162</v>
      </c>
      <c r="Q130" s="225">
        <f t="shared" si="289"/>
        <v>213.13600296062293</v>
      </c>
      <c r="W130" t="str">
        <f t="shared" si="305"/>
        <v>41 Administrative occupations</v>
      </c>
      <c r="X130" s="225">
        <f t="shared" si="290"/>
        <v>16.811736819665725</v>
      </c>
      <c r="Y130" s="225">
        <f t="shared" si="290"/>
        <v>45.546228535957709</v>
      </c>
      <c r="Z130" s="225">
        <f t="shared" si="290"/>
        <v>92.242099119100885</v>
      </c>
      <c r="AA130" s="225">
        <f t="shared" si="290"/>
        <v>114.48177969445885</v>
      </c>
      <c r="AB130" s="225">
        <f t="shared" si="291"/>
        <v>206.72387881355974</v>
      </c>
      <c r="AH130" t="str">
        <f t="shared" si="306"/>
        <v>41 Administrative occupations</v>
      </c>
      <c r="AI130" s="225">
        <f t="shared" si="292"/>
        <v>7.3040321461602673</v>
      </c>
      <c r="AJ130" s="225">
        <f t="shared" si="292"/>
        <v>17.205222659234238</v>
      </c>
      <c r="AK130" s="225">
        <f t="shared" si="292"/>
        <v>23.957836532342412</v>
      </c>
      <c r="AL130" s="225">
        <f t="shared" si="292"/>
        <v>35.34353613930088</v>
      </c>
      <c r="AM130" s="225">
        <f t="shared" si="293"/>
        <v>59.301372671643293</v>
      </c>
      <c r="AS130" t="str">
        <f t="shared" si="307"/>
        <v>41 Administrative occupations</v>
      </c>
      <c r="AT130" s="225">
        <f t="shared" si="294"/>
        <v>4.3218575048074115</v>
      </c>
      <c r="AU130" s="225">
        <f t="shared" si="294"/>
        <v>16.485180715584619</v>
      </c>
      <c r="AV130" s="225">
        <f t="shared" si="294"/>
        <v>13.680959748099042</v>
      </c>
      <c r="AW130" s="225">
        <f t="shared" si="294"/>
        <v>28.166509019178818</v>
      </c>
      <c r="AX130" s="225">
        <f t="shared" si="295"/>
        <v>41.84746876727786</v>
      </c>
      <c r="BD130" t="str">
        <f t="shared" si="308"/>
        <v>41 Administrative occupations</v>
      </c>
      <c r="BE130" s="225">
        <f t="shared" si="296"/>
        <v>-11.512019983467781</v>
      </c>
      <c r="BF130" s="225">
        <f t="shared" si="296"/>
        <v>30.700566155203092</v>
      </c>
      <c r="BG130" s="225">
        <f t="shared" si="296"/>
        <v>-5.3977571939055906</v>
      </c>
      <c r="BH130" s="225">
        <f t="shared" si="296"/>
        <v>-66.738501804940086</v>
      </c>
      <c r="BI130" s="225">
        <f t="shared" si="297"/>
        <v>-72.136258998845676</v>
      </c>
      <c r="BO130" t="str">
        <f t="shared" si="309"/>
        <v>41 Administrative occupations</v>
      </c>
      <c r="BP130" s="225">
        <f t="shared" si="298"/>
        <v>-37.688849568860746</v>
      </c>
      <c r="BQ130" s="225">
        <f t="shared" si="298"/>
        <v>-6.4119769834177305</v>
      </c>
      <c r="BR130" s="225">
        <f t="shared" si="298"/>
        <v>-34.691926618871207</v>
      </c>
      <c r="BS130" s="225">
        <f t="shared" si="298"/>
        <v>-164.99141249877715</v>
      </c>
      <c r="BT130" s="225">
        <f t="shared" si="299"/>
        <v>-199.68333911764836</v>
      </c>
      <c r="BZ130" t="str">
        <f t="shared" si="310"/>
        <v>41 Administrative occupations</v>
      </c>
      <c r="CA130" s="278">
        <f t="shared" si="300"/>
        <v>-43.680385501513058</v>
      </c>
      <c r="CB130" s="278">
        <f t="shared" si="300"/>
        <v>-18.687751355141813</v>
      </c>
      <c r="CC130" s="278">
        <f t="shared" si="300"/>
        <v>-73.341451370648713</v>
      </c>
      <c r="CD130" s="278">
        <f t="shared" si="300"/>
        <v>-128.67088325405095</v>
      </c>
      <c r="CE130" s="278">
        <f t="shared" si="301"/>
        <v>-202.01233462469966</v>
      </c>
      <c r="CK130" t="str">
        <f t="shared" si="311"/>
        <v>41 Administrative occupations</v>
      </c>
      <c r="CL130" s="278">
        <f t="shared" si="302"/>
        <v>-10.186153115209933</v>
      </c>
      <c r="CM130" s="278">
        <f t="shared" si="302"/>
        <v>-3.4141176343893562</v>
      </c>
      <c r="CN130" s="278">
        <f t="shared" si="302"/>
        <v>-12.758254376506734</v>
      </c>
      <c r="CO130" s="278">
        <f t="shared" si="302"/>
        <v>-15.151296172881665</v>
      </c>
      <c r="CP130" s="278">
        <f t="shared" si="303"/>
        <v>-27.909550549388399</v>
      </c>
    </row>
    <row r="131" spans="1:94">
      <c r="A131" t="str">
        <f t="shared" si="285"/>
        <v>42 Secretarial and related occupations</v>
      </c>
      <c r="B131" s="225">
        <f t="shared" si="286"/>
        <v>0.35730791058766265</v>
      </c>
      <c r="C131" s="225">
        <f t="shared" si="286"/>
        <v>-1.3043524058707234E-2</v>
      </c>
      <c r="D131" s="225">
        <f t="shared" si="286"/>
        <v>0.94894924317689533</v>
      </c>
      <c r="E131" s="225">
        <f t="shared" si="286"/>
        <v>2.228899518941021</v>
      </c>
      <c r="F131" s="225">
        <f t="shared" si="287"/>
        <v>3.1778487621179163</v>
      </c>
      <c r="L131" t="str">
        <f t="shared" si="304"/>
        <v>42 Secretarial and related occupations</v>
      </c>
      <c r="M131" s="225">
        <f t="shared" si="288"/>
        <v>4.4367740863571505</v>
      </c>
      <c r="N131" s="225">
        <f t="shared" si="288"/>
        <v>1.1172598754182204</v>
      </c>
      <c r="O131" s="225">
        <f t="shared" si="288"/>
        <v>14.024853824247835</v>
      </c>
      <c r="P131" s="225">
        <f t="shared" si="288"/>
        <v>13.833518393892604</v>
      </c>
      <c r="Q131" s="225">
        <f t="shared" si="289"/>
        <v>27.858372218140438</v>
      </c>
      <c r="W131" t="str">
        <f t="shared" si="305"/>
        <v>42 Secretarial and related occupations</v>
      </c>
      <c r="X131" s="225">
        <f t="shared" si="290"/>
        <v>0.36083936691970564</v>
      </c>
      <c r="Y131" s="225">
        <f t="shared" si="290"/>
        <v>4.156931795861226</v>
      </c>
      <c r="Z131" s="225">
        <f t="shared" si="290"/>
        <v>23.526309139084617</v>
      </c>
      <c r="AA131" s="225">
        <f t="shared" si="290"/>
        <v>38.843233404576665</v>
      </c>
      <c r="AB131" s="225">
        <f t="shared" si="291"/>
        <v>62.369542543661282</v>
      </c>
      <c r="AH131" t="str">
        <f t="shared" si="306"/>
        <v>42 Secretarial and related occupations</v>
      </c>
      <c r="AI131" s="225">
        <f t="shared" si="292"/>
        <v>-0.63377913035948552</v>
      </c>
      <c r="AJ131" s="225">
        <f t="shared" si="292"/>
        <v>3.7062957690265321</v>
      </c>
      <c r="AK131" s="225">
        <f t="shared" si="292"/>
        <v>5.3048593227094685</v>
      </c>
      <c r="AL131" s="225">
        <f t="shared" si="292"/>
        <v>2.8610633152922915</v>
      </c>
      <c r="AM131" s="225">
        <f t="shared" si="293"/>
        <v>8.16592263800176</v>
      </c>
      <c r="AS131" t="str">
        <f t="shared" si="307"/>
        <v>42 Secretarial and related occupations</v>
      </c>
      <c r="AT131" s="225">
        <f t="shared" si="294"/>
        <v>-2.0266354384520504</v>
      </c>
      <c r="AU131" s="225">
        <f t="shared" si="294"/>
        <v>2.5259350939578518</v>
      </c>
      <c r="AV131" s="225">
        <f t="shared" si="294"/>
        <v>2.6279230031053302</v>
      </c>
      <c r="AW131" s="225">
        <f t="shared" si="294"/>
        <v>-0.63979066234997362</v>
      </c>
      <c r="AX131" s="225">
        <f t="shared" si="295"/>
        <v>1.9881323407553566</v>
      </c>
      <c r="BD131" t="str">
        <f t="shared" si="308"/>
        <v>42 Secretarial and related occupations</v>
      </c>
      <c r="BE131" s="225">
        <f t="shared" si="296"/>
        <v>-10.505662126131014</v>
      </c>
      <c r="BF131" s="225">
        <f t="shared" si="296"/>
        <v>-0.3801439845199468</v>
      </c>
      <c r="BG131" s="225">
        <f t="shared" si="296"/>
        <v>-5.5754905634012459</v>
      </c>
      <c r="BH131" s="225">
        <f t="shared" si="296"/>
        <v>-66.959682055298998</v>
      </c>
      <c r="BI131" s="225">
        <f t="shared" si="297"/>
        <v>-72.535172618700244</v>
      </c>
      <c r="BO131" t="str">
        <f t="shared" si="309"/>
        <v>42 Secretarial and related occupations</v>
      </c>
      <c r="BP131" s="225">
        <f t="shared" si="298"/>
        <v>-27.904992551266844</v>
      </c>
      <c r="BQ131" s="225">
        <f t="shared" si="298"/>
        <v>-11.207883355520863</v>
      </c>
      <c r="BR131" s="225">
        <f t="shared" si="298"/>
        <v>-33.858618269423062</v>
      </c>
      <c r="BS131" s="225">
        <f t="shared" si="298"/>
        <v>-66.398458246154448</v>
      </c>
      <c r="BT131" s="225">
        <f t="shared" si="299"/>
        <v>-100.25707651557751</v>
      </c>
      <c r="BZ131" t="str">
        <f t="shared" si="310"/>
        <v>42 Secretarial and related occupations</v>
      </c>
      <c r="CA131" s="278">
        <f t="shared" si="300"/>
        <v>-15.176846109256104</v>
      </c>
      <c r="CB131" s="278">
        <f t="shared" si="300"/>
        <v>-13.969598088433358</v>
      </c>
      <c r="CC131" s="278">
        <f t="shared" si="300"/>
        <v>-50.176266060700705</v>
      </c>
      <c r="CD131" s="278">
        <f t="shared" si="300"/>
        <v>-47.043973699997224</v>
      </c>
      <c r="CE131" s="278">
        <f t="shared" si="301"/>
        <v>-97.220239760697936</v>
      </c>
      <c r="CK131" t="str">
        <f t="shared" si="311"/>
        <v>42 Secretarial and related occupations</v>
      </c>
      <c r="CL131" s="278">
        <f t="shared" si="302"/>
        <v>-0.77695161359356746</v>
      </c>
      <c r="CM131" s="278">
        <f t="shared" si="302"/>
        <v>-2.4032184835584367</v>
      </c>
      <c r="CN131" s="278">
        <f t="shared" si="302"/>
        <v>-1.5118421865377059</v>
      </c>
      <c r="CO131" s="278">
        <f t="shared" si="302"/>
        <v>-5.558302509001372</v>
      </c>
      <c r="CP131" s="278">
        <f t="shared" si="303"/>
        <v>-7.0701446955390779</v>
      </c>
    </row>
    <row r="132" spans="1:94">
      <c r="A132" t="str">
        <f t="shared" si="285"/>
        <v>51 Skilled agricultural and related trades</v>
      </c>
      <c r="B132" s="225">
        <f t="shared" si="286"/>
        <v>0.33751093617653227</v>
      </c>
      <c r="C132" s="225">
        <f t="shared" si="286"/>
        <v>-0.1951336099988833</v>
      </c>
      <c r="D132" s="225">
        <f t="shared" si="286"/>
        <v>0.21041156723943544</v>
      </c>
      <c r="E132" s="225">
        <f t="shared" si="286"/>
        <v>0.54807214299484119</v>
      </c>
      <c r="F132" s="225">
        <f t="shared" si="287"/>
        <v>0.75848371023427663</v>
      </c>
      <c r="L132" t="str">
        <f t="shared" si="304"/>
        <v>51 Skilled agricultural and related trades</v>
      </c>
      <c r="M132" s="225">
        <f t="shared" si="288"/>
        <v>0.88482946013297692</v>
      </c>
      <c r="N132" s="225">
        <f t="shared" si="288"/>
        <v>-0.84122002250184646</v>
      </c>
      <c r="O132" s="225">
        <f t="shared" si="288"/>
        <v>1.1461603967528831</v>
      </c>
      <c r="P132" s="225">
        <f t="shared" si="288"/>
        <v>3.3031568012485613</v>
      </c>
      <c r="Q132" s="225">
        <f t="shared" si="289"/>
        <v>4.4493171980014443</v>
      </c>
      <c r="W132" t="str">
        <f t="shared" si="305"/>
        <v>51 Skilled agricultural and related trades</v>
      </c>
      <c r="X132" s="225">
        <f t="shared" si="290"/>
        <v>1.9097564954364898</v>
      </c>
      <c r="Y132" s="225">
        <f t="shared" si="290"/>
        <v>3.0979549106943196</v>
      </c>
      <c r="Z132" s="225">
        <f t="shared" si="290"/>
        <v>5.1086994592431907</v>
      </c>
      <c r="AA132" s="225">
        <f t="shared" si="290"/>
        <v>18.384708790965639</v>
      </c>
      <c r="AB132" s="225">
        <f t="shared" si="291"/>
        <v>23.49340825020883</v>
      </c>
      <c r="AH132" t="str">
        <f t="shared" si="306"/>
        <v>51 Skilled agricultural and related trades</v>
      </c>
      <c r="AI132" s="225">
        <f t="shared" si="292"/>
        <v>2.1586719315637986</v>
      </c>
      <c r="AJ132" s="225">
        <f t="shared" si="292"/>
        <v>-1.5365095690553581</v>
      </c>
      <c r="AK132" s="225">
        <f t="shared" si="292"/>
        <v>1.8342747067221161</v>
      </c>
      <c r="AL132" s="225">
        <f t="shared" si="292"/>
        <v>5.9946366450974047</v>
      </c>
      <c r="AM132" s="225">
        <f t="shared" si="293"/>
        <v>7.8289113518195208</v>
      </c>
      <c r="AS132" t="str">
        <f t="shared" si="307"/>
        <v>51 Skilled agricultural and related trades</v>
      </c>
      <c r="AT132" s="225">
        <f t="shared" si="294"/>
        <v>2.0776674191049338</v>
      </c>
      <c r="AU132" s="225">
        <f t="shared" si="294"/>
        <v>-1.3720926713435126</v>
      </c>
      <c r="AV132" s="225">
        <f t="shared" si="294"/>
        <v>2.1013112827233869</v>
      </c>
      <c r="AW132" s="225">
        <f t="shared" si="294"/>
        <v>9.8710137388631338</v>
      </c>
      <c r="AX132" s="225">
        <f t="shared" si="295"/>
        <v>11.972325021586521</v>
      </c>
      <c r="BD132" t="str">
        <f t="shared" si="308"/>
        <v>51 Skilled agricultural and related trades</v>
      </c>
      <c r="BE132" s="225">
        <f t="shared" si="296"/>
        <v>-0.23501072064807005</v>
      </c>
      <c r="BF132" s="225">
        <f t="shared" si="296"/>
        <v>-5.3898564859438665</v>
      </c>
      <c r="BG132" s="225">
        <f t="shared" si="296"/>
        <v>-2.9387816748781574</v>
      </c>
      <c r="BH132" s="225">
        <f t="shared" si="296"/>
        <v>1.2790268184179681</v>
      </c>
      <c r="BI132" s="225">
        <f t="shared" si="297"/>
        <v>-1.6597548564601894</v>
      </c>
      <c r="BO132" t="str">
        <f t="shared" si="309"/>
        <v>51 Skilled agricultural and related trades</v>
      </c>
      <c r="BP132" s="225">
        <f t="shared" si="298"/>
        <v>0.94682491135831981</v>
      </c>
      <c r="BQ132" s="225">
        <f t="shared" si="298"/>
        <v>-11.31405926025726</v>
      </c>
      <c r="BR132" s="225">
        <f t="shared" si="298"/>
        <v>-2.7040646781883453</v>
      </c>
      <c r="BS132" s="225">
        <f t="shared" si="298"/>
        <v>-1.4279847381660318</v>
      </c>
      <c r="BT132" s="225">
        <f t="shared" si="299"/>
        <v>-4.1320494163543771</v>
      </c>
      <c r="BZ132" t="str">
        <f t="shared" si="310"/>
        <v>51 Skilled agricultural and related trades</v>
      </c>
      <c r="CA132" s="278">
        <f t="shared" si="300"/>
        <v>-2.869542595611442</v>
      </c>
      <c r="CB132" s="278">
        <f t="shared" si="300"/>
        <v>-6.5445739911785523</v>
      </c>
      <c r="CC132" s="278">
        <f t="shared" si="300"/>
        <v>-4.3331226985242282</v>
      </c>
      <c r="CD132" s="278">
        <f t="shared" si="300"/>
        <v>3.4397524747565882</v>
      </c>
      <c r="CE132" s="278">
        <f t="shared" si="301"/>
        <v>-0.89337022376763997</v>
      </c>
      <c r="CK132" t="str">
        <f t="shared" si="311"/>
        <v>51 Skilled agricultural and related trades</v>
      </c>
      <c r="CL132" s="278">
        <f t="shared" si="302"/>
        <v>-1.7815198091083531</v>
      </c>
      <c r="CM132" s="278">
        <f t="shared" si="302"/>
        <v>-6.2053177627622773</v>
      </c>
      <c r="CN132" s="278">
        <f t="shared" si="302"/>
        <v>-2.9543653506159089</v>
      </c>
      <c r="CO132" s="278">
        <f t="shared" si="302"/>
        <v>-12.811978619937738</v>
      </c>
      <c r="CP132" s="278">
        <f t="shared" si="303"/>
        <v>-15.766343970553647</v>
      </c>
    </row>
    <row r="133" spans="1:94">
      <c r="A133" t="str">
        <f t="shared" si="285"/>
        <v>52 Skilled metal, electrical and electronic trades</v>
      </c>
      <c r="B133" s="225">
        <f t="shared" si="286"/>
        <v>0.23139574291455012</v>
      </c>
      <c r="C133" s="225">
        <f t="shared" si="286"/>
        <v>3.1782290626885645E-2</v>
      </c>
      <c r="D133" s="225">
        <f t="shared" si="286"/>
        <v>0.40363572542653259</v>
      </c>
      <c r="E133" s="225">
        <f t="shared" si="286"/>
        <v>0.97965013689961356</v>
      </c>
      <c r="F133" s="225">
        <f t="shared" si="287"/>
        <v>1.3832858623261461</v>
      </c>
      <c r="L133" t="str">
        <f t="shared" si="304"/>
        <v>52 Skilled metal, electrical and electronic trades</v>
      </c>
      <c r="M133" s="225">
        <f t="shared" si="288"/>
        <v>5.7366222051679543</v>
      </c>
      <c r="N133" s="225">
        <f t="shared" si="288"/>
        <v>-3.66074869874139</v>
      </c>
      <c r="O133" s="225">
        <f t="shared" si="288"/>
        <v>11.868107272341945</v>
      </c>
      <c r="P133" s="225">
        <f t="shared" si="288"/>
        <v>21.701476290103841</v>
      </c>
      <c r="Q133" s="225">
        <f t="shared" si="289"/>
        <v>33.569583562445786</v>
      </c>
      <c r="W133" t="str">
        <f t="shared" si="305"/>
        <v>52 Skilled metal, electrical and electronic trades</v>
      </c>
      <c r="X133" s="225">
        <f t="shared" si="290"/>
        <v>4.817504155179229</v>
      </c>
      <c r="Y133" s="225">
        <f t="shared" si="290"/>
        <v>-9.2020627129823893</v>
      </c>
      <c r="Z133" s="225">
        <f t="shared" si="290"/>
        <v>10.087630136547602</v>
      </c>
      <c r="AA133" s="225">
        <f t="shared" si="290"/>
        <v>15.948376001730843</v>
      </c>
      <c r="AB133" s="225">
        <f t="shared" si="291"/>
        <v>26.036006138278445</v>
      </c>
      <c r="AH133" t="str">
        <f t="shared" si="306"/>
        <v>52 Skilled metal, electrical and electronic trades</v>
      </c>
      <c r="AI133" s="225">
        <f t="shared" si="292"/>
        <v>1.2568173373118903</v>
      </c>
      <c r="AJ133" s="225">
        <f t="shared" si="292"/>
        <v>-1.9964116970967538</v>
      </c>
      <c r="AK133" s="225">
        <f t="shared" si="292"/>
        <v>3.4086778348160038</v>
      </c>
      <c r="AL133" s="225">
        <f t="shared" si="292"/>
        <v>7.4343930497357782</v>
      </c>
      <c r="AM133" s="225">
        <f t="shared" si="293"/>
        <v>10.843070884551782</v>
      </c>
      <c r="AS133" t="str">
        <f t="shared" si="307"/>
        <v>52 Skilled metal, electrical and electronic trades</v>
      </c>
      <c r="AT133" s="225">
        <f t="shared" si="294"/>
        <v>2.6942879125822969</v>
      </c>
      <c r="AU133" s="225">
        <f t="shared" si="294"/>
        <v>-8.3937514159544833</v>
      </c>
      <c r="AV133" s="225">
        <f t="shared" si="294"/>
        <v>6.617743255770705</v>
      </c>
      <c r="AW133" s="225">
        <f t="shared" si="294"/>
        <v>17.657777301967101</v>
      </c>
      <c r="AX133" s="225">
        <f t="shared" si="295"/>
        <v>24.275520557737806</v>
      </c>
      <c r="BD133" t="str">
        <f t="shared" si="308"/>
        <v>52 Skilled metal, electrical and electronic trades</v>
      </c>
      <c r="BE133" s="225">
        <f t="shared" si="296"/>
        <v>10.205716292990417</v>
      </c>
      <c r="BF133" s="225">
        <f t="shared" si="296"/>
        <v>-46.143072166909064</v>
      </c>
      <c r="BG133" s="225">
        <f t="shared" si="296"/>
        <v>-11.874034466293097</v>
      </c>
      <c r="BH133" s="225">
        <f t="shared" si="296"/>
        <v>-22.996482486624984</v>
      </c>
      <c r="BI133" s="225">
        <f t="shared" si="297"/>
        <v>-34.870516952918081</v>
      </c>
      <c r="BO133" t="str">
        <f t="shared" si="309"/>
        <v>52 Skilled metal, electrical and electronic trades</v>
      </c>
      <c r="BP133" s="225">
        <f t="shared" si="298"/>
        <v>1.8843581728072536</v>
      </c>
      <c r="BQ133" s="225">
        <f t="shared" si="298"/>
        <v>-38.880658781108195</v>
      </c>
      <c r="BR133" s="225">
        <f t="shared" si="298"/>
        <v>-11.523512257873904</v>
      </c>
      <c r="BS133" s="225">
        <f t="shared" si="298"/>
        <v>-37.326584004204818</v>
      </c>
      <c r="BT133" s="225">
        <f t="shared" si="299"/>
        <v>-48.850096262078722</v>
      </c>
      <c r="BZ133" t="str">
        <f t="shared" si="310"/>
        <v>52 Skilled metal, electrical and electronic trades</v>
      </c>
      <c r="CA133" s="278">
        <f t="shared" si="300"/>
        <v>-5.4017813699867503</v>
      </c>
      <c r="CB133" s="278">
        <f t="shared" si="300"/>
        <v>-22.620036012240419</v>
      </c>
      <c r="CC133" s="278">
        <f t="shared" si="300"/>
        <v>-9.3618425175061191</v>
      </c>
      <c r="CD133" s="278">
        <f t="shared" si="300"/>
        <v>-42.364591437592281</v>
      </c>
      <c r="CE133" s="278">
        <f t="shared" si="301"/>
        <v>-51.7264339550984</v>
      </c>
      <c r="CK133" t="str">
        <f t="shared" si="311"/>
        <v>52 Skilled metal, electrical and electronic trades</v>
      </c>
      <c r="CL133" s="278">
        <f t="shared" si="302"/>
        <v>0.60205400364934292</v>
      </c>
      <c r="CM133" s="278">
        <f t="shared" si="302"/>
        <v>-11.340800777819041</v>
      </c>
      <c r="CN133" s="278">
        <f t="shared" si="302"/>
        <v>-4.4292221806596785</v>
      </c>
      <c r="CO133" s="278">
        <f t="shared" si="302"/>
        <v>-12.734818247793037</v>
      </c>
      <c r="CP133" s="278">
        <f t="shared" si="303"/>
        <v>-17.164040428452715</v>
      </c>
    </row>
    <row r="134" spans="1:94">
      <c r="A134" t="str">
        <f t="shared" si="285"/>
        <v>53 Skilled construction and building trades</v>
      </c>
      <c r="B134" s="225">
        <f t="shared" si="286"/>
        <v>-0.12175290525218563</v>
      </c>
      <c r="C134" s="225">
        <f t="shared" si="286"/>
        <v>-9.9524302293678313E-2</v>
      </c>
      <c r="D134" s="225">
        <f t="shared" si="286"/>
        <v>0.26019321228719877</v>
      </c>
      <c r="E134" s="225">
        <f t="shared" si="286"/>
        <v>0.16282182730840045</v>
      </c>
      <c r="F134" s="225">
        <f t="shared" si="287"/>
        <v>0.42301503959559922</v>
      </c>
      <c r="L134" t="str">
        <f t="shared" si="304"/>
        <v>53 Skilled construction and building trades</v>
      </c>
      <c r="M134" s="225">
        <f t="shared" si="288"/>
        <v>1.8380578212270144</v>
      </c>
      <c r="N134" s="225">
        <f t="shared" si="288"/>
        <v>-1.9712533431130765</v>
      </c>
      <c r="O134" s="225">
        <f t="shared" si="288"/>
        <v>4.517439906386775</v>
      </c>
      <c r="P134" s="225">
        <f t="shared" si="288"/>
        <v>8.4732228568282384</v>
      </c>
      <c r="Q134" s="225">
        <f t="shared" si="289"/>
        <v>12.990662763215013</v>
      </c>
      <c r="W134" t="str">
        <f t="shared" si="305"/>
        <v>53 Skilled construction and building trades</v>
      </c>
      <c r="X134" s="225">
        <f t="shared" si="290"/>
        <v>-0.90398629648976225</v>
      </c>
      <c r="Y134" s="225">
        <f t="shared" si="290"/>
        <v>-3.9889980270939738</v>
      </c>
      <c r="Z134" s="225">
        <f t="shared" si="290"/>
        <v>4.844446486491055</v>
      </c>
      <c r="AA134" s="225">
        <f t="shared" si="290"/>
        <v>5.4236441602439669</v>
      </c>
      <c r="AB134" s="225">
        <f t="shared" si="291"/>
        <v>10.268090646735022</v>
      </c>
      <c r="AH134" t="str">
        <f t="shared" si="306"/>
        <v>53 Skilled construction and building trades</v>
      </c>
      <c r="AI134" s="225">
        <f t="shared" si="292"/>
        <v>2.1336724492298025</v>
      </c>
      <c r="AJ134" s="225">
        <f t="shared" si="292"/>
        <v>-2.82712079977345</v>
      </c>
      <c r="AK134" s="225">
        <f t="shared" si="292"/>
        <v>3.9046231065345758</v>
      </c>
      <c r="AL134" s="225">
        <f t="shared" si="292"/>
        <v>5.0770624456183171</v>
      </c>
      <c r="AM134" s="225">
        <f t="shared" si="293"/>
        <v>8.9816855521528929</v>
      </c>
      <c r="AS134" t="str">
        <f t="shared" si="307"/>
        <v>53 Skilled construction and building trades</v>
      </c>
      <c r="AT134" s="225">
        <f t="shared" si="294"/>
        <v>-0.53855096888514353</v>
      </c>
      <c r="AU134" s="225">
        <f t="shared" si="294"/>
        <v>-2.7664734421950534</v>
      </c>
      <c r="AV134" s="225">
        <f t="shared" si="294"/>
        <v>4.9590254993404272</v>
      </c>
      <c r="AW134" s="225">
        <f t="shared" si="294"/>
        <v>3.8878664560699292</v>
      </c>
      <c r="AX134" s="225">
        <f t="shared" si="295"/>
        <v>8.8468919554103564</v>
      </c>
      <c r="BD134" t="str">
        <f t="shared" si="308"/>
        <v>53 Skilled construction and building trades</v>
      </c>
      <c r="BE134" s="225">
        <f t="shared" si="296"/>
        <v>-15.680031363126034</v>
      </c>
      <c r="BF134" s="225">
        <f t="shared" si="296"/>
        <v>-36.34379384673349</v>
      </c>
      <c r="BG134" s="225">
        <f t="shared" si="296"/>
        <v>-11.084547719011056</v>
      </c>
      <c r="BH134" s="225">
        <f t="shared" si="296"/>
        <v>-32.003333869399569</v>
      </c>
      <c r="BI134" s="225">
        <f t="shared" si="297"/>
        <v>-43.087881588410625</v>
      </c>
      <c r="BO134" t="str">
        <f t="shared" si="309"/>
        <v>53 Skilled construction and building trades</v>
      </c>
      <c r="BP134" s="225">
        <f t="shared" si="298"/>
        <v>16.42883941429352</v>
      </c>
      <c r="BQ134" s="225">
        <f t="shared" si="298"/>
        <v>-46.295789044947838</v>
      </c>
      <c r="BR134" s="225">
        <f t="shared" si="298"/>
        <v>13.416906967216079</v>
      </c>
      <c r="BS134" s="225">
        <f t="shared" si="298"/>
        <v>-7.7175184405590187</v>
      </c>
      <c r="BT134" s="225">
        <f t="shared" si="299"/>
        <v>5.6993885266570601</v>
      </c>
      <c r="BZ134" t="str">
        <f t="shared" si="310"/>
        <v>53 Skilled construction and building trades</v>
      </c>
      <c r="CA134" s="278">
        <f t="shared" si="300"/>
        <v>-5.3166764691115134</v>
      </c>
      <c r="CB134" s="278">
        <f t="shared" si="300"/>
        <v>-25.668419010500386</v>
      </c>
      <c r="CC134" s="278">
        <f t="shared" si="300"/>
        <v>1.3792117040482879</v>
      </c>
      <c r="CD134" s="278">
        <f t="shared" si="300"/>
        <v>-9.6562301324021433</v>
      </c>
      <c r="CE134" s="278">
        <f t="shared" si="301"/>
        <v>-8.2770184283538555</v>
      </c>
      <c r="CK134" t="str">
        <f t="shared" si="311"/>
        <v>53 Skilled construction and building trades</v>
      </c>
      <c r="CL134" s="278">
        <f t="shared" si="302"/>
        <v>-8.6690813762978394</v>
      </c>
      <c r="CM134" s="278">
        <f t="shared" si="302"/>
        <v>-17.823668869385521</v>
      </c>
      <c r="CN134" s="278">
        <f t="shared" si="302"/>
        <v>-16.541619510812708</v>
      </c>
      <c r="CO134" s="278">
        <f t="shared" si="302"/>
        <v>-30.217549808157194</v>
      </c>
      <c r="CP134" s="278">
        <f t="shared" si="303"/>
        <v>-46.759169318969903</v>
      </c>
    </row>
    <row r="135" spans="1:94">
      <c r="A135" t="str">
        <f t="shared" si="285"/>
        <v>54 Textiles, printing and other skilled trades</v>
      </c>
      <c r="B135" s="225">
        <f t="shared" si="286"/>
        <v>0.15957700713970402</v>
      </c>
      <c r="C135" s="225">
        <f t="shared" si="286"/>
        <v>-3.7255494939135936E-2</v>
      </c>
      <c r="D135" s="225">
        <f t="shared" si="286"/>
        <v>1.1153529309637946</v>
      </c>
      <c r="E135" s="225">
        <f t="shared" si="286"/>
        <v>1.8069098729785531</v>
      </c>
      <c r="F135" s="225">
        <f t="shared" si="287"/>
        <v>2.9222628039423477</v>
      </c>
      <c r="L135" t="str">
        <f t="shared" si="304"/>
        <v>54 Textiles, printing and other skilled trades</v>
      </c>
      <c r="M135" s="225">
        <f t="shared" si="288"/>
        <v>4.1936089425740484</v>
      </c>
      <c r="N135" s="225">
        <f t="shared" si="288"/>
        <v>0.57653604999610764</v>
      </c>
      <c r="O135" s="225">
        <f t="shared" si="288"/>
        <v>10.752561175244281</v>
      </c>
      <c r="P135" s="225">
        <f t="shared" si="288"/>
        <v>26.258434781193699</v>
      </c>
      <c r="Q135" s="225">
        <f t="shared" si="289"/>
        <v>37.010995956437981</v>
      </c>
      <c r="W135" t="str">
        <f t="shared" si="305"/>
        <v>54 Textiles, printing and other skilled trades</v>
      </c>
      <c r="X135" s="225">
        <f t="shared" si="290"/>
        <v>0.54128381953243121</v>
      </c>
      <c r="Y135" s="225">
        <f t="shared" si="290"/>
        <v>-1.0759335143407185</v>
      </c>
      <c r="Z135" s="225">
        <f t="shared" si="290"/>
        <v>15.027837226515551</v>
      </c>
      <c r="AA135" s="225">
        <f t="shared" si="290"/>
        <v>21.297709233177798</v>
      </c>
      <c r="AB135" s="225">
        <f t="shared" si="291"/>
        <v>36.325546459693349</v>
      </c>
      <c r="AH135" t="str">
        <f t="shared" si="306"/>
        <v>54 Textiles, printing and other skilled trades</v>
      </c>
      <c r="AI135" s="225">
        <f t="shared" si="292"/>
        <v>-0.71239996190176313</v>
      </c>
      <c r="AJ135" s="225">
        <f t="shared" si="292"/>
        <v>1.0173430126372089</v>
      </c>
      <c r="AK135" s="225">
        <f t="shared" si="292"/>
        <v>2.3930622361467471</v>
      </c>
      <c r="AL135" s="225">
        <f t="shared" si="292"/>
        <v>6.150508870208629</v>
      </c>
      <c r="AM135" s="225">
        <f t="shared" si="293"/>
        <v>8.5435711063553761</v>
      </c>
      <c r="AS135" t="str">
        <f t="shared" si="307"/>
        <v>54 Textiles, printing and other skilled trades</v>
      </c>
      <c r="AT135" s="225">
        <f t="shared" si="294"/>
        <v>-0.88888228210218401</v>
      </c>
      <c r="AU135" s="225">
        <f t="shared" si="294"/>
        <v>0.2666630101719889</v>
      </c>
      <c r="AV135" s="225">
        <f t="shared" si="294"/>
        <v>4.1254431577751873</v>
      </c>
      <c r="AW135" s="225">
        <f t="shared" si="294"/>
        <v>6.0411838409351439</v>
      </c>
      <c r="AX135" s="225">
        <f t="shared" si="295"/>
        <v>10.166626998710331</v>
      </c>
      <c r="BD135" t="str">
        <f t="shared" si="308"/>
        <v>54 Textiles, printing and other skilled trades</v>
      </c>
      <c r="BE135" s="225">
        <f t="shared" si="296"/>
        <v>-9.0754165793556751</v>
      </c>
      <c r="BF135" s="225">
        <f t="shared" si="296"/>
        <v>-7.2982046051369878</v>
      </c>
      <c r="BG135" s="225">
        <f t="shared" si="296"/>
        <v>15.603102538109226</v>
      </c>
      <c r="BH135" s="225">
        <f t="shared" si="296"/>
        <v>6.0934013301493053</v>
      </c>
      <c r="BI135" s="225">
        <f t="shared" si="297"/>
        <v>21.696503868258532</v>
      </c>
      <c r="BO135" t="str">
        <f t="shared" si="309"/>
        <v>54 Textiles, printing and other skilled trades</v>
      </c>
      <c r="BP135" s="225">
        <f t="shared" si="298"/>
        <v>-23.41930373849695</v>
      </c>
      <c r="BQ135" s="225">
        <f t="shared" si="298"/>
        <v>-8.404337565163928</v>
      </c>
      <c r="BR135" s="225">
        <f t="shared" si="298"/>
        <v>-8.6676838541430925</v>
      </c>
      <c r="BS135" s="225">
        <f t="shared" si="298"/>
        <v>-17.129829262721998</v>
      </c>
      <c r="BT135" s="225">
        <f t="shared" si="299"/>
        <v>-25.79751311686509</v>
      </c>
      <c r="BZ135" t="str">
        <f t="shared" si="310"/>
        <v>54 Textiles, printing and other skilled trades</v>
      </c>
      <c r="CA135" s="278">
        <f t="shared" si="300"/>
        <v>-13.736199565474067</v>
      </c>
      <c r="CB135" s="278">
        <f t="shared" si="300"/>
        <v>-10.832197314091061</v>
      </c>
      <c r="CC135" s="278">
        <f t="shared" si="300"/>
        <v>5.3413737588452221</v>
      </c>
      <c r="CD135" s="278">
        <f t="shared" si="300"/>
        <v>-27.778958573179082</v>
      </c>
      <c r="CE135" s="278">
        <f t="shared" si="301"/>
        <v>-22.43758481433386</v>
      </c>
      <c r="CK135" t="str">
        <f t="shared" si="311"/>
        <v>54 Textiles, printing and other skilled trades</v>
      </c>
      <c r="CL135" s="278">
        <f t="shared" si="302"/>
        <v>-10.608422298492265</v>
      </c>
      <c r="CM135" s="278">
        <f t="shared" si="302"/>
        <v>-7.3602579675970077</v>
      </c>
      <c r="CN135" s="278">
        <f t="shared" si="302"/>
        <v>-13.455140747448894</v>
      </c>
      <c r="CO135" s="278">
        <f t="shared" si="302"/>
        <v>-11.181101561767424</v>
      </c>
      <c r="CP135" s="278">
        <f t="shared" si="303"/>
        <v>-24.636242309216318</v>
      </c>
    </row>
    <row r="136" spans="1:94">
      <c r="A136" t="str">
        <f t="shared" si="285"/>
        <v>61 Caring personal service occupations</v>
      </c>
      <c r="B136" s="225">
        <f t="shared" si="286"/>
        <v>0.3459575451610255</v>
      </c>
      <c r="C136" s="225">
        <f t="shared" si="286"/>
        <v>-3.2080700268378282E-2</v>
      </c>
      <c r="D136" s="225">
        <f t="shared" si="286"/>
        <v>0.95168617699978242</v>
      </c>
      <c r="E136" s="225">
        <f t="shared" si="286"/>
        <v>1.8281670950583315</v>
      </c>
      <c r="F136" s="225">
        <f t="shared" si="287"/>
        <v>2.7798532720581139</v>
      </c>
      <c r="L136" t="str">
        <f t="shared" si="304"/>
        <v>61 Caring personal service occupations</v>
      </c>
      <c r="M136" s="225">
        <f t="shared" si="288"/>
        <v>26.216969524268904</v>
      </c>
      <c r="N136" s="225">
        <f t="shared" si="288"/>
        <v>-1.9673440377623592</v>
      </c>
      <c r="O136" s="225">
        <f t="shared" si="288"/>
        <v>43.793407529843847</v>
      </c>
      <c r="P136" s="225">
        <f t="shared" si="288"/>
        <v>84.072404738261298</v>
      </c>
      <c r="Q136" s="225">
        <f t="shared" si="289"/>
        <v>127.86581226810515</v>
      </c>
      <c r="W136" t="str">
        <f t="shared" si="305"/>
        <v>61 Caring personal service occupations</v>
      </c>
      <c r="X136" s="225">
        <f t="shared" si="290"/>
        <v>27.534672098582973</v>
      </c>
      <c r="Y136" s="225">
        <f t="shared" si="290"/>
        <v>4.0026720709976189</v>
      </c>
      <c r="Z136" s="225">
        <f t="shared" si="290"/>
        <v>41.817503400773546</v>
      </c>
      <c r="AA136" s="225">
        <f t="shared" si="290"/>
        <v>67.247127094890402</v>
      </c>
      <c r="AB136" s="225">
        <f t="shared" si="291"/>
        <v>109.06463049566395</v>
      </c>
      <c r="AH136" t="str">
        <f t="shared" si="306"/>
        <v>61 Caring personal service occupations</v>
      </c>
      <c r="AI136" s="225">
        <f t="shared" si="292"/>
        <v>-2.3486731113902692</v>
      </c>
      <c r="AJ136" s="225">
        <f t="shared" si="292"/>
        <v>4.3813848608464241</v>
      </c>
      <c r="AK136" s="225">
        <f t="shared" si="292"/>
        <v>-2.6730234829051938</v>
      </c>
      <c r="AL136" s="225">
        <f t="shared" si="292"/>
        <v>9.9106415349215808</v>
      </c>
      <c r="AM136" s="225">
        <f t="shared" si="293"/>
        <v>7.2376180520163871</v>
      </c>
      <c r="AS136" t="str">
        <f t="shared" si="307"/>
        <v>61 Caring personal service occupations</v>
      </c>
      <c r="AT136" s="225">
        <f t="shared" si="294"/>
        <v>8.8738113267698537</v>
      </c>
      <c r="AU136" s="225">
        <f t="shared" si="294"/>
        <v>3.1836894718280035</v>
      </c>
      <c r="AV136" s="225">
        <f t="shared" si="294"/>
        <v>2.5826220040323307</v>
      </c>
      <c r="AW136" s="225">
        <f t="shared" si="294"/>
        <v>12.702355064082752</v>
      </c>
      <c r="AX136" s="225">
        <f t="shared" si="295"/>
        <v>15.284977068115083</v>
      </c>
      <c r="BD136" t="str">
        <f t="shared" si="308"/>
        <v>61 Caring personal service occupations</v>
      </c>
      <c r="BE136" s="225">
        <f t="shared" si="296"/>
        <v>74.562651855719764</v>
      </c>
      <c r="BF136" s="225">
        <f t="shared" si="296"/>
        <v>-8.1657939725804454</v>
      </c>
      <c r="BG136" s="225">
        <f t="shared" si="296"/>
        <v>50.18058484120354</v>
      </c>
      <c r="BH136" s="225">
        <f t="shared" si="296"/>
        <v>105.7767179646462</v>
      </c>
      <c r="BI136" s="225">
        <f t="shared" si="297"/>
        <v>155.95730280584974</v>
      </c>
      <c r="BO136" t="str">
        <f t="shared" si="309"/>
        <v>61 Caring personal service occupations</v>
      </c>
      <c r="BP136" s="225">
        <f t="shared" si="298"/>
        <v>-5.7498322288672625</v>
      </c>
      <c r="BQ136" s="225">
        <f t="shared" si="298"/>
        <v>-53.021809712549327</v>
      </c>
      <c r="BR136" s="225">
        <f t="shared" si="298"/>
        <v>-20.993929721113034</v>
      </c>
      <c r="BS136" s="225">
        <f t="shared" si="298"/>
        <v>-95.249239108839959</v>
      </c>
      <c r="BT136" s="225">
        <f t="shared" si="299"/>
        <v>-116.24316882995299</v>
      </c>
      <c r="BZ136" t="str">
        <f t="shared" si="310"/>
        <v>61 Caring personal service occupations</v>
      </c>
      <c r="CA136" s="278">
        <f t="shared" si="300"/>
        <v>-66.06055549612374</v>
      </c>
      <c r="CB136" s="278">
        <f t="shared" si="300"/>
        <v>-15.65418964691672</v>
      </c>
      <c r="CC136" s="278">
        <f t="shared" si="300"/>
        <v>-19.816668161670925</v>
      </c>
      <c r="CD136" s="278">
        <f t="shared" si="300"/>
        <v>-10.90686092424027</v>
      </c>
      <c r="CE136" s="278">
        <f t="shared" si="301"/>
        <v>-30.723529085911196</v>
      </c>
      <c r="CK136" t="str">
        <f t="shared" si="311"/>
        <v>61 Caring personal service occupations</v>
      </c>
      <c r="CL136" s="278">
        <f t="shared" si="302"/>
        <v>-3.8165279267566596</v>
      </c>
      <c r="CM136" s="278">
        <f t="shared" si="302"/>
        <v>-2.6978146325992611</v>
      </c>
      <c r="CN136" s="278">
        <f t="shared" si="302"/>
        <v>1.3237069893111517</v>
      </c>
      <c r="CO136" s="278">
        <f t="shared" si="302"/>
        <v>-0.33018385184635335</v>
      </c>
      <c r="CP136" s="278">
        <f t="shared" si="303"/>
        <v>0.99352313746479837</v>
      </c>
    </row>
    <row r="137" spans="1:94">
      <c r="A137" t="str">
        <f t="shared" si="285"/>
        <v>62 Leisure, travel and related personal service occupations</v>
      </c>
      <c r="B137" s="225">
        <f t="shared" si="286"/>
        <v>0.35316241686823135</v>
      </c>
      <c r="C137" s="225">
        <f t="shared" si="286"/>
        <v>2.5876734572580995E-2</v>
      </c>
      <c r="D137" s="225">
        <f t="shared" si="286"/>
        <v>0.3669111971076604</v>
      </c>
      <c r="E137" s="225">
        <f t="shared" si="286"/>
        <v>0.88942799384474136</v>
      </c>
      <c r="F137" s="225">
        <f t="shared" si="287"/>
        <v>1.2563391909524018</v>
      </c>
      <c r="L137" t="str">
        <f t="shared" si="304"/>
        <v>62 Leisure, travel and related personal service occupations</v>
      </c>
      <c r="M137" s="225">
        <f t="shared" si="288"/>
        <v>4.6038723173850649</v>
      </c>
      <c r="N137" s="225">
        <f t="shared" si="288"/>
        <v>-1.7038507629311077</v>
      </c>
      <c r="O137" s="225">
        <f t="shared" si="288"/>
        <v>3.8988419069753704</v>
      </c>
      <c r="P137" s="225">
        <f t="shared" si="288"/>
        <v>11.879851817910701</v>
      </c>
      <c r="Q137" s="225">
        <f t="shared" si="289"/>
        <v>15.778693724886072</v>
      </c>
      <c r="W137" t="str">
        <f t="shared" si="305"/>
        <v>62 Leisure, travel and related personal service occupations</v>
      </c>
      <c r="X137" s="225">
        <f t="shared" si="290"/>
        <v>13.583049364657668</v>
      </c>
      <c r="Y137" s="225">
        <f t="shared" si="290"/>
        <v>-3.5483316004424807</v>
      </c>
      <c r="Z137" s="225">
        <f t="shared" si="290"/>
        <v>10.692212397336291</v>
      </c>
      <c r="AA137" s="225">
        <f t="shared" si="290"/>
        <v>28.433795382727496</v>
      </c>
      <c r="AB137" s="225">
        <f t="shared" si="291"/>
        <v>39.126007780063787</v>
      </c>
      <c r="AH137" t="str">
        <f t="shared" si="306"/>
        <v>62 Leisure, travel and related personal service occupations</v>
      </c>
      <c r="AI137" s="225">
        <f t="shared" si="292"/>
        <v>8.6088777683178463</v>
      </c>
      <c r="AJ137" s="225">
        <f t="shared" si="292"/>
        <v>-1.0352497496836435</v>
      </c>
      <c r="AK137" s="225">
        <f t="shared" si="292"/>
        <v>2.7384667429436362</v>
      </c>
      <c r="AL137" s="225">
        <f t="shared" si="292"/>
        <v>15.386527631470628</v>
      </c>
      <c r="AM137" s="225">
        <f t="shared" si="293"/>
        <v>18.124994374414264</v>
      </c>
      <c r="AS137" t="str">
        <f t="shared" si="307"/>
        <v>62 Leisure, travel and related personal service occupations</v>
      </c>
      <c r="AT137" s="225">
        <f t="shared" si="294"/>
        <v>10.795062157198728</v>
      </c>
      <c r="AU137" s="225">
        <f t="shared" si="294"/>
        <v>2.8808521770070925</v>
      </c>
      <c r="AV137" s="225">
        <f t="shared" si="294"/>
        <v>4.299170297292541</v>
      </c>
      <c r="AW137" s="225">
        <f t="shared" si="294"/>
        <v>23.88593149581672</v>
      </c>
      <c r="AX137" s="225">
        <f t="shared" si="295"/>
        <v>28.185101793109261</v>
      </c>
      <c r="BD137" t="str">
        <f t="shared" si="308"/>
        <v>62 Leisure, travel and related personal service occupations</v>
      </c>
      <c r="BE137" s="225">
        <f t="shared" si="296"/>
        <v>7.1047444145699501</v>
      </c>
      <c r="BF137" s="225">
        <f t="shared" si="296"/>
        <v>-10.416426348936028</v>
      </c>
      <c r="BG137" s="225">
        <f t="shared" si="296"/>
        <v>-13.895918903948967</v>
      </c>
      <c r="BH137" s="225">
        <f t="shared" si="296"/>
        <v>-12.496781027714974</v>
      </c>
      <c r="BI137" s="225">
        <f t="shared" si="297"/>
        <v>-26.392699931663941</v>
      </c>
      <c r="BO137" t="str">
        <f t="shared" si="309"/>
        <v>62 Leisure, travel and related personal service occupations</v>
      </c>
      <c r="BP137" s="225">
        <f t="shared" si="298"/>
        <v>4.3935927479228098</v>
      </c>
      <c r="BQ137" s="225">
        <f t="shared" si="298"/>
        <v>-19.649041005443593</v>
      </c>
      <c r="BR137" s="225">
        <f t="shared" si="298"/>
        <v>-22.773782837267291</v>
      </c>
      <c r="BS137" s="225">
        <f t="shared" si="298"/>
        <v>-28.155471955133962</v>
      </c>
      <c r="BT137" s="225">
        <f t="shared" si="299"/>
        <v>-50.929254792401252</v>
      </c>
      <c r="BZ137" t="str">
        <f t="shared" si="310"/>
        <v>62 Leisure, travel and related personal service occupations</v>
      </c>
      <c r="CA137" s="278">
        <f t="shared" si="300"/>
        <v>7.7026023944468136</v>
      </c>
      <c r="CB137" s="278">
        <f t="shared" si="300"/>
        <v>-13.245938308562003</v>
      </c>
      <c r="CC137" s="278">
        <f t="shared" si="300"/>
        <v>-10.176464860257383</v>
      </c>
      <c r="CD137" s="278">
        <f t="shared" si="300"/>
        <v>-21.082192698636661</v>
      </c>
      <c r="CE137" s="278">
        <f t="shared" si="301"/>
        <v>-31.258657558894043</v>
      </c>
      <c r="CK137" t="str">
        <f t="shared" si="311"/>
        <v>62 Leisure, travel and related personal service occupations</v>
      </c>
      <c r="CL137" s="278">
        <f t="shared" si="302"/>
        <v>-4.2394432801978894</v>
      </c>
      <c r="CM137" s="278">
        <f t="shared" si="302"/>
        <v>-5.9356412942881462</v>
      </c>
      <c r="CN137" s="278">
        <f t="shared" si="302"/>
        <v>-10.680741579219593</v>
      </c>
      <c r="CO137" s="278">
        <f t="shared" si="302"/>
        <v>-8.082587952893256</v>
      </c>
      <c r="CP137" s="278">
        <f t="shared" si="303"/>
        <v>-18.763329532112849</v>
      </c>
    </row>
    <row r="138" spans="1:94">
      <c r="A138" t="str">
        <f t="shared" si="285"/>
        <v>63 Community and civil enforcement occupations</v>
      </c>
      <c r="B138" s="225">
        <f t="shared" si="286"/>
        <v>6.7794374800473484E-3</v>
      </c>
      <c r="C138" s="225">
        <f t="shared" si="286"/>
        <v>5.4471574046681681E-3</v>
      </c>
      <c r="D138" s="225">
        <f t="shared" si="286"/>
        <v>1.5976039183147356E-2</v>
      </c>
      <c r="E138" s="225">
        <f t="shared" si="286"/>
        <v>5.6009353629798059E-2</v>
      </c>
      <c r="F138" s="225">
        <f t="shared" si="287"/>
        <v>7.1985392812945415E-2</v>
      </c>
      <c r="L138" t="str">
        <f t="shared" si="304"/>
        <v>63 Community and civil enforcement occupations</v>
      </c>
      <c r="M138" s="225">
        <f t="shared" si="288"/>
        <v>4.165005924689491E-2</v>
      </c>
      <c r="N138" s="225">
        <f t="shared" si="288"/>
        <v>0.3762921975306226</v>
      </c>
      <c r="O138" s="225">
        <f t="shared" si="288"/>
        <v>-6.485564942415345E-2</v>
      </c>
      <c r="P138" s="225">
        <f t="shared" si="288"/>
        <v>1.0192113403251579</v>
      </c>
      <c r="Q138" s="225">
        <f t="shared" si="289"/>
        <v>0.95435569090100447</v>
      </c>
      <c r="W138" t="str">
        <f t="shared" si="305"/>
        <v>63 Community and civil enforcement occupations</v>
      </c>
      <c r="X138" s="225">
        <f t="shared" si="290"/>
        <v>0.17807923525062552</v>
      </c>
      <c r="Y138" s="225">
        <f t="shared" si="290"/>
        <v>0.59362816789740247</v>
      </c>
      <c r="Z138" s="225">
        <f t="shared" si="290"/>
        <v>7.0922939598201395E-2</v>
      </c>
      <c r="AA138" s="225">
        <f t="shared" si="290"/>
        <v>1.3570644561847525</v>
      </c>
      <c r="AB138" s="225">
        <f t="shared" si="291"/>
        <v>1.4279873957829539</v>
      </c>
      <c r="AH138" t="str">
        <f t="shared" si="306"/>
        <v>63 Community and civil enforcement occupations</v>
      </c>
      <c r="AI138" s="225">
        <f t="shared" si="292"/>
        <v>-6.7306643334569927E-2</v>
      </c>
      <c r="AJ138" s="225">
        <f t="shared" si="292"/>
        <v>0.42254232108260181</v>
      </c>
      <c r="AK138" s="225">
        <f t="shared" si="292"/>
        <v>-0.38491721143026125</v>
      </c>
      <c r="AL138" s="225">
        <f t="shared" si="292"/>
        <v>0.30515891457762567</v>
      </c>
      <c r="AM138" s="225">
        <f t="shared" si="293"/>
        <v>-7.975829685263558E-2</v>
      </c>
      <c r="AS138" t="str">
        <f t="shared" si="307"/>
        <v>63 Community and civil enforcement occupations</v>
      </c>
      <c r="AT138" s="225">
        <f t="shared" si="294"/>
        <v>-0.17727112568229475</v>
      </c>
      <c r="AU138" s="225">
        <f t="shared" si="294"/>
        <v>0.30966430228136299</v>
      </c>
      <c r="AV138" s="225">
        <f t="shared" si="294"/>
        <v>-0.42176194146784729</v>
      </c>
      <c r="AW138" s="225">
        <f t="shared" si="294"/>
        <v>7.8133608558840884E-2</v>
      </c>
      <c r="AX138" s="225">
        <f t="shared" si="295"/>
        <v>-0.34362833290900641</v>
      </c>
      <c r="BD138" t="str">
        <f t="shared" si="308"/>
        <v>63 Community and civil enforcement occupations</v>
      </c>
      <c r="BE138" s="225">
        <f t="shared" si="296"/>
        <v>-1.5184412636540898</v>
      </c>
      <c r="BF138" s="225">
        <f t="shared" si="296"/>
        <v>1.5505454369607854</v>
      </c>
      <c r="BG138" s="225">
        <f t="shared" si="296"/>
        <v>-1.9670369524575202</v>
      </c>
      <c r="BH138" s="225">
        <f t="shared" si="296"/>
        <v>0.28417242314579871</v>
      </c>
      <c r="BI138" s="225">
        <f t="shared" si="297"/>
        <v>-1.6828645293117215</v>
      </c>
      <c r="BO138" t="str">
        <f t="shared" si="309"/>
        <v>63 Community and civil enforcement occupations</v>
      </c>
      <c r="BP138" s="225">
        <f t="shared" si="298"/>
        <v>-1.0230276395245941</v>
      </c>
      <c r="BQ138" s="225">
        <f t="shared" si="298"/>
        <v>1.3756786554555687</v>
      </c>
      <c r="BR138" s="225">
        <f t="shared" si="298"/>
        <v>-2.3614286234374475</v>
      </c>
      <c r="BS138" s="225">
        <f t="shared" si="298"/>
        <v>-0.15850628377598319</v>
      </c>
      <c r="BT138" s="225">
        <f t="shared" si="299"/>
        <v>-2.5199349072134307</v>
      </c>
      <c r="BZ138" t="str">
        <f t="shared" si="310"/>
        <v>63 Community and civil enforcement occupations</v>
      </c>
      <c r="CA138" s="278">
        <f t="shared" si="300"/>
        <v>-0.70569607093283437</v>
      </c>
      <c r="CB138" s="278">
        <f t="shared" si="300"/>
        <v>1.1238823029633025</v>
      </c>
      <c r="CC138" s="278">
        <f t="shared" si="300"/>
        <v>-1.8472603227266768</v>
      </c>
      <c r="CD138" s="278">
        <f t="shared" si="300"/>
        <v>-0.58459428800681446</v>
      </c>
      <c r="CE138" s="278">
        <f t="shared" si="301"/>
        <v>-2.4318546107334913</v>
      </c>
      <c r="CK138" t="str">
        <f t="shared" si="311"/>
        <v>63 Community and civil enforcement occupations</v>
      </c>
      <c r="CL138" s="278">
        <f t="shared" si="302"/>
        <v>-0.69957023304978394</v>
      </c>
      <c r="CM138" s="278">
        <f t="shared" si="302"/>
        <v>0.36984904363150251</v>
      </c>
      <c r="CN138" s="278">
        <f t="shared" si="302"/>
        <v>-1.040619572679232</v>
      </c>
      <c r="CO138" s="278">
        <f t="shared" si="302"/>
        <v>-0.24716206319486234</v>
      </c>
      <c r="CP138" s="278">
        <f t="shared" si="303"/>
        <v>-1.2877816358740941</v>
      </c>
    </row>
    <row r="139" spans="1:94">
      <c r="A139" t="str">
        <f t="shared" si="285"/>
        <v>71 Sales occupations</v>
      </c>
      <c r="B139" s="225">
        <f t="shared" si="286"/>
        <v>0.74626026243291221</v>
      </c>
      <c r="C139" s="225">
        <f t="shared" si="286"/>
        <v>-0.57430127132743536</v>
      </c>
      <c r="D139" s="225">
        <f t="shared" si="286"/>
        <v>1.5313801184836189</v>
      </c>
      <c r="E139" s="225">
        <f t="shared" si="286"/>
        <v>3.2068485116021934</v>
      </c>
      <c r="F139" s="225">
        <f t="shared" si="287"/>
        <v>4.7382286300858123</v>
      </c>
      <c r="L139" t="str">
        <f t="shared" si="304"/>
        <v>71 Sales occupations</v>
      </c>
      <c r="M139" s="225">
        <f t="shared" si="288"/>
        <v>12.519958491589804</v>
      </c>
      <c r="N139" s="225">
        <f t="shared" si="288"/>
        <v>1.8887780707526929</v>
      </c>
      <c r="O139" s="225">
        <f t="shared" si="288"/>
        <v>29.669901046322707</v>
      </c>
      <c r="P139" s="225">
        <f t="shared" si="288"/>
        <v>74.786586464997384</v>
      </c>
      <c r="Q139" s="225">
        <f t="shared" si="289"/>
        <v>104.45648751132009</v>
      </c>
      <c r="W139" t="str">
        <f t="shared" si="305"/>
        <v>71 Sales occupations</v>
      </c>
      <c r="X139" s="225">
        <f t="shared" si="290"/>
        <v>9.2418477599228481</v>
      </c>
      <c r="Y139" s="225">
        <f t="shared" si="290"/>
        <v>13.644472518864916</v>
      </c>
      <c r="Z139" s="225">
        <f t="shared" si="290"/>
        <v>32.374044969034344</v>
      </c>
      <c r="AA139" s="225">
        <f t="shared" si="290"/>
        <v>81.721363172425526</v>
      </c>
      <c r="AB139" s="225">
        <f t="shared" si="291"/>
        <v>114.09540814145987</v>
      </c>
      <c r="AH139" t="str">
        <f t="shared" si="306"/>
        <v>71 Sales occupations</v>
      </c>
      <c r="AI139" s="225">
        <f t="shared" si="292"/>
        <v>-0.48334879245732054</v>
      </c>
      <c r="AJ139" s="225">
        <f t="shared" si="292"/>
        <v>5.7800067967196185</v>
      </c>
      <c r="AK139" s="225">
        <f t="shared" si="292"/>
        <v>5.1215069532056106</v>
      </c>
      <c r="AL139" s="225">
        <f t="shared" si="292"/>
        <v>22.767939165093452</v>
      </c>
      <c r="AM139" s="225">
        <f t="shared" si="293"/>
        <v>27.889446118299063</v>
      </c>
      <c r="AS139" t="str">
        <f t="shared" si="307"/>
        <v>71 Sales occupations</v>
      </c>
      <c r="AT139" s="225">
        <f t="shared" si="294"/>
        <v>-2.7498377599789876</v>
      </c>
      <c r="AU139" s="225">
        <f t="shared" si="294"/>
        <v>2.8315910467432701</v>
      </c>
      <c r="AV139" s="225">
        <f t="shared" si="294"/>
        <v>1.8412918956270516</v>
      </c>
      <c r="AW139" s="225">
        <f t="shared" si="294"/>
        <v>14.970403289728196</v>
      </c>
      <c r="AX139" s="225">
        <f t="shared" si="295"/>
        <v>16.811695185355248</v>
      </c>
      <c r="BD139" t="str">
        <f t="shared" si="308"/>
        <v>71 Sales occupations</v>
      </c>
      <c r="BE139" s="225">
        <f t="shared" si="296"/>
        <v>-12.197788034172333</v>
      </c>
      <c r="BF139" s="225">
        <f t="shared" si="296"/>
        <v>15.457261884491629</v>
      </c>
      <c r="BG139" s="225">
        <f t="shared" si="296"/>
        <v>1.7428691747422249</v>
      </c>
      <c r="BH139" s="225">
        <f t="shared" si="296"/>
        <v>14.77948262633879</v>
      </c>
      <c r="BI139" s="225">
        <f t="shared" si="297"/>
        <v>16.522351801081015</v>
      </c>
      <c r="BO139" t="str">
        <f t="shared" si="309"/>
        <v>71 Sales occupations</v>
      </c>
      <c r="BP139" s="225">
        <f t="shared" si="298"/>
        <v>-48.888744390115676</v>
      </c>
      <c r="BQ139" s="225">
        <f t="shared" si="298"/>
        <v>-28.186656476732367</v>
      </c>
      <c r="BR139" s="225">
        <f t="shared" si="298"/>
        <v>-23.13905974411972</v>
      </c>
      <c r="BS139" s="225">
        <f t="shared" si="298"/>
        <v>-77.413337831057333</v>
      </c>
      <c r="BT139" s="225">
        <f t="shared" si="299"/>
        <v>-100.55239757517705</v>
      </c>
      <c r="BZ139" t="str">
        <f t="shared" si="310"/>
        <v>71 Sales occupations</v>
      </c>
      <c r="CA139" s="278">
        <f t="shared" si="300"/>
        <v>-25.654303112856269</v>
      </c>
      <c r="CB139" s="278">
        <f t="shared" si="300"/>
        <v>-28.136988161264469</v>
      </c>
      <c r="CC139" s="278">
        <f t="shared" si="300"/>
        <v>-46.597371620077126</v>
      </c>
      <c r="CD139" s="278">
        <f t="shared" si="300"/>
        <v>-155.21884406585932</v>
      </c>
      <c r="CE139" s="278">
        <f t="shared" si="301"/>
        <v>-201.81621568593644</v>
      </c>
      <c r="CK139" t="str">
        <f t="shared" si="311"/>
        <v>71 Sales occupations</v>
      </c>
      <c r="CL139" s="278">
        <f t="shared" si="302"/>
        <v>-32.41999062023541</v>
      </c>
      <c r="CM139" s="278">
        <f t="shared" si="302"/>
        <v>-19.240518358716372</v>
      </c>
      <c r="CN139" s="278">
        <f t="shared" si="302"/>
        <v>-30.262596531141909</v>
      </c>
      <c r="CO139" s="278">
        <f t="shared" si="302"/>
        <v>-31.136741138095154</v>
      </c>
      <c r="CP139" s="278">
        <f t="shared" si="303"/>
        <v>-61.399337669237063</v>
      </c>
    </row>
    <row r="140" spans="1:94">
      <c r="A140" t="str">
        <f t="shared" si="285"/>
        <v>72 Customer service occupations</v>
      </c>
      <c r="B140" s="225">
        <f t="shared" si="286"/>
        <v>0.36969496500865784</v>
      </c>
      <c r="C140" s="225">
        <f t="shared" si="286"/>
        <v>0.20004233589315823</v>
      </c>
      <c r="D140" s="225">
        <f t="shared" si="286"/>
        <v>1.2761075350515507</v>
      </c>
      <c r="E140" s="225">
        <f t="shared" si="286"/>
        <v>2.0929219334874376</v>
      </c>
      <c r="F140" s="225">
        <f t="shared" si="287"/>
        <v>3.3690294685389883</v>
      </c>
      <c r="L140" t="str">
        <f t="shared" si="304"/>
        <v>72 Customer service occupations</v>
      </c>
      <c r="M140" s="225">
        <f t="shared" si="288"/>
        <v>6.1257966135109996</v>
      </c>
      <c r="N140" s="225">
        <f t="shared" si="288"/>
        <v>0.84595347642670404</v>
      </c>
      <c r="O140" s="225">
        <f t="shared" si="288"/>
        <v>11.546652796600501</v>
      </c>
      <c r="P140" s="225">
        <f t="shared" si="288"/>
        <v>20.326845487387843</v>
      </c>
      <c r="Q140" s="225">
        <f t="shared" si="289"/>
        <v>31.873498283988344</v>
      </c>
      <c r="W140" t="str">
        <f t="shared" si="305"/>
        <v>72 Customer service occupations</v>
      </c>
      <c r="X140" s="225">
        <f t="shared" si="290"/>
        <v>8.9049501584809292</v>
      </c>
      <c r="Y140" s="225">
        <f t="shared" si="290"/>
        <v>7.0941929166261559</v>
      </c>
      <c r="Z140" s="225">
        <f t="shared" si="290"/>
        <v>17.274298452748269</v>
      </c>
      <c r="AA140" s="225">
        <f t="shared" si="290"/>
        <v>30.931100149210721</v>
      </c>
      <c r="AB140" s="225">
        <f t="shared" si="291"/>
        <v>48.20539860195899</v>
      </c>
      <c r="AH140" t="str">
        <f t="shared" si="306"/>
        <v>72 Customer service occupations</v>
      </c>
      <c r="AI140" s="225">
        <f t="shared" si="292"/>
        <v>3.7898226512377846</v>
      </c>
      <c r="AJ140" s="225">
        <f t="shared" si="292"/>
        <v>3.2455451832566311</v>
      </c>
      <c r="AK140" s="225">
        <f t="shared" si="292"/>
        <v>5.4490176044569125</v>
      </c>
      <c r="AL140" s="225">
        <f t="shared" si="292"/>
        <v>9.2160509367851091</v>
      </c>
      <c r="AM140" s="225">
        <f t="shared" si="293"/>
        <v>14.665068541242022</v>
      </c>
      <c r="AS140" t="str">
        <f t="shared" si="307"/>
        <v>72 Customer service occupations</v>
      </c>
      <c r="AT140" s="225">
        <f t="shared" si="294"/>
        <v>2.8856728843044088</v>
      </c>
      <c r="AU140" s="225">
        <f t="shared" si="294"/>
        <v>1.6137193540817023</v>
      </c>
      <c r="AV140" s="225">
        <f t="shared" si="294"/>
        <v>6.6407575375129397</v>
      </c>
      <c r="AW140" s="225">
        <f t="shared" si="294"/>
        <v>6.6904110670192551</v>
      </c>
      <c r="AX140" s="225">
        <f t="shared" si="295"/>
        <v>13.331168604532195</v>
      </c>
      <c r="BD140" t="str">
        <f t="shared" si="308"/>
        <v>72 Customer service occupations</v>
      </c>
      <c r="BE140" s="225">
        <f t="shared" si="296"/>
        <v>7.4615008459206251</v>
      </c>
      <c r="BF140" s="225">
        <f t="shared" si="296"/>
        <v>5.754048280686817</v>
      </c>
      <c r="BG140" s="225">
        <f t="shared" si="296"/>
        <v>9.740648562361315</v>
      </c>
      <c r="BH140" s="225">
        <f t="shared" si="296"/>
        <v>11.681645309180084</v>
      </c>
      <c r="BI140" s="225">
        <f t="shared" si="297"/>
        <v>21.422293871541399</v>
      </c>
      <c r="BO140" t="str">
        <f t="shared" si="309"/>
        <v>72 Customer service occupations</v>
      </c>
      <c r="BP140" s="225">
        <f t="shared" si="298"/>
        <v>9.0982318895234471</v>
      </c>
      <c r="BQ140" s="225">
        <f t="shared" si="298"/>
        <v>-6.5235583210161536</v>
      </c>
      <c r="BR140" s="225">
        <f t="shared" si="298"/>
        <v>6.8274634514520045</v>
      </c>
      <c r="BS140" s="225">
        <f t="shared" si="298"/>
        <v>-12.447455991847704</v>
      </c>
      <c r="BT140" s="225">
        <f t="shared" si="299"/>
        <v>-5.6199925403956996</v>
      </c>
      <c r="BZ140" t="str">
        <f t="shared" si="310"/>
        <v>72 Customer service occupations</v>
      </c>
      <c r="CA140" s="278">
        <f t="shared" si="300"/>
        <v>-2.0537084555683833</v>
      </c>
      <c r="CB140" s="278">
        <f t="shared" si="300"/>
        <v>-2.0462921685825251</v>
      </c>
      <c r="CC140" s="278">
        <f t="shared" si="300"/>
        <v>-2.6549954055989886</v>
      </c>
      <c r="CD140" s="278">
        <f t="shared" si="300"/>
        <v>-6.7437425203070447</v>
      </c>
      <c r="CE140" s="278">
        <f t="shared" si="301"/>
        <v>-9.3987379259060333</v>
      </c>
      <c r="CK140" t="str">
        <f t="shared" si="311"/>
        <v>72 Customer service occupations</v>
      </c>
      <c r="CL140" s="278">
        <f t="shared" si="302"/>
        <v>2.651410428350939</v>
      </c>
      <c r="CM140" s="278">
        <f t="shared" si="302"/>
        <v>-0.8605927685209025</v>
      </c>
      <c r="CN140" s="278">
        <f t="shared" si="302"/>
        <v>3.4636229950336457</v>
      </c>
      <c r="CO140" s="278">
        <f t="shared" si="302"/>
        <v>2.3408086293352142</v>
      </c>
      <c r="CP140" s="278">
        <f t="shared" si="303"/>
        <v>5.8044316243688598</v>
      </c>
    </row>
    <row r="141" spans="1:94">
      <c r="A141" t="str">
        <f t="shared" si="285"/>
        <v>81 Process, plant and machine operatives</v>
      </c>
      <c r="B141" s="225">
        <f t="shared" si="286"/>
        <v>0.39884493093022266</v>
      </c>
      <c r="C141" s="225">
        <f t="shared" si="286"/>
        <v>-0.24605112140537955</v>
      </c>
      <c r="D141" s="225">
        <f t="shared" si="286"/>
        <v>0.89559355581465749</v>
      </c>
      <c r="E141" s="225">
        <f t="shared" si="286"/>
        <v>2.2087073600152025</v>
      </c>
      <c r="F141" s="225">
        <f t="shared" si="287"/>
        <v>3.1043009158298602</v>
      </c>
      <c r="L141" t="str">
        <f t="shared" si="304"/>
        <v>81 Process, plant and machine operatives</v>
      </c>
      <c r="M141" s="225">
        <f t="shared" si="288"/>
        <v>2.6320667403424558</v>
      </c>
      <c r="N141" s="225">
        <f t="shared" si="288"/>
        <v>-1.2188757824720167</v>
      </c>
      <c r="O141" s="225">
        <f t="shared" si="288"/>
        <v>6.4879978755759584</v>
      </c>
      <c r="P141" s="225">
        <f t="shared" si="288"/>
        <v>13.174880564519622</v>
      </c>
      <c r="Q141" s="225">
        <f t="shared" si="289"/>
        <v>19.662878440095582</v>
      </c>
      <c r="W141" t="str">
        <f t="shared" si="305"/>
        <v>81 Process, plant and machine operatives</v>
      </c>
      <c r="X141" s="225">
        <f t="shared" si="290"/>
        <v>0.4082274233436074</v>
      </c>
      <c r="Y141" s="225">
        <f t="shared" si="290"/>
        <v>-1.3741757395361347</v>
      </c>
      <c r="Z141" s="225">
        <f t="shared" si="290"/>
        <v>12.137465656372477</v>
      </c>
      <c r="AA141" s="225">
        <f t="shared" si="290"/>
        <v>23.225912300457544</v>
      </c>
      <c r="AB141" s="225">
        <f t="shared" si="291"/>
        <v>35.363377956830021</v>
      </c>
      <c r="AH141" t="str">
        <f t="shared" si="306"/>
        <v>81 Process, plant and machine operatives</v>
      </c>
      <c r="AI141" s="225">
        <f t="shared" si="292"/>
        <v>0.34273865383958579</v>
      </c>
      <c r="AJ141" s="225">
        <f t="shared" si="292"/>
        <v>-0.17795585679045267</v>
      </c>
      <c r="AK141" s="225">
        <f t="shared" si="292"/>
        <v>4.3893551932275781</v>
      </c>
      <c r="AL141" s="225">
        <f t="shared" si="292"/>
        <v>7.4243764155051259</v>
      </c>
      <c r="AM141" s="225">
        <f t="shared" si="293"/>
        <v>11.813731608732704</v>
      </c>
      <c r="AS141" t="str">
        <f t="shared" si="307"/>
        <v>81 Process, plant and machine operatives</v>
      </c>
      <c r="AT141" s="225">
        <f t="shared" si="294"/>
        <v>0.26023133874246795</v>
      </c>
      <c r="AU141" s="225">
        <f t="shared" si="294"/>
        <v>-0.90835967609147872</v>
      </c>
      <c r="AV141" s="225">
        <f t="shared" si="294"/>
        <v>6.3305311829170385</v>
      </c>
      <c r="AW141" s="225">
        <f t="shared" si="294"/>
        <v>9.6278641763121549</v>
      </c>
      <c r="AX141" s="225">
        <f t="shared" si="295"/>
        <v>15.958395359229193</v>
      </c>
      <c r="BD141" t="str">
        <f t="shared" si="308"/>
        <v>81 Process, plant and machine operatives</v>
      </c>
      <c r="BE141" s="225">
        <f t="shared" si="296"/>
        <v>5.0069715744023426</v>
      </c>
      <c r="BF141" s="225">
        <f t="shared" si="296"/>
        <v>-13.821245684558221</v>
      </c>
      <c r="BG141" s="225">
        <f t="shared" si="296"/>
        <v>20.144224997745027</v>
      </c>
      <c r="BH141" s="225">
        <f t="shared" si="296"/>
        <v>14.231693099895551</v>
      </c>
      <c r="BI141" s="225">
        <f t="shared" si="297"/>
        <v>34.375918097640579</v>
      </c>
      <c r="BO141" t="str">
        <f t="shared" si="309"/>
        <v>81 Process, plant and machine operatives</v>
      </c>
      <c r="BP141" s="225">
        <f t="shared" si="298"/>
        <v>1.1211629607758198</v>
      </c>
      <c r="BQ141" s="225">
        <f t="shared" si="298"/>
        <v>-25.550247705800217</v>
      </c>
      <c r="BR141" s="225">
        <f t="shared" si="298"/>
        <v>16.900829400084575</v>
      </c>
      <c r="BS141" s="225">
        <f t="shared" si="298"/>
        <v>-19.443916368536065</v>
      </c>
      <c r="BT141" s="225">
        <f t="shared" si="299"/>
        <v>-2.5430869684514903</v>
      </c>
      <c r="BZ141" t="str">
        <f t="shared" si="310"/>
        <v>81 Process, plant and machine operatives</v>
      </c>
      <c r="CA141" s="278">
        <f t="shared" si="300"/>
        <v>-11.020803551007845</v>
      </c>
      <c r="CB141" s="278">
        <f t="shared" si="300"/>
        <v>-26.077292306083677</v>
      </c>
      <c r="CC141" s="278">
        <f t="shared" si="300"/>
        <v>-8.621711753494111</v>
      </c>
      <c r="CD141" s="278">
        <f t="shared" si="300"/>
        <v>-74.407346755478954</v>
      </c>
      <c r="CE141" s="278">
        <f t="shared" si="301"/>
        <v>-83.029058508973065</v>
      </c>
      <c r="CK141" t="str">
        <f t="shared" si="311"/>
        <v>81 Process, plant and machine operatives</v>
      </c>
      <c r="CL141" s="278">
        <f t="shared" si="302"/>
        <v>-20.742127722665145</v>
      </c>
      <c r="CM141" s="278">
        <f t="shared" si="302"/>
        <v>-12.627843610191142</v>
      </c>
      <c r="CN141" s="278">
        <f t="shared" si="302"/>
        <v>-29.701412497365045</v>
      </c>
      <c r="CO141" s="278">
        <f t="shared" si="302"/>
        <v>-16.335473553469349</v>
      </c>
      <c r="CP141" s="278">
        <f t="shared" si="303"/>
        <v>-46.036886050834397</v>
      </c>
    </row>
    <row r="142" spans="1:94">
      <c r="A142" t="str">
        <f t="shared" si="285"/>
        <v>82 Transport and mobile machine drivers and operatives</v>
      </c>
      <c r="B142" s="225">
        <f t="shared" si="286"/>
        <v>1.1812646837098759</v>
      </c>
      <c r="C142" s="225">
        <f t="shared" si="286"/>
        <v>-0.23610566753839501</v>
      </c>
      <c r="D142" s="225">
        <f t="shared" si="286"/>
        <v>1.9770107177116021</v>
      </c>
      <c r="E142" s="225">
        <f t="shared" si="286"/>
        <v>3.9097827442403963</v>
      </c>
      <c r="F142" s="225">
        <f t="shared" si="287"/>
        <v>5.8867934619519984</v>
      </c>
      <c r="L142" t="str">
        <f t="shared" si="304"/>
        <v>82 Transport and mobile machine drivers and operatives</v>
      </c>
      <c r="M142" s="225">
        <f t="shared" si="288"/>
        <v>7.0490840906348087</v>
      </c>
      <c r="N142" s="225">
        <f t="shared" si="288"/>
        <v>-0.56507653037964545</v>
      </c>
      <c r="O142" s="225">
        <f t="shared" si="288"/>
        <v>10.411164933685047</v>
      </c>
      <c r="P142" s="225">
        <f t="shared" si="288"/>
        <v>23.185674211207832</v>
      </c>
      <c r="Q142" s="225">
        <f t="shared" si="289"/>
        <v>33.596839144892883</v>
      </c>
      <c r="W142" t="str">
        <f t="shared" si="305"/>
        <v>82 Transport and mobile machine drivers and operatives</v>
      </c>
      <c r="X142" s="225">
        <f t="shared" si="290"/>
        <v>12.703277510103746</v>
      </c>
      <c r="Y142" s="225">
        <f t="shared" si="290"/>
        <v>8.0139307533002579E-2</v>
      </c>
      <c r="Z142" s="225">
        <f t="shared" si="290"/>
        <v>13.017281939293319</v>
      </c>
      <c r="AA142" s="225">
        <f t="shared" si="290"/>
        <v>25.684338374072624</v>
      </c>
      <c r="AB142" s="225">
        <f t="shared" si="291"/>
        <v>38.701620313365943</v>
      </c>
      <c r="AH142" t="str">
        <f t="shared" si="306"/>
        <v>82 Transport and mobile machine drivers and operatives</v>
      </c>
      <c r="AI142" s="225">
        <f t="shared" si="292"/>
        <v>6.1785135572279337</v>
      </c>
      <c r="AJ142" s="225">
        <f t="shared" si="292"/>
        <v>0.39392086748679844</v>
      </c>
      <c r="AK142" s="225">
        <f t="shared" si="292"/>
        <v>5.8426538615692927</v>
      </c>
      <c r="AL142" s="225">
        <f t="shared" si="292"/>
        <v>9.2749016174652894</v>
      </c>
      <c r="AM142" s="225">
        <f t="shared" si="293"/>
        <v>15.117555479034582</v>
      </c>
      <c r="AS142" t="str">
        <f t="shared" si="307"/>
        <v>82 Transport and mobile machine drivers and operatives</v>
      </c>
      <c r="AT142" s="225">
        <f t="shared" si="294"/>
        <v>7.2369019464832931</v>
      </c>
      <c r="AU142" s="225">
        <f t="shared" si="294"/>
        <v>0.71286937495843006</v>
      </c>
      <c r="AV142" s="225">
        <f t="shared" si="294"/>
        <v>6.7261628147653667</v>
      </c>
      <c r="AW142" s="225">
        <f t="shared" si="294"/>
        <v>11.241882960961007</v>
      </c>
      <c r="AX142" s="225">
        <f t="shared" si="295"/>
        <v>17.968045775726374</v>
      </c>
      <c r="BD142" t="str">
        <f t="shared" si="308"/>
        <v>82 Transport and mobile machine drivers and operatives</v>
      </c>
      <c r="BE142" s="225">
        <f t="shared" si="296"/>
        <v>25.675314547707217</v>
      </c>
      <c r="BF142" s="225">
        <f t="shared" si="296"/>
        <v>-10.089321395521296</v>
      </c>
      <c r="BG142" s="225">
        <f t="shared" si="296"/>
        <v>15.557393115725858</v>
      </c>
      <c r="BH142" s="225">
        <f t="shared" si="296"/>
        <v>19.856871467579481</v>
      </c>
      <c r="BI142" s="225">
        <f t="shared" si="297"/>
        <v>35.414264583305339</v>
      </c>
      <c r="BO142" t="str">
        <f t="shared" si="309"/>
        <v>82 Transport and mobile machine drivers and operatives</v>
      </c>
      <c r="BP142" s="225">
        <f t="shared" si="298"/>
        <v>45.731851222736452</v>
      </c>
      <c r="BQ142" s="225">
        <f t="shared" si="298"/>
        <v>-46.029418849099784</v>
      </c>
      <c r="BR142" s="225">
        <f t="shared" si="298"/>
        <v>17.237625042894877</v>
      </c>
      <c r="BS142" s="225">
        <f t="shared" si="298"/>
        <v>-10.46033597828324</v>
      </c>
      <c r="BT142" s="225">
        <f t="shared" si="299"/>
        <v>6.7772890646116366</v>
      </c>
      <c r="BZ142" t="str">
        <f t="shared" si="310"/>
        <v>82 Transport and mobile machine drivers and operatives</v>
      </c>
      <c r="CA142" s="278">
        <f t="shared" si="300"/>
        <v>8.5040425463108136</v>
      </c>
      <c r="CB142" s="278">
        <f t="shared" si="300"/>
        <v>-44.108279629293918</v>
      </c>
      <c r="CC142" s="278">
        <f t="shared" si="300"/>
        <v>-18.326911833292883</v>
      </c>
      <c r="CD142" s="278">
        <f t="shared" si="300"/>
        <v>-58.403294153864692</v>
      </c>
      <c r="CE142" s="278">
        <f t="shared" si="301"/>
        <v>-76.730205987157575</v>
      </c>
      <c r="CK142" t="str">
        <f t="shared" si="311"/>
        <v>82 Transport and mobile machine drivers and operatives</v>
      </c>
      <c r="CL142" s="278">
        <f t="shared" si="302"/>
        <v>10.554817070479629</v>
      </c>
      <c r="CM142" s="278">
        <f t="shared" si="302"/>
        <v>-22.915463305023692</v>
      </c>
      <c r="CN142" s="278">
        <f t="shared" si="302"/>
        <v>-22.919482754030341</v>
      </c>
      <c r="CO142" s="278">
        <f t="shared" si="302"/>
        <v>-43.306480084253806</v>
      </c>
      <c r="CP142" s="278">
        <f t="shared" si="303"/>
        <v>-66.225962838284147</v>
      </c>
    </row>
    <row r="143" spans="1:94">
      <c r="A143" t="str">
        <f t="shared" si="285"/>
        <v>91 Elementary trades and related occupations</v>
      </c>
      <c r="B143" s="225">
        <f t="shared" si="286"/>
        <v>-6.8554284046646458E-4</v>
      </c>
      <c r="C143" s="225">
        <f t="shared" si="286"/>
        <v>-1.4039151123453851E-3</v>
      </c>
      <c r="D143" s="225">
        <f t="shared" si="286"/>
        <v>8.1115178043365654E-2</v>
      </c>
      <c r="E143" s="225">
        <f t="shared" si="286"/>
        <v>0.12241937511728859</v>
      </c>
      <c r="F143" s="225">
        <f t="shared" si="287"/>
        <v>0.20353455316065425</v>
      </c>
      <c r="L143" t="str">
        <f t="shared" si="304"/>
        <v>91 Elementary trades and related occupations</v>
      </c>
      <c r="M143" s="225">
        <f t="shared" si="288"/>
        <v>1.0434777302583989</v>
      </c>
      <c r="N143" s="225">
        <f t="shared" si="288"/>
        <v>-1.062388168532804</v>
      </c>
      <c r="O143" s="225">
        <f t="shared" si="288"/>
        <v>7.5596566286586775</v>
      </c>
      <c r="P143" s="225">
        <f t="shared" si="288"/>
        <v>14.295064576242305</v>
      </c>
      <c r="Q143" s="225">
        <f t="shared" si="289"/>
        <v>21.854721204900983</v>
      </c>
      <c r="W143" t="str">
        <f t="shared" si="305"/>
        <v>91 Elementary trades and related occupations</v>
      </c>
      <c r="X143" s="225">
        <f t="shared" si="290"/>
        <v>-9.6082034387983128E-3</v>
      </c>
      <c r="Y143" s="225">
        <f t="shared" si="290"/>
        <v>-1.6788019613758323</v>
      </c>
      <c r="Z143" s="225">
        <f t="shared" si="290"/>
        <v>27.678428861810332</v>
      </c>
      <c r="AA143" s="225">
        <f t="shared" si="290"/>
        <v>22.332971119706542</v>
      </c>
      <c r="AB143" s="225">
        <f t="shared" si="291"/>
        <v>50.011399981516874</v>
      </c>
      <c r="AH143" t="str">
        <f t="shared" si="306"/>
        <v>91 Elementary trades and related occupations</v>
      </c>
      <c r="AI143" s="225">
        <f t="shared" si="292"/>
        <v>0.17327556848287529</v>
      </c>
      <c r="AJ143" s="225">
        <f t="shared" si="292"/>
        <v>-1.3135295525047184</v>
      </c>
      <c r="AK143" s="225">
        <f t="shared" si="292"/>
        <v>17.622581889072002</v>
      </c>
      <c r="AL143" s="225">
        <f t="shared" si="292"/>
        <v>16.242356902065186</v>
      </c>
      <c r="AM143" s="225">
        <f t="shared" si="293"/>
        <v>33.864938791137192</v>
      </c>
      <c r="AS143" t="str">
        <f t="shared" si="307"/>
        <v>91 Elementary trades and related occupations</v>
      </c>
      <c r="AT143" s="225">
        <f t="shared" si="294"/>
        <v>-0.31797550183213552</v>
      </c>
      <c r="AU143" s="225">
        <f t="shared" si="294"/>
        <v>0.22322742713032007</v>
      </c>
      <c r="AV143" s="225">
        <f t="shared" si="294"/>
        <v>19.746179538004405</v>
      </c>
      <c r="AW143" s="225">
        <f t="shared" si="294"/>
        <v>14.598088741846304</v>
      </c>
      <c r="AX143" s="225">
        <f t="shared" si="295"/>
        <v>34.344268279850709</v>
      </c>
      <c r="BD143" t="str">
        <f t="shared" si="308"/>
        <v>91 Elementary trades and related occupations</v>
      </c>
      <c r="BE143" s="225">
        <f t="shared" si="296"/>
        <v>-6.862678947761836</v>
      </c>
      <c r="BF143" s="225">
        <f t="shared" si="296"/>
        <v>-4.61492626174946</v>
      </c>
      <c r="BG143" s="225">
        <f t="shared" si="296"/>
        <v>57.927271318210217</v>
      </c>
      <c r="BH143" s="225">
        <f t="shared" si="296"/>
        <v>39.094186044653526</v>
      </c>
      <c r="BI143" s="225">
        <f t="shared" si="297"/>
        <v>97.021457362863742</v>
      </c>
      <c r="BO143" t="str">
        <f t="shared" si="309"/>
        <v>91 Elementary trades and related occupations</v>
      </c>
      <c r="BP143" s="225">
        <f t="shared" si="298"/>
        <v>-13.321274923370865</v>
      </c>
      <c r="BQ143" s="225">
        <f t="shared" si="298"/>
        <v>-11.717382678736342</v>
      </c>
      <c r="BR143" s="225">
        <f t="shared" si="298"/>
        <v>71.446850068996383</v>
      </c>
      <c r="BS143" s="225">
        <f t="shared" si="298"/>
        <v>10.757560555820106</v>
      </c>
      <c r="BT143" s="225">
        <f t="shared" si="299"/>
        <v>82.204410624816489</v>
      </c>
      <c r="BZ143" t="str">
        <f t="shared" si="310"/>
        <v>91 Elementary trades and related occupations</v>
      </c>
      <c r="CA143" s="278">
        <f t="shared" si="300"/>
        <v>-15.90799099375144</v>
      </c>
      <c r="CB143" s="278">
        <f t="shared" si="300"/>
        <v>-20.185858358463591</v>
      </c>
      <c r="CC143" s="278">
        <f t="shared" si="300"/>
        <v>76.084666527015415</v>
      </c>
      <c r="CD143" s="278">
        <f t="shared" si="300"/>
        <v>-20.500497939984399</v>
      </c>
      <c r="CE143" s="278">
        <f t="shared" si="301"/>
        <v>55.584168587031016</v>
      </c>
      <c r="CK143" t="str">
        <f t="shared" si="311"/>
        <v>91 Elementary trades and related occupations</v>
      </c>
      <c r="CL143" s="278">
        <f t="shared" si="302"/>
        <v>-12.154901208633319</v>
      </c>
      <c r="CM143" s="278">
        <f t="shared" si="302"/>
        <v>-8.9276183702622518</v>
      </c>
      <c r="CN143" s="278">
        <f t="shared" si="302"/>
        <v>33.30550067511156</v>
      </c>
      <c r="CO143" s="278">
        <f t="shared" si="302"/>
        <v>-10.003912963034225</v>
      </c>
      <c r="CP143" s="278">
        <f t="shared" si="303"/>
        <v>23.301587712077335</v>
      </c>
    </row>
    <row r="144" spans="1:94">
      <c r="A144" t="str">
        <f t="shared" si="285"/>
        <v>92 Elementary administration and service occupations</v>
      </c>
      <c r="B144" s="225">
        <f t="shared" si="286"/>
        <v>0.51037336641524056</v>
      </c>
      <c r="C144" s="225">
        <f t="shared" si="286"/>
        <v>-3.4350314408520433E-2</v>
      </c>
      <c r="D144" s="225">
        <f t="shared" si="286"/>
        <v>0.65908967476087366</v>
      </c>
      <c r="E144" s="225">
        <f t="shared" si="286"/>
        <v>1.449302210987212</v>
      </c>
      <c r="F144" s="225">
        <f t="shared" si="287"/>
        <v>2.1083918857480857</v>
      </c>
      <c r="L144" t="str">
        <f t="shared" ref="L144" si="312">A144</f>
        <v>92 Elementary administration and service occupations</v>
      </c>
      <c r="M144" s="225">
        <f t="shared" si="288"/>
        <v>20.81506877239385</v>
      </c>
      <c r="N144" s="225">
        <f t="shared" si="288"/>
        <v>2.4186902144232079</v>
      </c>
      <c r="O144" s="225">
        <f t="shared" si="288"/>
        <v>28.861326926108731</v>
      </c>
      <c r="P144" s="225">
        <f t="shared" si="288"/>
        <v>79.51468291711744</v>
      </c>
      <c r="Q144" s="225">
        <f t="shared" si="289"/>
        <v>108.37600984322617</v>
      </c>
      <c r="W144" t="str">
        <f t="shared" ref="W144" si="313">A144</f>
        <v>92 Elementary administration and service occupations</v>
      </c>
      <c r="X144" s="225">
        <f t="shared" si="290"/>
        <v>35.420892679201359</v>
      </c>
      <c r="Y144" s="225">
        <f t="shared" si="290"/>
        <v>7.5291783651489084</v>
      </c>
      <c r="Z144" s="225">
        <f t="shared" si="290"/>
        <v>17.891773993422674</v>
      </c>
      <c r="AA144" s="225">
        <f t="shared" si="290"/>
        <v>64.610970982432889</v>
      </c>
      <c r="AB144" s="225">
        <f t="shared" si="291"/>
        <v>82.502744975855563</v>
      </c>
      <c r="AH144" t="str">
        <f t="shared" ref="AH144" si="314">L144</f>
        <v>92 Elementary administration and service occupations</v>
      </c>
      <c r="AI144" s="225">
        <f t="shared" si="292"/>
        <v>17.442007571149773</v>
      </c>
      <c r="AJ144" s="225">
        <f t="shared" si="292"/>
        <v>5.1930942213987379</v>
      </c>
      <c r="AK144" s="225">
        <f t="shared" si="292"/>
        <v>5.3170973295550539</v>
      </c>
      <c r="AL144" s="225">
        <f t="shared" si="292"/>
        <v>31.733019165536774</v>
      </c>
      <c r="AM144" s="225">
        <f t="shared" si="293"/>
        <v>37.050116495091828</v>
      </c>
      <c r="AS144" t="str">
        <f t="shared" ref="AS144" si="315">W144</f>
        <v>92 Elementary administration and service occupations</v>
      </c>
      <c r="AT144" s="225">
        <f t="shared" si="294"/>
        <v>9.8169964408676549</v>
      </c>
      <c r="AU144" s="225">
        <f t="shared" si="294"/>
        <v>7.9707840407067891</v>
      </c>
      <c r="AV144" s="225">
        <f t="shared" si="294"/>
        <v>2.242766245355682</v>
      </c>
      <c r="AW144" s="225">
        <f t="shared" si="294"/>
        <v>27.738605751047544</v>
      </c>
      <c r="AX144" s="225">
        <f t="shared" si="295"/>
        <v>29.981371996403226</v>
      </c>
      <c r="BD144" t="str">
        <f t="shared" ref="BD144" si="316">AH144</f>
        <v>92 Elementary administration and service occupations</v>
      </c>
      <c r="BE144" s="225">
        <f t="shared" si="296"/>
        <v>-11.664846239765893</v>
      </c>
      <c r="BF144" s="225">
        <f t="shared" si="296"/>
        <v>-19.244151924729181</v>
      </c>
      <c r="BG144" s="225">
        <f t="shared" si="296"/>
        <v>-69.345726116781236</v>
      </c>
      <c r="BH144" s="225">
        <f t="shared" si="296"/>
        <v>-25.095525278051753</v>
      </c>
      <c r="BI144" s="225">
        <f t="shared" si="297"/>
        <v>-94.441251394832989</v>
      </c>
      <c r="BO144" t="str">
        <f t="shared" ref="BO144" si="317">AS144</f>
        <v>92 Elementary administration and service occupations</v>
      </c>
      <c r="BP144" s="225">
        <f t="shared" si="298"/>
        <v>32.899010682131234</v>
      </c>
      <c r="BQ144" s="225">
        <f t="shared" si="298"/>
        <v>-94.628921914041257</v>
      </c>
      <c r="BR144" s="225">
        <f t="shared" si="298"/>
        <v>-55.159788586007835</v>
      </c>
      <c r="BS144" s="225">
        <f t="shared" si="298"/>
        <v>-96.910992564925436</v>
      </c>
      <c r="BT144" s="225">
        <f t="shared" si="299"/>
        <v>-152.07078115093327</v>
      </c>
      <c r="BZ144" t="str">
        <f t="shared" ref="BZ144" si="318">BD144</f>
        <v>92 Elementary administration and service occupations</v>
      </c>
      <c r="CA144" s="278">
        <f t="shared" si="300"/>
        <v>11.224693049632833</v>
      </c>
      <c r="CB144" s="278">
        <f t="shared" si="300"/>
        <v>-91.122272056578481</v>
      </c>
      <c r="CC144" s="278">
        <f t="shared" si="300"/>
        <v>-85.142105611798456</v>
      </c>
      <c r="CD144" s="278">
        <f t="shared" si="300"/>
        <v>-186.54921818359151</v>
      </c>
      <c r="CE144" s="278">
        <f t="shared" si="301"/>
        <v>-271.69132379538996</v>
      </c>
      <c r="CK144" t="str">
        <f t="shared" ref="CK144" si="319">BO144</f>
        <v>92 Elementary administration and service occupations</v>
      </c>
      <c r="CL144" s="278">
        <f t="shared" si="302"/>
        <v>-81.055800699325459</v>
      </c>
      <c r="CM144" s="278">
        <f t="shared" si="302"/>
        <v>-62.858689930982223</v>
      </c>
      <c r="CN144" s="278">
        <f t="shared" si="302"/>
        <v>-92.465154917702336</v>
      </c>
      <c r="CO144" s="278">
        <f t="shared" si="302"/>
        <v>-55.757297527178338</v>
      </c>
      <c r="CP144" s="278">
        <f t="shared" si="303"/>
        <v>-148.22245244488067</v>
      </c>
    </row>
    <row r="145" spans="1:94">
      <c r="C145" s="225"/>
      <c r="F145" s="225"/>
      <c r="N145" s="225"/>
      <c r="Q145" s="225"/>
      <c r="Y145" s="225"/>
      <c r="AB145" s="225"/>
      <c r="AJ145" s="225"/>
      <c r="AM145" s="225"/>
      <c r="AU145" s="225"/>
      <c r="AX145" s="225"/>
      <c r="BF145" s="225"/>
      <c r="BI145" s="225"/>
      <c r="BQ145" s="225"/>
      <c r="BT145" s="225"/>
      <c r="CA145" s="54"/>
      <c r="CB145" s="278"/>
      <c r="CC145" s="54"/>
      <c r="CD145" s="54"/>
      <c r="CE145" s="278"/>
      <c r="CL145" s="54"/>
      <c r="CM145" s="278"/>
      <c r="CN145" s="54"/>
      <c r="CO145" s="54"/>
      <c r="CP145" s="278"/>
    </row>
    <row r="146" spans="1:94">
      <c r="A146" s="21" t="str">
        <f t="shared" ref="A146" si="320">A35</f>
        <v>All occupations</v>
      </c>
      <c r="B146" s="337">
        <f>C35-B35</f>
        <v>114.05250629572498</v>
      </c>
      <c r="C146" s="337">
        <f>D35-C35</f>
        <v>14.871630372962386</v>
      </c>
      <c r="D146" s="337">
        <f>E35-D35</f>
        <v>147.0915765247089</v>
      </c>
      <c r="E146" s="337">
        <f>F35-E35</f>
        <v>264.42923609213176</v>
      </c>
      <c r="F146" s="337">
        <f>F35-D35</f>
        <v>411.52081261684066</v>
      </c>
      <c r="L146" s="21" t="str">
        <f t="shared" ref="L146" si="321">L35</f>
        <v>All occupations</v>
      </c>
      <c r="M146" s="337">
        <f>N35-M35</f>
        <v>848.38953704396363</v>
      </c>
      <c r="N146" s="337">
        <f t="shared" ref="N146" si="322">O35-N35</f>
        <v>162.78912460428774</v>
      </c>
      <c r="O146" s="337">
        <f>P35-O35</f>
        <v>1056.4482375532421</v>
      </c>
      <c r="P146" s="337">
        <f>Q35-P35</f>
        <v>1967.7660991275743</v>
      </c>
      <c r="Q146" s="337">
        <f>Q35-O35</f>
        <v>3024.2143366808164</v>
      </c>
      <c r="W146" s="21" t="str">
        <f t="shared" ref="W146" si="323">W35</f>
        <v>All occupations</v>
      </c>
      <c r="X146" s="337">
        <f>Y35-X35</f>
        <v>523.39696621487928</v>
      </c>
      <c r="Y146" s="337">
        <f t="shared" ref="Y146" si="324">Z35-Y35</f>
        <v>284.00814833881213</v>
      </c>
      <c r="Z146" s="337">
        <f>AA35-Z35</f>
        <v>394.96526334572627</v>
      </c>
      <c r="AA146" s="337">
        <f>AB35-AA35</f>
        <v>814.79398980580208</v>
      </c>
      <c r="AB146" s="337">
        <f>AB35-Z35</f>
        <v>1209.7592531515284</v>
      </c>
      <c r="AH146" s="21" t="str">
        <f t="shared" ref="AH146" si="325">AH35</f>
        <v>All occupations</v>
      </c>
      <c r="AI146" s="337">
        <f>AJ35-AI35</f>
        <v>-0.26041069974098718</v>
      </c>
      <c r="AJ146" s="337">
        <f t="shared" ref="AJ146" si="326">AK35-AJ35</f>
        <v>71.440392800284371</v>
      </c>
      <c r="AK146" s="337">
        <f>AL35-AK35</f>
        <v>-2.5471782190295471</v>
      </c>
      <c r="AL146" s="337">
        <f>AM35-AL35</f>
        <v>165.28136897931586</v>
      </c>
      <c r="AM146" s="337">
        <f>AM35-AK35</f>
        <v>162.73419076028631</v>
      </c>
      <c r="AS146" s="21" t="str">
        <f t="shared" ref="AS146" si="327">AS35</f>
        <v>All occupations</v>
      </c>
      <c r="AT146" s="337">
        <f>AU35-AT35</f>
        <v>103.89385143022218</v>
      </c>
      <c r="AU146" s="337">
        <f t="shared" ref="AU146" si="328">AV35-AU35</f>
        <v>85.767228370856856</v>
      </c>
      <c r="AV146" s="337">
        <f>AW35-AV35</f>
        <v>72.230506379886947</v>
      </c>
      <c r="AW146" s="337">
        <f>AX35-AW35</f>
        <v>238.37870431315332</v>
      </c>
      <c r="AX146" s="337">
        <f>AX35-AV35</f>
        <v>310.60921069304027</v>
      </c>
      <c r="BD146" s="21" t="str">
        <f t="shared" ref="BD146" si="329">BD35</f>
        <v>All occupations</v>
      </c>
      <c r="BE146" s="337">
        <f>BF35-BE35</f>
        <v>193.58807751514541</v>
      </c>
      <c r="BF146" s="337">
        <f t="shared" ref="BF146" si="330">BG35-BF35</f>
        <v>9.9451963422689005</v>
      </c>
      <c r="BG146" s="337">
        <f>BH35-BG35</f>
        <v>-30.863822094247553</v>
      </c>
      <c r="BH146" s="337">
        <f>BI35-BH35</f>
        <v>8.9453494907456843</v>
      </c>
      <c r="BI146" s="337">
        <f>BI35-BG35</f>
        <v>-21.918472603501868</v>
      </c>
      <c r="BO146" s="21" t="str">
        <f t="shared" ref="BO146" si="331">BO35</f>
        <v>All occupations</v>
      </c>
      <c r="BP146" s="337">
        <f>BQ35-BP35</f>
        <v>48.50395142713478</v>
      </c>
      <c r="BQ146" s="337">
        <f t="shared" ref="BQ146" si="332">BR35-BQ35</f>
        <v>-428.60154572321062</v>
      </c>
      <c r="BR146" s="337">
        <f>BS35-BR35</f>
        <v>-195.71538847536249</v>
      </c>
      <c r="BS146" s="337">
        <f>BT35-BS35</f>
        <v>-861.90378466155926</v>
      </c>
      <c r="BT146" s="337">
        <f>BT35-BR35</f>
        <v>-1057.6191731369217</v>
      </c>
      <c r="BZ146" s="21" t="str">
        <f t="shared" ref="BZ146" si="333">BZ35</f>
        <v>All occupations</v>
      </c>
      <c r="CA146" s="344">
        <f>CB35-CA35</f>
        <v>-122.85355092084728</v>
      </c>
      <c r="CB146" s="344">
        <f t="shared" ref="CB146" si="334">CC35-CB35</f>
        <v>-358.16663555016567</v>
      </c>
      <c r="CC146" s="344">
        <f>CD35-CC35</f>
        <v>-344.10364690780671</v>
      </c>
      <c r="CD146" s="344">
        <f>CE35-CD35</f>
        <v>-1039.5260186442597</v>
      </c>
      <c r="CE146" s="344">
        <f>CE35-CC35</f>
        <v>-1383.6296655520664</v>
      </c>
      <c r="CK146" s="21" t="str">
        <f t="shared" ref="CK146" si="335">CK35</f>
        <v>All occupations</v>
      </c>
      <c r="CL146" s="344">
        <f>CM35-CL35</f>
        <v>-152.12292831037689</v>
      </c>
      <c r="CM146" s="344">
        <f t="shared" ref="CM146" si="336">CN35-CM35</f>
        <v>-195.13253955475034</v>
      </c>
      <c r="CN146" s="344">
        <f>CO35-CN35</f>
        <v>-202.43854809160428</v>
      </c>
      <c r="CO146" s="344">
        <f>CP35-CO35</f>
        <v>-242.82194450109955</v>
      </c>
      <c r="CP146" s="344">
        <f>CP35-CN35</f>
        <v>-445.26049259270383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6"/>
  <cols>
    <col min="1" max="1" width="55.7109375" style="72" customWidth="1"/>
    <col min="2" max="4" width="11.7109375" style="72" customWidth="1"/>
    <col min="5" max="5" width="14.7109375" style="72" customWidth="1"/>
    <col min="6" max="8" width="11.7109375" style="72" customWidth="1"/>
    <col min="9" max="9" width="16.5703125" style="72" customWidth="1"/>
    <col min="10" max="11" width="11.7109375" style="72" customWidth="1"/>
    <col min="12" max="12" width="2.7109375" style="72" customWidth="1"/>
    <col min="13" max="22" width="11.7109375" style="72" customWidth="1"/>
    <col min="23" max="23" width="2.7109375" style="72" customWidth="1"/>
    <col min="24" max="32" width="11.7109375" style="72" customWidth="1"/>
    <col min="33" max="33" width="12.85546875" style="72" customWidth="1"/>
    <col min="34" max="16384" width="9.140625" style="72"/>
  </cols>
  <sheetData>
    <row r="1" spans="1:33" ht="15.6">
      <c r="A1" s="17" t="str">
        <f>CONCATENATE("Basic Table 3  Occupation by Qualification in ",A$6,", ",Info!B5)</f>
        <v>Basic Table 3  Occupation by Qualification in 2020, England</v>
      </c>
    </row>
    <row r="2" spans="1:33" ht="12.95">
      <c r="A2" s="158" t="s">
        <v>207</v>
      </c>
    </row>
    <row r="3" spans="1:33">
      <c r="AG3" s="73"/>
    </row>
    <row r="4" spans="1:33">
      <c r="A4" s="77"/>
      <c r="B4" s="76" t="s">
        <v>215</v>
      </c>
      <c r="C4" s="76"/>
      <c r="D4" s="76"/>
      <c r="E4" s="76"/>
      <c r="F4" s="76"/>
      <c r="G4" s="76"/>
      <c r="H4" s="76"/>
      <c r="I4" s="76"/>
      <c r="J4" s="76"/>
      <c r="K4" s="76"/>
      <c r="L4" s="77"/>
      <c r="M4" s="76" t="s">
        <v>216</v>
      </c>
      <c r="N4" s="76"/>
      <c r="O4" s="76"/>
      <c r="P4" s="76"/>
      <c r="Q4" s="76"/>
      <c r="R4" s="76"/>
      <c r="S4" s="76"/>
      <c r="T4" s="76"/>
      <c r="U4" s="76"/>
      <c r="V4" s="76"/>
      <c r="W4" s="77"/>
      <c r="X4" s="76" t="s">
        <v>217</v>
      </c>
      <c r="Y4" s="76"/>
      <c r="Z4" s="76"/>
      <c r="AA4" s="76"/>
      <c r="AB4" s="76"/>
      <c r="AC4" s="76"/>
      <c r="AD4" s="76"/>
      <c r="AE4" s="76"/>
      <c r="AF4" s="76"/>
    </row>
    <row r="5" spans="1:33">
      <c r="B5" s="73"/>
      <c r="C5" s="73"/>
      <c r="D5" s="73"/>
      <c r="E5" s="73"/>
      <c r="F5" s="73"/>
      <c r="G5" s="73"/>
      <c r="H5" s="73"/>
      <c r="I5" s="73"/>
      <c r="J5" s="73"/>
      <c r="K5" s="73"/>
      <c r="M5" s="73"/>
      <c r="N5" s="73"/>
      <c r="O5" s="73"/>
      <c r="P5" s="73"/>
      <c r="Q5" s="73"/>
      <c r="R5" s="73"/>
      <c r="S5" s="73"/>
      <c r="T5" s="73"/>
      <c r="U5" s="73"/>
      <c r="V5" s="73"/>
      <c r="X5" s="73"/>
      <c r="Y5" s="73"/>
      <c r="Z5" s="73"/>
      <c r="AA5" s="73"/>
      <c r="AB5" s="73"/>
      <c r="AC5" s="73"/>
      <c r="AD5" s="73"/>
      <c r="AE5" s="73"/>
      <c r="AF5" s="73"/>
      <c r="AG5" s="73"/>
    </row>
    <row r="6" spans="1:33" ht="50.45">
      <c r="A6" s="81">
        <f>'Basic T2'!D6</f>
        <v>2020</v>
      </c>
      <c r="B6" s="211" t="str">
        <f>name!$F$4</f>
        <v>RQF8 Doctorate</v>
      </c>
      <c r="C6" s="211" t="str">
        <f>name!$F$5</f>
        <v>RQF7 Other higher degree</v>
      </c>
      <c r="D6" s="211" t="str">
        <f>name!$F$6</f>
        <v>RQF6 First degree</v>
      </c>
      <c r="E6" s="211" t="str">
        <f>name!$F$7</f>
        <v>RQF5 Foundation degree;Nursing;Teaching</v>
      </c>
      <c r="F6" s="211" t="str">
        <f>name!$F$8</f>
        <v>RQF4 HE below degree level</v>
      </c>
      <c r="G6" s="211" t="str">
        <f>name!$F$9</f>
        <v>RQF3 A level &amp; equivalent</v>
      </c>
      <c r="H6" s="211" t="str">
        <f>name!$F$10</f>
        <v>RQF2 GCSE(A-C) &amp; equivalent</v>
      </c>
      <c r="I6" s="211" t="str">
        <f>name!$F$11</f>
        <v>RQF1 GCSE(below grade C) &amp; equivalent</v>
      </c>
      <c r="J6" s="211" t="str">
        <f>name!$F$12</f>
        <v>No Qualification</v>
      </c>
      <c r="K6" s="211" t="str">
        <f>name!$F$3</f>
        <v>All qualifications</v>
      </c>
      <c r="L6" s="73"/>
      <c r="M6" s="211" t="str">
        <f>name!$F$4</f>
        <v>RQF8 Doctorate</v>
      </c>
      <c r="N6" s="211" t="str">
        <f>name!$F$5</f>
        <v>RQF7 Other higher degree</v>
      </c>
      <c r="O6" s="211" t="str">
        <f>name!$F$6</f>
        <v>RQF6 First degree</v>
      </c>
      <c r="P6" s="211" t="str">
        <f>name!$F$7</f>
        <v>RQF5 Foundation degree;Nursing;Teaching</v>
      </c>
      <c r="Q6" s="211" t="str">
        <f>name!$F$8</f>
        <v>RQF4 HE below degree level</v>
      </c>
      <c r="R6" s="211" t="str">
        <f>name!$F$9</f>
        <v>RQF3 A level &amp; equivalent</v>
      </c>
      <c r="S6" s="211" t="str">
        <f>name!$F$10</f>
        <v>RQF2 GCSE(A-C) &amp; equivalent</v>
      </c>
      <c r="T6" s="211" t="str">
        <f>name!$F$11</f>
        <v>RQF1 GCSE(below grade C) &amp; equivalent</v>
      </c>
      <c r="U6" s="211" t="str">
        <f>name!$F$12</f>
        <v>No Qualification</v>
      </c>
      <c r="V6" s="211" t="str">
        <f>name!$F$3</f>
        <v>All qualifications</v>
      </c>
      <c r="W6" s="73"/>
      <c r="X6" s="211" t="str">
        <f>name!$F$4</f>
        <v>RQF8 Doctorate</v>
      </c>
      <c r="Y6" s="211" t="str">
        <f>name!$F$5</f>
        <v>RQF7 Other higher degree</v>
      </c>
      <c r="Z6" s="211" t="str">
        <f>name!$F$6</f>
        <v>RQF6 First degree</v>
      </c>
      <c r="AA6" s="211" t="str">
        <f>name!$F$7</f>
        <v>RQF5 Foundation degree;Nursing;Teaching</v>
      </c>
      <c r="AB6" s="211" t="str">
        <f>name!$F$8</f>
        <v>RQF4 HE below degree level</v>
      </c>
      <c r="AC6" s="211" t="str">
        <f>name!$F$9</f>
        <v>RQF3 A level &amp; equivalent</v>
      </c>
      <c r="AD6" s="211" t="str">
        <f>name!$F$10</f>
        <v>RQF2 GCSE(A-C) &amp; equivalent</v>
      </c>
      <c r="AE6" s="211" t="str">
        <f>name!$F$11</f>
        <v>RQF1 GCSE(below grade C) &amp; equivalent</v>
      </c>
      <c r="AF6" s="211" t="str">
        <f>name!$F$12</f>
        <v>No Qualification</v>
      </c>
      <c r="AG6" s="211" t="str">
        <f>name!$F$3</f>
        <v>All qualifications</v>
      </c>
    </row>
    <row r="8" spans="1:33">
      <c r="A8" s="10" t="str">
        <f>name!D4</f>
        <v>11 Corporate managers and directors</v>
      </c>
      <c r="B8" s="54">
        <f>'Basic T2'!D8</f>
        <v>39.887226737428271</v>
      </c>
      <c r="C8" s="54">
        <f>'Basic T2'!O8</f>
        <v>335.36050589760538</v>
      </c>
      <c r="D8" s="54">
        <f>'Basic T2'!Z8</f>
        <v>679.24260837730344</v>
      </c>
      <c r="E8" s="54">
        <f>'Basic T2'!AK8</f>
        <v>126.12599726327144</v>
      </c>
      <c r="F8" s="54">
        <f>'Basic T2'!AV8</f>
        <v>185.7676879091259</v>
      </c>
      <c r="G8" s="54">
        <f>'Basic T2'!BG8</f>
        <v>398.94793313209016</v>
      </c>
      <c r="H8" s="54">
        <f>'Basic T2'!BR8</f>
        <v>292.20855688537557</v>
      </c>
      <c r="I8" s="54">
        <f>'Basic T2'!CC8</f>
        <v>209.90556903788868</v>
      </c>
      <c r="J8" s="54">
        <f>'Basic T2'!CN8</f>
        <v>40.294019151682562</v>
      </c>
      <c r="K8" s="280">
        <f>SUM(B8:J8)</f>
        <v>2307.7401043917716</v>
      </c>
      <c r="L8" s="78"/>
      <c r="M8" s="78">
        <f t="shared" ref="M8:M33" si="0">B8/B$35*100</f>
        <v>7.6318088773538904</v>
      </c>
      <c r="N8" s="78">
        <f t="shared" ref="N8:N33" si="1">C8/C$35*100</f>
        <v>8.9066246235395958</v>
      </c>
      <c r="O8" s="78">
        <f t="shared" ref="O8:O33" si="2">D8/D$35*100</f>
        <v>10.626804776026438</v>
      </c>
      <c r="P8" s="78">
        <f t="shared" ref="P8:P33" si="3">E8/E$35*100</f>
        <v>7.3933333386602031</v>
      </c>
      <c r="Q8" s="78">
        <f t="shared" ref="Q8:Q33" si="4">F8/F$35*100</f>
        <v>10.747843960648423</v>
      </c>
      <c r="R8" s="78">
        <f t="shared" ref="R8:R33" si="5">G8/G$35*100</f>
        <v>6.828032461931814</v>
      </c>
      <c r="S8" s="78">
        <f t="shared" ref="S8:S33" si="6">H8/H$35*100</f>
        <v>5.4821704103049473</v>
      </c>
      <c r="T8" s="78">
        <f t="shared" ref="T8:T33" si="7">I8/I$35*100</f>
        <v>6.1137411465158849</v>
      </c>
      <c r="U8" s="78">
        <f t="shared" ref="U8:U33" si="8">J8/J$35*100</f>
        <v>3.5367356073075764</v>
      </c>
      <c r="V8" s="78">
        <f t="shared" ref="V8:V33" si="9">K8/K$35*100</f>
        <v>7.7286160705874298</v>
      </c>
      <c r="W8" s="78"/>
      <c r="X8" s="78">
        <f t="shared" ref="X8:X32" si="10">IF($K8&gt;0,B8/$K8*100,0)</f>
        <v>1.7284106932804271</v>
      </c>
      <c r="Y8" s="78">
        <f t="shared" ref="Y8:AG23" si="11">IF($K8&gt;0,C8/$K8*100,0)</f>
        <v>14.531987603777118</v>
      </c>
      <c r="Z8" s="78">
        <f t="shared" si="11"/>
        <v>29.433236744669077</v>
      </c>
      <c r="AA8" s="78">
        <f t="shared" si="11"/>
        <v>5.4653466836775033</v>
      </c>
      <c r="AB8" s="78">
        <f t="shared" si="11"/>
        <v>8.0497664167467793</v>
      </c>
      <c r="AC8" s="78">
        <f t="shared" si="11"/>
        <v>17.287385714399452</v>
      </c>
      <c r="AD8" s="78">
        <f t="shared" si="11"/>
        <v>12.6621085420011</v>
      </c>
      <c r="AE8" s="78">
        <f t="shared" si="11"/>
        <v>9.0957196019788125</v>
      </c>
      <c r="AF8" s="78">
        <f>IF($K8&gt;0,J8/$K8*100,0)</f>
        <v>1.7460379994697219</v>
      </c>
      <c r="AG8" s="78">
        <f t="shared" si="11"/>
        <v>100</v>
      </c>
    </row>
    <row r="9" spans="1:33">
      <c r="A9" s="10" t="str">
        <f>name!D5</f>
        <v>12 Other managers and proprietors</v>
      </c>
      <c r="B9" s="54">
        <f>'Basic T2'!D9</f>
        <v>13.895755913705612</v>
      </c>
      <c r="C9" s="54">
        <f>'Basic T2'!O9</f>
        <v>122.68017187968124</v>
      </c>
      <c r="D9" s="54">
        <f>'Basic T2'!Z9</f>
        <v>236.68783926557853</v>
      </c>
      <c r="E9" s="54">
        <f>'Basic T2'!AK9</f>
        <v>67.667869464136274</v>
      </c>
      <c r="F9" s="54">
        <f>'Basic T2'!AV9</f>
        <v>75.691871629597401</v>
      </c>
      <c r="G9" s="54">
        <f>'Basic T2'!BG9</f>
        <v>170.19393698225952</v>
      </c>
      <c r="H9" s="54">
        <f>'Basic T2'!BR9</f>
        <v>168.05354766258824</v>
      </c>
      <c r="I9" s="54">
        <f>'Basic T2'!CC9</f>
        <v>109.97112842812747</v>
      </c>
      <c r="J9" s="54">
        <f>'Basic T2'!CN9</f>
        <v>34.931534133633967</v>
      </c>
      <c r="K9" s="280">
        <f>SUM(B9:J9)</f>
        <v>999.77365535930824</v>
      </c>
      <c r="L9" s="78"/>
      <c r="M9" s="78">
        <f t="shared" si="0"/>
        <v>2.6587397022578481</v>
      </c>
      <c r="N9" s="78">
        <f t="shared" si="1"/>
        <v>3.2581840153153254</v>
      </c>
      <c r="O9" s="78">
        <f t="shared" si="2"/>
        <v>3.7030001205956049</v>
      </c>
      <c r="P9" s="78">
        <f t="shared" si="3"/>
        <v>3.9665978951271526</v>
      </c>
      <c r="Q9" s="78">
        <f t="shared" si="4"/>
        <v>4.3792568800355909</v>
      </c>
      <c r="R9" s="78">
        <f t="shared" si="5"/>
        <v>2.912885692665268</v>
      </c>
      <c r="S9" s="78">
        <f t="shared" si="6"/>
        <v>3.1528788758366519</v>
      </c>
      <c r="T9" s="78">
        <f t="shared" si="7"/>
        <v>3.2030356120683336</v>
      </c>
      <c r="U9" s="78">
        <f t="shared" si="8"/>
        <v>3.066053056738681</v>
      </c>
      <c r="V9" s="78">
        <f t="shared" si="9"/>
        <v>3.3482395721490406</v>
      </c>
      <c r="W9" s="78"/>
      <c r="X9" s="78">
        <f t="shared" si="10"/>
        <v>1.3898901855652139</v>
      </c>
      <c r="Y9" s="78">
        <f t="shared" si="11"/>
        <v>12.270794616566613</v>
      </c>
      <c r="Z9" s="78">
        <f t="shared" si="11"/>
        <v>23.674142441822532</v>
      </c>
      <c r="AA9" s="78">
        <f t="shared" si="11"/>
        <v>6.7683189191274638</v>
      </c>
      <c r="AB9" s="78">
        <f t="shared" si="11"/>
        <v>7.5709007957800738</v>
      </c>
      <c r="AC9" s="78">
        <f t="shared" si="11"/>
        <v>17.023246818910582</v>
      </c>
      <c r="AD9" s="78">
        <f t="shared" si="11"/>
        <v>16.809159429410204</v>
      </c>
      <c r="AE9" s="78">
        <f t="shared" si="11"/>
        <v>10.999602543898298</v>
      </c>
      <c r="AF9" s="78">
        <f t="shared" si="11"/>
        <v>3.4939442489190156</v>
      </c>
      <c r="AG9" s="78">
        <f t="shared" si="11"/>
        <v>100</v>
      </c>
    </row>
    <row r="10" spans="1:33">
      <c r="A10" s="10" t="str">
        <f>name!D6</f>
        <v>21 Science, research, engineering and technology professionals</v>
      </c>
      <c r="B10" s="54">
        <f>'Basic T2'!D10</f>
        <v>98.335249285607745</v>
      </c>
      <c r="C10" s="54">
        <f>'Basic T2'!O10</f>
        <v>422.30118316489035</v>
      </c>
      <c r="D10" s="54">
        <f>'Basic T2'!Z10</f>
        <v>637.88392677088314</v>
      </c>
      <c r="E10" s="54">
        <f>'Basic T2'!AK10</f>
        <v>69.193047257610345</v>
      </c>
      <c r="F10" s="54">
        <f>'Basic T2'!AV10</f>
        <v>162.21015541665392</v>
      </c>
      <c r="G10" s="54">
        <f>'Basic T2'!BG10</f>
        <v>227.084093432706</v>
      </c>
      <c r="H10" s="54">
        <f>'Basic T2'!BR10</f>
        <v>160.77102837558149</v>
      </c>
      <c r="I10" s="54">
        <f>'Basic T2'!CC10</f>
        <v>97.347438387127113</v>
      </c>
      <c r="J10" s="54">
        <f>'Basic T2'!CN10</f>
        <v>22.945912021886116</v>
      </c>
      <c r="K10" s="280">
        <f t="shared" ref="K10:K32" si="12">SUM(B10:J10)</f>
        <v>1898.0720341129459</v>
      </c>
      <c r="L10" s="78"/>
      <c r="M10" s="78">
        <f t="shared" si="0"/>
        <v>18.814941269168216</v>
      </c>
      <c r="N10" s="78">
        <f t="shared" si="1"/>
        <v>11.215626319679805</v>
      </c>
      <c r="O10" s="78">
        <f t="shared" si="2"/>
        <v>9.9797449040386574</v>
      </c>
      <c r="P10" s="78">
        <f t="shared" si="3"/>
        <v>4.0560017299633486</v>
      </c>
      <c r="Q10" s="78">
        <f t="shared" si="4"/>
        <v>9.3848906603368469</v>
      </c>
      <c r="R10" s="78">
        <f t="shared" si="5"/>
        <v>3.8865662227494142</v>
      </c>
      <c r="S10" s="78">
        <f t="shared" si="6"/>
        <v>3.0162503931760143</v>
      </c>
      <c r="T10" s="78">
        <f t="shared" si="7"/>
        <v>2.8353561189597167</v>
      </c>
      <c r="U10" s="78">
        <f t="shared" si="8"/>
        <v>2.0140364698904176</v>
      </c>
      <c r="V10" s="78">
        <f t="shared" si="9"/>
        <v>6.3566386865058941</v>
      </c>
      <c r="W10" s="78"/>
      <c r="X10" s="78">
        <f t="shared" si="10"/>
        <v>5.1807964881356163</v>
      </c>
      <c r="Y10" s="78">
        <f t="shared" si="11"/>
        <v>22.248954495673324</v>
      </c>
      <c r="Z10" s="78">
        <f t="shared" si="11"/>
        <v>33.606939847727901</v>
      </c>
      <c r="AA10" s="78">
        <f t="shared" si="11"/>
        <v>3.6454384245720872</v>
      </c>
      <c r="AB10" s="78">
        <f t="shared" si="11"/>
        <v>8.5460484376433055</v>
      </c>
      <c r="AC10" s="78">
        <f t="shared" si="11"/>
        <v>11.96393442142635</v>
      </c>
      <c r="AD10" s="78">
        <f t="shared" si="11"/>
        <v>8.4702279727079492</v>
      </c>
      <c r="AE10" s="78">
        <f t="shared" si="11"/>
        <v>5.1287536319780367</v>
      </c>
      <c r="AF10" s="78">
        <f t="shared" si="11"/>
        <v>1.2089062801354518</v>
      </c>
      <c r="AG10" s="78">
        <f t="shared" si="11"/>
        <v>100</v>
      </c>
    </row>
    <row r="11" spans="1:33">
      <c r="A11" s="10" t="str">
        <f>name!D7</f>
        <v>22 Health professionals</v>
      </c>
      <c r="B11" s="54">
        <f>'Basic T2'!D11</f>
        <v>91.675495710989765</v>
      </c>
      <c r="C11" s="54">
        <f>'Basic T2'!O11</f>
        <v>274.37597565940285</v>
      </c>
      <c r="D11" s="54">
        <f>'Basic T2'!Z11</f>
        <v>502.62251111449365</v>
      </c>
      <c r="E11" s="54">
        <f>'Basic T2'!AK11</f>
        <v>161.86144354341599</v>
      </c>
      <c r="F11" s="54">
        <f>'Basic T2'!AV11</f>
        <v>37.823688764213919</v>
      </c>
      <c r="G11" s="54">
        <f>'Basic T2'!BG11</f>
        <v>136.24624290135077</v>
      </c>
      <c r="H11" s="54">
        <f>'Basic T2'!BR11</f>
        <v>92.334272141857454</v>
      </c>
      <c r="I11" s="54">
        <f>'Basic T2'!CC11</f>
        <v>51.003313160911681</v>
      </c>
      <c r="J11" s="54">
        <f>'Basic T2'!CN11</f>
        <v>7.989853975289444</v>
      </c>
      <c r="K11" s="280">
        <f t="shared" si="12"/>
        <v>1355.9327969719254</v>
      </c>
      <c r="L11" s="78"/>
      <c r="M11" s="78">
        <f t="shared" si="0"/>
        <v>17.540699598110493</v>
      </c>
      <c r="N11" s="78">
        <f t="shared" si="1"/>
        <v>7.2869755917588135</v>
      </c>
      <c r="O11" s="78">
        <f t="shared" si="2"/>
        <v>7.8635692693220305</v>
      </c>
      <c r="P11" s="78">
        <f t="shared" si="3"/>
        <v>9.4880962906898478</v>
      </c>
      <c r="Q11" s="78">
        <f t="shared" si="4"/>
        <v>2.1883413064427315</v>
      </c>
      <c r="R11" s="78">
        <f t="shared" si="5"/>
        <v>2.3318676250383108</v>
      </c>
      <c r="S11" s="78">
        <f t="shared" si="6"/>
        <v>1.7322977122524816</v>
      </c>
      <c r="T11" s="78">
        <f t="shared" si="7"/>
        <v>1.485530163443239</v>
      </c>
      <c r="U11" s="78">
        <f t="shared" si="8"/>
        <v>0.70129517100838012</v>
      </c>
      <c r="V11" s="78">
        <f t="shared" si="9"/>
        <v>4.5410156825591761</v>
      </c>
      <c r="W11" s="78"/>
      <c r="X11" s="78">
        <f t="shared" si="10"/>
        <v>6.7610648489158054</v>
      </c>
      <c r="Y11" s="78">
        <f t="shared" si="11"/>
        <v>20.235219346573842</v>
      </c>
      <c r="Z11" s="78">
        <f t="shared" si="11"/>
        <v>37.068393967381887</v>
      </c>
      <c r="AA11" s="78">
        <f t="shared" si="11"/>
        <v>11.93727623558377</v>
      </c>
      <c r="AB11" s="78">
        <f t="shared" si="11"/>
        <v>2.7894958252121294</v>
      </c>
      <c r="AC11" s="78">
        <f t="shared" si="11"/>
        <v>10.048156015225565</v>
      </c>
      <c r="AD11" s="78">
        <f t="shared" si="11"/>
        <v>6.8096495894235112</v>
      </c>
      <c r="AE11" s="78">
        <f t="shared" si="11"/>
        <v>3.7614926989606334</v>
      </c>
      <c r="AF11" s="78">
        <f t="shared" si="11"/>
        <v>0.58925147272286782</v>
      </c>
      <c r="AG11" s="78">
        <f t="shared" si="11"/>
        <v>100</v>
      </c>
    </row>
    <row r="12" spans="1:33">
      <c r="A12" s="10" t="str">
        <f>name!D8</f>
        <v>23 Teaching and other educational professionals</v>
      </c>
      <c r="B12" s="54">
        <f>'Basic T2'!D12</f>
        <v>134.70677656040888</v>
      </c>
      <c r="C12" s="54">
        <f>'Basic T2'!O12</f>
        <v>770.98382563974656</v>
      </c>
      <c r="D12" s="54">
        <f>'Basic T2'!Z12</f>
        <v>399.01738541729816</v>
      </c>
      <c r="E12" s="54">
        <f>'Basic T2'!AK12</f>
        <v>31.812407522960381</v>
      </c>
      <c r="F12" s="54">
        <f>'Basic T2'!AV12</f>
        <v>17.405918454900569</v>
      </c>
      <c r="G12" s="54">
        <f>'Basic T2'!BG12</f>
        <v>63.805255054476447</v>
      </c>
      <c r="H12" s="54">
        <f>'Basic T2'!BR12</f>
        <v>45.053147846999231</v>
      </c>
      <c r="I12" s="54">
        <f>'Basic T2'!CC12</f>
        <v>32.980425698827261</v>
      </c>
      <c r="J12" s="54">
        <f>'Basic T2'!CN12</f>
        <v>7.8679704696597952</v>
      </c>
      <c r="K12" s="280">
        <f t="shared" si="12"/>
        <v>1503.6331126652776</v>
      </c>
      <c r="L12" s="78"/>
      <c r="M12" s="78">
        <f t="shared" si="0"/>
        <v>25.774074993004625</v>
      </c>
      <c r="N12" s="78">
        <f t="shared" si="1"/>
        <v>20.476065025648438</v>
      </c>
      <c r="O12" s="78">
        <f t="shared" si="2"/>
        <v>6.2426588155299427</v>
      </c>
      <c r="P12" s="78">
        <f t="shared" si="3"/>
        <v>1.8647997893059203</v>
      </c>
      <c r="Q12" s="78">
        <f t="shared" si="4"/>
        <v>1.0070432465981711</v>
      </c>
      <c r="R12" s="78">
        <f t="shared" si="5"/>
        <v>1.0920331115227442</v>
      </c>
      <c r="S12" s="78">
        <f t="shared" si="6"/>
        <v>0.84524914893166314</v>
      </c>
      <c r="T12" s="78">
        <f t="shared" si="7"/>
        <v>0.96059283490536884</v>
      </c>
      <c r="U12" s="78">
        <f t="shared" si="8"/>
        <v>0.69059706386048969</v>
      </c>
      <c r="V12" s="78">
        <f t="shared" si="9"/>
        <v>5.0356636853070142</v>
      </c>
      <c r="W12" s="78"/>
      <c r="X12" s="78">
        <f t="shared" si="10"/>
        <v>8.9587529980390794</v>
      </c>
      <c r="Y12" s="78">
        <f t="shared" si="11"/>
        <v>51.274730460885678</v>
      </c>
      <c r="Z12" s="78">
        <f t="shared" si="11"/>
        <v>26.536884699886432</v>
      </c>
      <c r="AA12" s="78">
        <f t="shared" si="11"/>
        <v>2.1157027771602497</v>
      </c>
      <c r="AB12" s="78">
        <f t="shared" si="11"/>
        <v>1.1575907918154023</v>
      </c>
      <c r="AC12" s="78">
        <f t="shared" si="11"/>
        <v>4.2434058226729192</v>
      </c>
      <c r="AD12" s="78">
        <f t="shared" si="11"/>
        <v>2.9962859601528655</v>
      </c>
      <c r="AE12" s="78">
        <f t="shared" si="11"/>
        <v>2.1933825094053381</v>
      </c>
      <c r="AF12" s="78">
        <f t="shared" si="11"/>
        <v>0.52326397998201557</v>
      </c>
      <c r="AG12" s="78">
        <f t="shared" si="11"/>
        <v>100</v>
      </c>
    </row>
    <row r="13" spans="1:33">
      <c r="A13" s="10" t="str">
        <f>name!D9</f>
        <v>24 Business, media and public service professionals</v>
      </c>
      <c r="B13" s="54">
        <f>'Basic T2'!D13</f>
        <v>47.81146910739708</v>
      </c>
      <c r="C13" s="54">
        <f>'Basic T2'!O13</f>
        <v>594.44816508087706</v>
      </c>
      <c r="D13" s="54">
        <f>'Basic T2'!Z13</f>
        <v>866.23688345642836</v>
      </c>
      <c r="E13" s="54">
        <f>'Basic T2'!AK13</f>
        <v>76.778294461262533</v>
      </c>
      <c r="F13" s="54">
        <f>'Basic T2'!AV13</f>
        <v>132.60578942461001</v>
      </c>
      <c r="G13" s="54">
        <f>'Basic T2'!BG13</f>
        <v>267.88170328424013</v>
      </c>
      <c r="H13" s="54">
        <f>'Basic T2'!BR13</f>
        <v>173.11526902517599</v>
      </c>
      <c r="I13" s="54">
        <f>'Basic T2'!CC13</f>
        <v>110.07349956784061</v>
      </c>
      <c r="J13" s="54">
        <f>'Basic T2'!CN13</f>
        <v>25.789818829127732</v>
      </c>
      <c r="K13" s="280">
        <f t="shared" si="12"/>
        <v>2294.74089223696</v>
      </c>
      <c r="L13" s="78"/>
      <c r="M13" s="78">
        <f t="shared" si="0"/>
        <v>9.1479910793289338</v>
      </c>
      <c r="N13" s="78">
        <f t="shared" si="1"/>
        <v>15.787567621763523</v>
      </c>
      <c r="O13" s="78">
        <f t="shared" si="2"/>
        <v>13.552345121982812</v>
      </c>
      <c r="P13" s="78">
        <f t="shared" si="3"/>
        <v>4.5006385395790591</v>
      </c>
      <c r="Q13" s="78">
        <f t="shared" si="4"/>
        <v>7.6720895278166212</v>
      </c>
      <c r="R13" s="78">
        <f t="shared" si="5"/>
        <v>4.5848212613167449</v>
      </c>
      <c r="S13" s="78">
        <f t="shared" si="6"/>
        <v>3.2478426215084539</v>
      </c>
      <c r="T13" s="78">
        <f t="shared" si="7"/>
        <v>3.2060172892670309</v>
      </c>
      <c r="U13" s="78">
        <f t="shared" si="8"/>
        <v>2.2636553135995294</v>
      </c>
      <c r="V13" s="78">
        <f t="shared" si="9"/>
        <v>7.6850817402815785</v>
      </c>
      <c r="W13" s="78"/>
      <c r="X13" s="78">
        <f t="shared" si="10"/>
        <v>2.0835236461398261</v>
      </c>
      <c r="Y13" s="78">
        <f t="shared" si="11"/>
        <v>25.904805509496843</v>
      </c>
      <c r="Z13" s="78">
        <f t="shared" si="11"/>
        <v>37.748788387694745</v>
      </c>
      <c r="AA13" s="78">
        <f t="shared" si="11"/>
        <v>3.3458372019691289</v>
      </c>
      <c r="AB13" s="78">
        <f t="shared" si="11"/>
        <v>5.778682459235875</v>
      </c>
      <c r="AC13" s="78">
        <f t="shared" si="11"/>
        <v>11.673723346739317</v>
      </c>
      <c r="AD13" s="78">
        <f t="shared" si="11"/>
        <v>7.5440007022500799</v>
      </c>
      <c r="AE13" s="78">
        <f t="shared" si="11"/>
        <v>4.7967724783314747</v>
      </c>
      <c r="AF13" s="78">
        <f t="shared" si="11"/>
        <v>1.1238662681426874</v>
      </c>
      <c r="AG13" s="78">
        <f t="shared" si="11"/>
        <v>100</v>
      </c>
    </row>
    <row r="14" spans="1:33">
      <c r="A14" s="10" t="str">
        <f>name!D10</f>
        <v>31 Science, engineering and technology associate professionals</v>
      </c>
      <c r="B14" s="54">
        <f>'Basic T2'!D14</f>
        <v>13.37865709101507</v>
      </c>
      <c r="C14" s="54">
        <f>'Basic T2'!O14</f>
        <v>75.758779551247571</v>
      </c>
      <c r="D14" s="54">
        <f>'Basic T2'!Z14</f>
        <v>159.38396175918751</v>
      </c>
      <c r="E14" s="54">
        <f>'Basic T2'!AK14</f>
        <v>28.003822197619829</v>
      </c>
      <c r="F14" s="54">
        <f>'Basic T2'!AV14</f>
        <v>61.856862746993393</v>
      </c>
      <c r="G14" s="54">
        <f>'Basic T2'!BG14</f>
        <v>99.72964743110299</v>
      </c>
      <c r="H14" s="54">
        <f>'Basic T2'!BR14</f>
        <v>75.13090533230698</v>
      </c>
      <c r="I14" s="54">
        <f>'Basic T2'!CC14</f>
        <v>61.255054141887378</v>
      </c>
      <c r="J14" s="54">
        <f>'Basic T2'!CN14</f>
        <v>13.909727452078373</v>
      </c>
      <c r="K14" s="280">
        <f t="shared" si="12"/>
        <v>588.40741770343914</v>
      </c>
      <c r="L14" s="78"/>
      <c r="M14" s="78">
        <f t="shared" si="0"/>
        <v>2.5598007759830912</v>
      </c>
      <c r="N14" s="78">
        <f t="shared" si="1"/>
        <v>2.0120288451809243</v>
      </c>
      <c r="O14" s="78">
        <f t="shared" si="2"/>
        <v>2.4935747922099063</v>
      </c>
      <c r="P14" s="78">
        <f t="shared" si="3"/>
        <v>1.6415457301114791</v>
      </c>
      <c r="Q14" s="78">
        <f t="shared" si="4"/>
        <v>3.5788134964846674</v>
      </c>
      <c r="R14" s="78">
        <f t="shared" si="5"/>
        <v>1.7068825616678243</v>
      </c>
      <c r="S14" s="78">
        <f t="shared" si="6"/>
        <v>1.4095426585120965</v>
      </c>
      <c r="T14" s="78">
        <f t="shared" si="7"/>
        <v>1.7841239117944365</v>
      </c>
      <c r="U14" s="78">
        <f t="shared" si="8"/>
        <v>1.2209014986199269</v>
      </c>
      <c r="V14" s="78">
        <f t="shared" si="9"/>
        <v>1.9705750295977154</v>
      </c>
      <c r="W14" s="78"/>
      <c r="X14" s="78">
        <f t="shared" si="10"/>
        <v>2.2737063960260939</v>
      </c>
      <c r="Y14" s="78">
        <f t="shared" si="11"/>
        <v>12.875225102860693</v>
      </c>
      <c r="Z14" s="78">
        <f t="shared" si="11"/>
        <v>27.087347467723117</v>
      </c>
      <c r="AA14" s="78">
        <f t="shared" si="11"/>
        <v>4.759257166899606</v>
      </c>
      <c r="AB14" s="78">
        <f t="shared" si="11"/>
        <v>10.512590576852588</v>
      </c>
      <c r="AC14" s="78">
        <f t="shared" si="11"/>
        <v>16.949080591191208</v>
      </c>
      <c r="AD14" s="78">
        <f t="shared" si="11"/>
        <v>12.768517709301449</v>
      </c>
      <c r="AE14" s="78">
        <f t="shared" si="11"/>
        <v>10.410313041424009</v>
      </c>
      <c r="AF14" s="78">
        <f t="shared" si="11"/>
        <v>2.363961947721223</v>
      </c>
      <c r="AG14" s="78">
        <f t="shared" si="11"/>
        <v>100</v>
      </c>
    </row>
    <row r="15" spans="1:33">
      <c r="A15" s="10" t="str">
        <f>name!D11</f>
        <v>32 Health and social care associate professionals</v>
      </c>
      <c r="B15" s="54">
        <f>'Basic T2'!D15</f>
        <v>2.800659406434352</v>
      </c>
      <c r="C15" s="54">
        <f>'Basic T2'!O15</f>
        <v>68.936374972984652</v>
      </c>
      <c r="D15" s="54">
        <f>'Basic T2'!Z15</f>
        <v>176.63848816815215</v>
      </c>
      <c r="E15" s="54">
        <f>'Basic T2'!AK15</f>
        <v>87.012025656230563</v>
      </c>
      <c r="F15" s="54">
        <f>'Basic T2'!AV15</f>
        <v>27.880815055717839</v>
      </c>
      <c r="G15" s="54">
        <f>'Basic T2'!BG15</f>
        <v>103.70870643350668</v>
      </c>
      <c r="H15" s="54">
        <f>'Basic T2'!BR15</f>
        <v>72.204719962111326</v>
      </c>
      <c r="I15" s="54">
        <f>'Basic T2'!CC15</f>
        <v>23.657839568444032</v>
      </c>
      <c r="J15" s="54">
        <f>'Basic T2'!CN15</f>
        <v>4.3366892885218515</v>
      </c>
      <c r="K15" s="280">
        <f t="shared" si="12"/>
        <v>567.17631851210342</v>
      </c>
      <c r="L15" s="78"/>
      <c r="M15" s="78">
        <f t="shared" si="0"/>
        <v>0.53586320907123708</v>
      </c>
      <c r="N15" s="78">
        <f t="shared" si="1"/>
        <v>1.8308369769081025</v>
      </c>
      <c r="O15" s="78">
        <f t="shared" si="2"/>
        <v>2.7635232338851186</v>
      </c>
      <c r="P15" s="78">
        <f t="shared" si="3"/>
        <v>5.1005258559481881</v>
      </c>
      <c r="Q15" s="78">
        <f t="shared" si="4"/>
        <v>1.613082732994664</v>
      </c>
      <c r="R15" s="78">
        <f t="shared" si="5"/>
        <v>1.7749845413498666</v>
      </c>
      <c r="S15" s="78">
        <f t="shared" si="6"/>
        <v>1.3546440373952393</v>
      </c>
      <c r="T15" s="78">
        <f t="shared" si="7"/>
        <v>0.68906179035754989</v>
      </c>
      <c r="U15" s="78">
        <f t="shared" si="8"/>
        <v>0.38064516142724208</v>
      </c>
      <c r="V15" s="78">
        <f t="shared" si="9"/>
        <v>1.8994721293646581</v>
      </c>
      <c r="W15" s="78"/>
      <c r="X15" s="78">
        <f t="shared" si="10"/>
        <v>0.4937899053651314</v>
      </c>
      <c r="Y15" s="78">
        <f t="shared" si="11"/>
        <v>12.154311229676908</v>
      </c>
      <c r="Z15" s="78">
        <f t="shared" si="11"/>
        <v>31.14348790717057</v>
      </c>
      <c r="AA15" s="78">
        <f t="shared" si="11"/>
        <v>15.341265637552134</v>
      </c>
      <c r="AB15" s="78">
        <f t="shared" si="11"/>
        <v>4.9157227031020456</v>
      </c>
      <c r="AC15" s="78">
        <f t="shared" si="11"/>
        <v>18.285091081653395</v>
      </c>
      <c r="AD15" s="78">
        <f t="shared" si="11"/>
        <v>12.730559722861647</v>
      </c>
      <c r="AE15" s="78">
        <f t="shared" si="11"/>
        <v>4.1711613824968223</v>
      </c>
      <c r="AF15" s="78">
        <f t="shared" si="11"/>
        <v>0.76461043012135343</v>
      </c>
      <c r="AG15" s="78">
        <f t="shared" si="11"/>
        <v>100</v>
      </c>
    </row>
    <row r="16" spans="1:33">
      <c r="A16" s="10" t="str">
        <f>name!D12</f>
        <v>33 Protective service occupations</v>
      </c>
      <c r="B16" s="54">
        <f>'Basic T2'!D16</f>
        <v>1.3117040507035429</v>
      </c>
      <c r="C16" s="54">
        <f>'Basic T2'!O16</f>
        <v>22.910013296338676</v>
      </c>
      <c r="D16" s="54">
        <f>'Basic T2'!Z16</f>
        <v>85.982075183148353</v>
      </c>
      <c r="E16" s="54">
        <f>'Basic T2'!AK16</f>
        <v>23.174940434744304</v>
      </c>
      <c r="F16" s="54">
        <f>'Basic T2'!AV16</f>
        <v>17.646714969927086</v>
      </c>
      <c r="G16" s="54">
        <f>'Basic T2'!BG16</f>
        <v>60.920644218364053</v>
      </c>
      <c r="H16" s="54">
        <f>'Basic T2'!BR16</f>
        <v>66.517401386878831</v>
      </c>
      <c r="I16" s="54">
        <f>'Basic T2'!CC16</f>
        <v>37.383907858670774</v>
      </c>
      <c r="J16" s="54">
        <f>'Basic T2'!CN16</f>
        <v>5.0095329307529548</v>
      </c>
      <c r="K16" s="280">
        <f t="shared" si="12"/>
        <v>320.8569343295286</v>
      </c>
      <c r="L16" s="78"/>
      <c r="M16" s="78">
        <f t="shared" si="0"/>
        <v>0.25097444564193822</v>
      </c>
      <c r="N16" s="78">
        <f t="shared" si="1"/>
        <v>0.60845235190899849</v>
      </c>
      <c r="O16" s="78">
        <f t="shared" si="2"/>
        <v>1.3451964231039493</v>
      </c>
      <c r="P16" s="78">
        <f t="shared" si="3"/>
        <v>1.3584832901658617</v>
      </c>
      <c r="Q16" s="78">
        <f t="shared" si="4"/>
        <v>1.0209748587041418</v>
      </c>
      <c r="R16" s="78">
        <f t="shared" si="5"/>
        <v>1.0426627180621661</v>
      </c>
      <c r="S16" s="78">
        <f t="shared" si="6"/>
        <v>1.2479433646310678</v>
      </c>
      <c r="T16" s="78">
        <f t="shared" si="7"/>
        <v>1.0888493180086087</v>
      </c>
      <c r="U16" s="78">
        <f t="shared" si="8"/>
        <v>0.43970281111642417</v>
      </c>
      <c r="V16" s="78">
        <f t="shared" si="9"/>
        <v>1.0745491029511669</v>
      </c>
      <c r="W16" s="78"/>
      <c r="X16" s="78">
        <f t="shared" si="10"/>
        <v>0.40881274810049395</v>
      </c>
      <c r="Y16" s="78">
        <f t="shared" si="11"/>
        <v>7.1402581166625136</v>
      </c>
      <c r="Z16" s="78">
        <f t="shared" si="11"/>
        <v>26.797636573701872</v>
      </c>
      <c r="AA16" s="78">
        <f t="shared" si="11"/>
        <v>7.2228267352772946</v>
      </c>
      <c r="AB16" s="78">
        <f t="shared" si="11"/>
        <v>5.4998702168622726</v>
      </c>
      <c r="AC16" s="78">
        <f t="shared" si="11"/>
        <v>18.986856040891091</v>
      </c>
      <c r="AD16" s="78">
        <f t="shared" si="11"/>
        <v>20.731171519130609</v>
      </c>
      <c r="AE16" s="78">
        <f t="shared" si="11"/>
        <v>11.651270039336756</v>
      </c>
      <c r="AF16" s="78">
        <f t="shared" si="11"/>
        <v>1.5612980100370937</v>
      </c>
      <c r="AG16" s="78">
        <f t="shared" si="11"/>
        <v>100</v>
      </c>
    </row>
    <row r="17" spans="1:33">
      <c r="A17" s="10" t="str">
        <f>name!D13</f>
        <v>34 Culture, media and sports occupations</v>
      </c>
      <c r="B17" s="54">
        <f>'Basic T2'!D17</f>
        <v>8.6094888192194095</v>
      </c>
      <c r="C17" s="54">
        <f>'Basic T2'!O17</f>
        <v>153.79273212253361</v>
      </c>
      <c r="D17" s="54">
        <f>'Basic T2'!Z17</f>
        <v>263.4924970364458</v>
      </c>
      <c r="E17" s="54">
        <f>'Basic T2'!AK17</f>
        <v>37.66042712307538</v>
      </c>
      <c r="F17" s="54">
        <f>'Basic T2'!AV17</f>
        <v>39.044078353658499</v>
      </c>
      <c r="G17" s="54">
        <f>'Basic T2'!BG17</f>
        <v>89.206517663312439</v>
      </c>
      <c r="H17" s="54">
        <f>'Basic T2'!BR17</f>
        <v>40.744987437033238</v>
      </c>
      <c r="I17" s="54">
        <f>'Basic T2'!CC17</f>
        <v>36.043960252654635</v>
      </c>
      <c r="J17" s="54">
        <f>'Basic T2'!CN17</f>
        <v>12.373648742971801</v>
      </c>
      <c r="K17" s="280">
        <f t="shared" si="12"/>
        <v>680.96833755090483</v>
      </c>
      <c r="L17" s="78"/>
      <c r="M17" s="78">
        <f t="shared" si="0"/>
        <v>1.6472935968331537</v>
      </c>
      <c r="N17" s="78">
        <f t="shared" si="1"/>
        <v>4.0844825516282341</v>
      </c>
      <c r="O17" s="78">
        <f t="shared" si="2"/>
        <v>4.1223611290277793</v>
      </c>
      <c r="P17" s="78">
        <f t="shared" si="3"/>
        <v>2.2076026944390965</v>
      </c>
      <c r="Q17" s="78">
        <f t="shared" si="4"/>
        <v>2.2589486172521682</v>
      </c>
      <c r="R17" s="78">
        <f t="shared" si="5"/>
        <v>1.5267781778914962</v>
      </c>
      <c r="S17" s="78">
        <f t="shared" si="6"/>
        <v>0.76442307807971532</v>
      </c>
      <c r="T17" s="78">
        <f t="shared" si="7"/>
        <v>1.0498218026805251</v>
      </c>
      <c r="U17" s="78">
        <f t="shared" si="8"/>
        <v>1.0860749317869327</v>
      </c>
      <c r="V17" s="78">
        <f t="shared" si="9"/>
        <v>2.2805613280028476</v>
      </c>
      <c r="W17" s="78"/>
      <c r="X17" s="78">
        <f t="shared" si="10"/>
        <v>1.2643008998308705</v>
      </c>
      <c r="Y17" s="78">
        <f t="shared" si="11"/>
        <v>22.584417459943509</v>
      </c>
      <c r="Z17" s="78">
        <f t="shared" si="11"/>
        <v>38.693795659295063</v>
      </c>
      <c r="AA17" s="78">
        <f t="shared" si="11"/>
        <v>5.5304226417516995</v>
      </c>
      <c r="AB17" s="78">
        <f t="shared" si="11"/>
        <v>5.7336114178347994</v>
      </c>
      <c r="AC17" s="78">
        <f t="shared" si="11"/>
        <v>13.099950870570973</v>
      </c>
      <c r="AD17" s="78">
        <f t="shared" si="11"/>
        <v>5.9833894162498273</v>
      </c>
      <c r="AE17" s="78">
        <f t="shared" si="11"/>
        <v>5.2930449574625369</v>
      </c>
      <c r="AF17" s="78">
        <f t="shared" si="11"/>
        <v>1.8170666770607122</v>
      </c>
      <c r="AG17" s="78">
        <f t="shared" si="11"/>
        <v>100</v>
      </c>
    </row>
    <row r="18" spans="1:33">
      <c r="A18" s="10" t="str">
        <f>name!D14</f>
        <v>35 Business and public service associate professionals</v>
      </c>
      <c r="B18" s="54">
        <f>'Basic T2'!D18</f>
        <v>30.69451562432964</v>
      </c>
      <c r="C18" s="54">
        <f>'Basic T2'!O18</f>
        <v>321.43781420020179</v>
      </c>
      <c r="D18" s="54">
        <f>'Basic T2'!Z18</f>
        <v>557.73036014366437</v>
      </c>
      <c r="E18" s="54">
        <f>'Basic T2'!AK18</f>
        <v>149.71673935422331</v>
      </c>
      <c r="F18" s="54">
        <f>'Basic T2'!AV18</f>
        <v>131.73566917883977</v>
      </c>
      <c r="G18" s="54">
        <f>'Basic T2'!BG18</f>
        <v>343.49978057057399</v>
      </c>
      <c r="H18" s="54">
        <f>'Basic T2'!BR18</f>
        <v>262.92615540247124</v>
      </c>
      <c r="I18" s="54">
        <f>'Basic T2'!CC18</f>
        <v>159.05284035969188</v>
      </c>
      <c r="J18" s="54">
        <f>'Basic T2'!CN18</f>
        <v>34.317039205735298</v>
      </c>
      <c r="K18" s="280">
        <f t="shared" si="12"/>
        <v>1991.1109140397311</v>
      </c>
      <c r="L18" s="78"/>
      <c r="M18" s="78">
        <f t="shared" si="0"/>
        <v>5.872924642515275</v>
      </c>
      <c r="N18" s="78">
        <f t="shared" si="1"/>
        <v>8.5368607827851726</v>
      </c>
      <c r="O18" s="78">
        <f t="shared" si="2"/>
        <v>8.7257359621017585</v>
      </c>
      <c r="P18" s="78">
        <f t="shared" si="3"/>
        <v>8.7761903528307421</v>
      </c>
      <c r="Q18" s="78">
        <f t="shared" si="4"/>
        <v>7.6217475295186476</v>
      </c>
      <c r="R18" s="78">
        <f t="shared" si="5"/>
        <v>5.8790319678778031</v>
      </c>
      <c r="S18" s="78">
        <f t="shared" si="6"/>
        <v>4.932798699006228</v>
      </c>
      <c r="T18" s="78">
        <f t="shared" si="7"/>
        <v>4.6325969293446789</v>
      </c>
      <c r="U18" s="78">
        <f t="shared" si="8"/>
        <v>3.0121168612991558</v>
      </c>
      <c r="V18" s="78">
        <f t="shared" si="9"/>
        <v>6.6682256720694708</v>
      </c>
      <c r="W18" s="78"/>
      <c r="X18" s="78">
        <f t="shared" si="10"/>
        <v>1.5415773881754311</v>
      </c>
      <c r="Y18" s="78">
        <f t="shared" si="11"/>
        <v>16.143641819934686</v>
      </c>
      <c r="Z18" s="78">
        <f t="shared" si="11"/>
        <v>28.011014163550275</v>
      </c>
      <c r="AA18" s="78">
        <f t="shared" si="11"/>
        <v>7.5192566269683878</v>
      </c>
      <c r="AB18" s="78">
        <f t="shared" si="11"/>
        <v>6.6161893970820298</v>
      </c>
      <c r="AC18" s="78">
        <f t="shared" si="11"/>
        <v>17.251664794185327</v>
      </c>
      <c r="AD18" s="78">
        <f t="shared" si="11"/>
        <v>13.204997951069677</v>
      </c>
      <c r="AE18" s="78">
        <f t="shared" si="11"/>
        <v>7.988145674767674</v>
      </c>
      <c r="AF18" s="78">
        <f t="shared" si="11"/>
        <v>1.7235121842665229</v>
      </c>
      <c r="AG18" s="78">
        <f t="shared" si="11"/>
        <v>100</v>
      </c>
    </row>
    <row r="19" spans="1:33">
      <c r="A19" s="10" t="str">
        <f>name!D15</f>
        <v>41 Administrative occupations</v>
      </c>
      <c r="B19" s="54">
        <f>'Basic T2'!D19</f>
        <v>16.431977963875749</v>
      </c>
      <c r="C19" s="54">
        <f>'Basic T2'!O19</f>
        <v>188.58496658377874</v>
      </c>
      <c r="D19" s="54">
        <f>'Basic T2'!Z19</f>
        <v>537.48557519818246</v>
      </c>
      <c r="E19" s="54">
        <f>'Basic T2'!AK19</f>
        <v>191.05860248330478</v>
      </c>
      <c r="F19" s="54">
        <f>'Basic T2'!AV19</f>
        <v>182.71226070227547</v>
      </c>
      <c r="G19" s="54">
        <f>'Basic T2'!BG19</f>
        <v>540.21053421620047</v>
      </c>
      <c r="H19" s="54">
        <f>'Basic T2'!BR19</f>
        <v>566.2334469202267</v>
      </c>
      <c r="I19" s="54">
        <f>'Basic T2'!CC19</f>
        <v>275.4574163936079</v>
      </c>
      <c r="J19" s="54">
        <f>'Basic T2'!CN19</f>
        <v>69.584907369597047</v>
      </c>
      <c r="K19" s="280">
        <f t="shared" si="12"/>
        <v>2567.7596878310496</v>
      </c>
      <c r="L19" s="78"/>
      <c r="M19" s="78">
        <f t="shared" si="0"/>
        <v>3.1440068802656493</v>
      </c>
      <c r="N19" s="78">
        <f t="shared" si="1"/>
        <v>5.0085071958870424</v>
      </c>
      <c r="O19" s="78">
        <f t="shared" si="2"/>
        <v>8.4090046871568109</v>
      </c>
      <c r="P19" s="78">
        <f t="shared" si="3"/>
        <v>11.199593787386364</v>
      </c>
      <c r="Q19" s="78">
        <f t="shared" si="4"/>
        <v>10.571068035717857</v>
      </c>
      <c r="R19" s="78">
        <f t="shared" si="5"/>
        <v>9.245755542451878</v>
      </c>
      <c r="S19" s="78">
        <f t="shared" si="6"/>
        <v>10.623194204571911</v>
      </c>
      <c r="T19" s="78">
        <f t="shared" si="7"/>
        <v>8.0230141031397704</v>
      </c>
      <c r="U19" s="78">
        <f t="shared" si="8"/>
        <v>6.1076910371939581</v>
      </c>
      <c r="V19" s="78">
        <f t="shared" si="9"/>
        <v>8.5994210314285038</v>
      </c>
      <c r="W19" s="78"/>
      <c r="X19" s="78">
        <f t="shared" si="10"/>
        <v>0.63993441604948664</v>
      </c>
      <c r="Y19" s="78">
        <f t="shared" si="11"/>
        <v>7.3443386262938724</v>
      </c>
      <c r="Z19" s="78">
        <f t="shared" si="11"/>
        <v>20.93208245870504</v>
      </c>
      <c r="AA19" s="78">
        <f t="shared" si="11"/>
        <v>7.4406730267149443</v>
      </c>
      <c r="AB19" s="78">
        <f t="shared" si="11"/>
        <v>7.1156293000537731</v>
      </c>
      <c r="AC19" s="78">
        <f t="shared" si="11"/>
        <v>21.038204500846756</v>
      </c>
      <c r="AD19" s="78">
        <f t="shared" si="11"/>
        <v>22.051652637265136</v>
      </c>
      <c r="AE19" s="78">
        <f t="shared" si="11"/>
        <v>10.727538784062885</v>
      </c>
      <c r="AF19" s="78">
        <f t="shared" si="11"/>
        <v>2.7099462500080933</v>
      </c>
      <c r="AG19" s="78">
        <f t="shared" si="11"/>
        <v>100</v>
      </c>
    </row>
    <row r="20" spans="1:33">
      <c r="A20" s="10" t="str">
        <f>name!D16</f>
        <v>42 Secretarial and related occupations</v>
      </c>
      <c r="B20" s="54">
        <f>'Basic T2'!D20</f>
        <v>1.501904991955695</v>
      </c>
      <c r="C20" s="54">
        <f>'Basic T2'!O20</f>
        <v>30.553989639016855</v>
      </c>
      <c r="D20" s="54">
        <f>'Basic T2'!Z20</f>
        <v>92.615489336962213</v>
      </c>
      <c r="E20" s="54">
        <f>'Basic T2'!AK20</f>
        <v>43.978131164130211</v>
      </c>
      <c r="F20" s="54">
        <f>'Basic T2'!AV20</f>
        <v>33.310254428260365</v>
      </c>
      <c r="G20" s="54">
        <f>'Basic T2'!BG20</f>
        <v>109.09605370536821</v>
      </c>
      <c r="H20" s="54">
        <f>'Basic T2'!BR20</f>
        <v>120.61980827099188</v>
      </c>
      <c r="I20" s="54">
        <f>'Basic T2'!CC20</f>
        <v>110.79077049754743</v>
      </c>
      <c r="J20" s="54">
        <f>'Basic T2'!CN20</f>
        <v>29.38039876513572</v>
      </c>
      <c r="K20" s="280">
        <f t="shared" si="12"/>
        <v>571.84680079936857</v>
      </c>
      <c r="L20" s="78"/>
      <c r="M20" s="78">
        <f t="shared" si="0"/>
        <v>0.28736647764468337</v>
      </c>
      <c r="N20" s="78">
        <f t="shared" si="1"/>
        <v>0.81146381783348909</v>
      </c>
      <c r="O20" s="78">
        <f t="shared" si="2"/>
        <v>1.4489767165391836</v>
      </c>
      <c r="P20" s="78">
        <f t="shared" si="3"/>
        <v>2.5779378586718944</v>
      </c>
      <c r="Q20" s="78">
        <f t="shared" si="4"/>
        <v>1.9272103825697291</v>
      </c>
      <c r="R20" s="78">
        <f t="shared" si="5"/>
        <v>1.8671895109737873</v>
      </c>
      <c r="S20" s="78">
        <f t="shared" si="6"/>
        <v>2.2629670768309462</v>
      </c>
      <c r="T20" s="78">
        <f t="shared" si="7"/>
        <v>3.2269086301506871</v>
      </c>
      <c r="U20" s="78">
        <f t="shared" si="8"/>
        <v>2.5788120583948264</v>
      </c>
      <c r="V20" s="78">
        <f t="shared" si="9"/>
        <v>1.9151135633346523</v>
      </c>
      <c r="W20" s="78"/>
      <c r="X20" s="78">
        <f t="shared" si="10"/>
        <v>0.26264114616995748</v>
      </c>
      <c r="Y20" s="78">
        <f t="shared" si="11"/>
        <v>5.3430376101267498</v>
      </c>
      <c r="Z20" s="78">
        <f t="shared" si="11"/>
        <v>16.195856863673562</v>
      </c>
      <c r="AA20" s="78">
        <f t="shared" si="11"/>
        <v>7.6905442336399217</v>
      </c>
      <c r="AB20" s="78">
        <f t="shared" si="11"/>
        <v>5.825031176478892</v>
      </c>
      <c r="AC20" s="78">
        <f t="shared" si="11"/>
        <v>19.077846296047454</v>
      </c>
      <c r="AD20" s="78">
        <f t="shared" si="11"/>
        <v>21.093028430408431</v>
      </c>
      <c r="AE20" s="78">
        <f t="shared" si="11"/>
        <v>19.374204829453646</v>
      </c>
      <c r="AF20" s="78">
        <f t="shared" si="11"/>
        <v>5.1378094140013877</v>
      </c>
      <c r="AG20" s="78">
        <f t="shared" si="11"/>
        <v>100</v>
      </c>
    </row>
    <row r="21" spans="1:33">
      <c r="A21" s="10" t="str">
        <f>name!D17</f>
        <v>51 Skilled agricultural and related trades</v>
      </c>
      <c r="B21" s="54">
        <f>'Basic T2'!D21</f>
        <v>0.80628763819718297</v>
      </c>
      <c r="C21" s="54">
        <f>'Basic T2'!O21</f>
        <v>4.8039475386104611</v>
      </c>
      <c r="D21" s="54">
        <f>'Basic T2'!Z21</f>
        <v>40.941479040203575</v>
      </c>
      <c r="E21" s="54">
        <f>'Basic T2'!AK21</f>
        <v>17.404452571814186</v>
      </c>
      <c r="F21" s="54">
        <f>'Basic T2'!AV21</f>
        <v>25.09780787077905</v>
      </c>
      <c r="G21" s="54">
        <f>'Basic T2'!BG21</f>
        <v>40.525543283479607</v>
      </c>
      <c r="H21" s="54">
        <f>'Basic T2'!BR21</f>
        <v>61.879574623219447</v>
      </c>
      <c r="I21" s="54">
        <f>'Basic T2'!CC21</f>
        <v>49.560329443156306</v>
      </c>
      <c r="J21" s="54">
        <f>'Basic T2'!CN21</f>
        <v>30.947603636253575</v>
      </c>
      <c r="K21" s="280">
        <f t="shared" si="12"/>
        <v>271.96702564571336</v>
      </c>
      <c r="L21" s="78"/>
      <c r="M21" s="78">
        <f t="shared" si="0"/>
        <v>0.15427076932174566</v>
      </c>
      <c r="N21" s="78">
        <f t="shared" si="1"/>
        <v>0.12758496210834191</v>
      </c>
      <c r="O21" s="78">
        <f t="shared" si="2"/>
        <v>0.64053270456841904</v>
      </c>
      <c r="P21" s="78">
        <f t="shared" si="3"/>
        <v>1.0202251893535317</v>
      </c>
      <c r="Q21" s="78">
        <f t="shared" si="4"/>
        <v>1.4520680414638225</v>
      </c>
      <c r="R21" s="78">
        <f t="shared" si="5"/>
        <v>0.69359859294070836</v>
      </c>
      <c r="S21" s="78">
        <f t="shared" si="6"/>
        <v>1.160932371787941</v>
      </c>
      <c r="T21" s="78">
        <f t="shared" si="7"/>
        <v>1.4435016028412995</v>
      </c>
      <c r="U21" s="78">
        <f t="shared" si="8"/>
        <v>2.7163706685390054</v>
      </c>
      <c r="V21" s="78">
        <f t="shared" si="9"/>
        <v>0.91081691611426441</v>
      </c>
      <c r="W21" s="78"/>
      <c r="X21" s="78">
        <f t="shared" si="10"/>
        <v>0.29646521900324768</v>
      </c>
      <c r="Y21" s="78">
        <f t="shared" si="11"/>
        <v>1.7663713191717876</v>
      </c>
      <c r="Z21" s="78">
        <f t="shared" si="11"/>
        <v>15.053839318571406</v>
      </c>
      <c r="AA21" s="78">
        <f t="shared" si="11"/>
        <v>6.3994716015634401</v>
      </c>
      <c r="AB21" s="78">
        <f t="shared" si="11"/>
        <v>9.2282539808607247</v>
      </c>
      <c r="AC21" s="78">
        <f t="shared" si="11"/>
        <v>14.900903220624812</v>
      </c>
      <c r="AD21" s="78">
        <f t="shared" si="11"/>
        <v>22.752601892197355</v>
      </c>
      <c r="AE21" s="78">
        <f t="shared" si="11"/>
        <v>18.222918504729936</v>
      </c>
      <c r="AF21" s="78">
        <f t="shared" si="11"/>
        <v>11.379174943277304</v>
      </c>
      <c r="AG21" s="78">
        <f t="shared" si="11"/>
        <v>100</v>
      </c>
    </row>
    <row r="22" spans="1:33">
      <c r="A22" s="10" t="str">
        <f>name!D18</f>
        <v>52 Skilled metal, electrical and electronic trades</v>
      </c>
      <c r="B22" s="54">
        <f>'Basic T2'!D22</f>
        <v>1.2631599169509171</v>
      </c>
      <c r="C22" s="54">
        <f>'Basic T2'!O22</f>
        <v>20.874141677859804</v>
      </c>
      <c r="D22" s="54">
        <f>'Basic T2'!Z22</f>
        <v>52.842401910304368</v>
      </c>
      <c r="E22" s="54">
        <f>'Basic T2'!AK22</f>
        <v>19.850348549717005</v>
      </c>
      <c r="F22" s="54">
        <f>'Basic T2'!AV22</f>
        <v>77.419883142461117</v>
      </c>
      <c r="G22" s="54">
        <f>'Basic T2'!BG22</f>
        <v>386.23897692269026</v>
      </c>
      <c r="H22" s="54">
        <f>'Basic T2'!BR22</f>
        <v>218.51482078263501</v>
      </c>
      <c r="I22" s="54">
        <f>'Basic T2'!CC22</f>
        <v>104.72369285756719</v>
      </c>
      <c r="J22" s="54">
        <f>'Basic T2'!CN22</f>
        <v>40.251254533856056</v>
      </c>
      <c r="K22" s="280">
        <f t="shared" si="12"/>
        <v>921.97868029404174</v>
      </c>
      <c r="L22" s="78"/>
      <c r="M22" s="78">
        <f t="shared" si="0"/>
        <v>0.24168627042345145</v>
      </c>
      <c r="N22" s="78">
        <f t="shared" si="1"/>
        <v>0.55438294311270531</v>
      </c>
      <c r="O22" s="78">
        <f t="shared" si="2"/>
        <v>0.82672359194110712</v>
      </c>
      <c r="P22" s="78">
        <f t="shared" si="3"/>
        <v>1.1636002640304617</v>
      </c>
      <c r="Q22" s="78">
        <f t="shared" si="4"/>
        <v>4.4792333523247256</v>
      </c>
      <c r="R22" s="78">
        <f t="shared" si="5"/>
        <v>6.6105174471934856</v>
      </c>
      <c r="S22" s="78">
        <f t="shared" si="6"/>
        <v>4.0995907083500063</v>
      </c>
      <c r="T22" s="78">
        <f t="shared" si="7"/>
        <v>3.0501980151028398</v>
      </c>
      <c r="U22" s="78">
        <f t="shared" si="8"/>
        <v>3.5329820193115382</v>
      </c>
      <c r="V22" s="78">
        <f t="shared" si="9"/>
        <v>3.0877043873783832</v>
      </c>
      <c r="W22" s="78"/>
      <c r="X22" s="78">
        <f t="shared" si="10"/>
        <v>0.13700532820868094</v>
      </c>
      <c r="Y22" s="78">
        <f t="shared" si="11"/>
        <v>2.2640590421464548</v>
      </c>
      <c r="Z22" s="78">
        <f t="shared" si="11"/>
        <v>5.7314125629728903</v>
      </c>
      <c r="AA22" s="78">
        <f t="shared" si="11"/>
        <v>2.1530160050323763</v>
      </c>
      <c r="AB22" s="78">
        <f t="shared" si="11"/>
        <v>8.3971446191977019</v>
      </c>
      <c r="AC22" s="78">
        <f t="shared" si="11"/>
        <v>41.892397858864712</v>
      </c>
      <c r="AD22" s="78">
        <f t="shared" si="11"/>
        <v>23.700637059519124</v>
      </c>
      <c r="AE22" s="78">
        <f t="shared" si="11"/>
        <v>11.358580745507934</v>
      </c>
      <c r="AF22" s="78">
        <f t="shared" si="11"/>
        <v>4.3657467785501218</v>
      </c>
      <c r="AG22" s="78">
        <f t="shared" si="11"/>
        <v>100</v>
      </c>
    </row>
    <row r="23" spans="1:33">
      <c r="A23" s="10" t="str">
        <f>name!D19</f>
        <v>53 Skilled construction and building trades</v>
      </c>
      <c r="B23" s="54">
        <f>'Basic T2'!D23</f>
        <v>0.32178805333276866</v>
      </c>
      <c r="C23" s="54">
        <f>'Basic T2'!O23</f>
        <v>9.7719794130626738</v>
      </c>
      <c r="D23" s="54">
        <f>'Basic T2'!Z23</f>
        <v>29.365244092976415</v>
      </c>
      <c r="E23" s="54">
        <f>'Basic T2'!AK23</f>
        <v>19.941702707578372</v>
      </c>
      <c r="F23" s="54">
        <f>'Basic T2'!AV23</f>
        <v>29.007572692999432</v>
      </c>
      <c r="G23" s="54">
        <f>'Basic T2'!BG23</f>
        <v>262.89421429055284</v>
      </c>
      <c r="H23" s="54">
        <f>'Basic T2'!BR23</f>
        <v>244.3172280168674</v>
      </c>
      <c r="I23" s="54">
        <f>'Basic T2'!CC23</f>
        <v>117.51029453189624</v>
      </c>
      <c r="J23" s="54">
        <f>'Basic T2'!CN23</f>
        <v>56.482334569882347</v>
      </c>
      <c r="K23" s="280">
        <f t="shared" si="12"/>
        <v>769.61235836914841</v>
      </c>
      <c r="L23" s="78"/>
      <c r="M23" s="78">
        <f t="shared" si="0"/>
        <v>6.1569207060139436E-2</v>
      </c>
      <c r="N23" s="78">
        <f t="shared" si="1"/>
        <v>0.25952773487191799</v>
      </c>
      <c r="O23" s="78">
        <f t="shared" si="2"/>
        <v>0.45942158564216951</v>
      </c>
      <c r="P23" s="78">
        <f t="shared" si="3"/>
        <v>1.1689553197334652</v>
      </c>
      <c r="Q23" s="78">
        <f t="shared" si="4"/>
        <v>1.6782728389989738</v>
      </c>
      <c r="R23" s="78">
        <f t="shared" si="5"/>
        <v>4.4994599047982007</v>
      </c>
      <c r="S23" s="78">
        <f t="shared" si="6"/>
        <v>4.5836737035979347</v>
      </c>
      <c r="T23" s="78">
        <f t="shared" si="7"/>
        <v>3.4226224969246806</v>
      </c>
      <c r="U23" s="78">
        <f t="shared" si="8"/>
        <v>4.9576360974360894</v>
      </c>
      <c r="V23" s="78">
        <f t="shared" si="9"/>
        <v>2.5774299409604264</v>
      </c>
      <c r="W23" s="78"/>
      <c r="X23" s="78">
        <f t="shared" si="10"/>
        <v>4.1811705572745161E-2</v>
      </c>
      <c r="Y23" s="78">
        <f t="shared" si="11"/>
        <v>1.2697274552308444</v>
      </c>
      <c r="Z23" s="78">
        <f t="shared" si="11"/>
        <v>3.815588948597838</v>
      </c>
      <c r="AA23" s="78">
        <f t="shared" si="11"/>
        <v>2.5911359778364207</v>
      </c>
      <c r="AB23" s="78">
        <f t="shared" si="11"/>
        <v>3.7691147208794953</v>
      </c>
      <c r="AC23" s="78">
        <f t="shared" si="11"/>
        <v>34.159302593274411</v>
      </c>
      <c r="AD23" s="78">
        <f t="shared" si="11"/>
        <v>31.745491786876872</v>
      </c>
      <c r="AE23" s="78">
        <f t="shared" si="11"/>
        <v>15.268763976309724</v>
      </c>
      <c r="AF23" s="78">
        <f t="shared" si="11"/>
        <v>7.3390628354216627</v>
      </c>
      <c r="AG23" s="78">
        <f t="shared" si="11"/>
        <v>100</v>
      </c>
    </row>
    <row r="24" spans="1:33">
      <c r="A24" s="10" t="str">
        <f>name!D20</f>
        <v>54 Textiles, printing and other skilled trades</v>
      </c>
      <c r="B24" s="54">
        <f>'Basic T2'!D24</f>
        <v>2.148463311311295</v>
      </c>
      <c r="C24" s="54">
        <f>'Basic T2'!O24</f>
        <v>22.095524897325006</v>
      </c>
      <c r="D24" s="54">
        <f>'Basic T2'!Z24</f>
        <v>51.515885097068569</v>
      </c>
      <c r="E24" s="54">
        <f>'Basic T2'!AK24</f>
        <v>20.159467305530779</v>
      </c>
      <c r="F24" s="54">
        <f>'Basic T2'!AV24</f>
        <v>23.103836119966427</v>
      </c>
      <c r="G24" s="54">
        <f>'Basic T2'!BG24</f>
        <v>133.87504987213867</v>
      </c>
      <c r="H24" s="54">
        <f>'Basic T2'!BR24</f>
        <v>130.03780799380579</v>
      </c>
      <c r="I24" s="54">
        <f>'Basic T2'!CC24</f>
        <v>115.29775774774505</v>
      </c>
      <c r="J24" s="54">
        <f>'Basic T2'!CN24</f>
        <v>45.540344270906353</v>
      </c>
      <c r="K24" s="280">
        <f t="shared" si="12"/>
        <v>543.77413661579794</v>
      </c>
      <c r="L24" s="78"/>
      <c r="M24" s="78">
        <f t="shared" si="0"/>
        <v>0.41107549240942415</v>
      </c>
      <c r="N24" s="78">
        <f t="shared" si="1"/>
        <v>0.5868208768167662</v>
      </c>
      <c r="O24" s="78">
        <f t="shared" si="2"/>
        <v>0.80597013061150924</v>
      </c>
      <c r="P24" s="78">
        <f t="shared" si="3"/>
        <v>1.1817203824243931</v>
      </c>
      <c r="Q24" s="78">
        <f t="shared" si="4"/>
        <v>1.3367040754216839</v>
      </c>
      <c r="R24" s="78">
        <f t="shared" si="5"/>
        <v>2.2912844270007717</v>
      </c>
      <c r="S24" s="78">
        <f t="shared" si="6"/>
        <v>2.4396596417407541</v>
      </c>
      <c r="T24" s="78">
        <f t="shared" si="7"/>
        <v>3.3581798180693934</v>
      </c>
      <c r="U24" s="78">
        <f t="shared" si="8"/>
        <v>3.9972224300993937</v>
      </c>
      <c r="V24" s="78">
        <f t="shared" si="9"/>
        <v>1.821098278363674</v>
      </c>
      <c r="W24" s="78"/>
      <c r="X24" s="78">
        <f t="shared" si="10"/>
        <v>0.39510215117665398</v>
      </c>
      <c r="Y24" s="78">
        <f t="shared" ref="Y24:AG32" si="13">IF($K24&gt;0,C24/$K24*100,0)</f>
        <v>4.063364439294129</v>
      </c>
      <c r="Z24" s="78">
        <f t="shared" si="13"/>
        <v>9.4737652323223625</v>
      </c>
      <c r="AA24" s="78">
        <f t="shared" si="13"/>
        <v>3.7073236750453238</v>
      </c>
      <c r="AB24" s="78">
        <f t="shared" si="13"/>
        <v>4.2487927549762032</v>
      </c>
      <c r="AC24" s="78">
        <f t="shared" si="13"/>
        <v>24.619605982975926</v>
      </c>
      <c r="AD24" s="78">
        <f t="shared" si="13"/>
        <v>23.913937651228093</v>
      </c>
      <c r="AE24" s="78">
        <f t="shared" si="13"/>
        <v>21.203244138330241</v>
      </c>
      <c r="AF24" s="78">
        <f t="shared" si="13"/>
        <v>8.3748639746510705</v>
      </c>
      <c r="AG24" s="78">
        <f t="shared" si="13"/>
        <v>100</v>
      </c>
    </row>
    <row r="25" spans="1:33">
      <c r="A25" s="10" t="str">
        <f>name!D21</f>
        <v>61 Caring personal service occupations</v>
      </c>
      <c r="B25" s="54">
        <f>'Basic T2'!D25</f>
        <v>1.8586131591877315</v>
      </c>
      <c r="C25" s="54">
        <f>'Basic T2'!O25</f>
        <v>95.2218064633756</v>
      </c>
      <c r="D25" s="54">
        <f>'Basic T2'!Z25</f>
        <v>262.76753795456767</v>
      </c>
      <c r="E25" s="54">
        <f>'Basic T2'!AK25</f>
        <v>212.18555593047594</v>
      </c>
      <c r="F25" s="54">
        <f>'Basic T2'!AV25</f>
        <v>123.37819099082368</v>
      </c>
      <c r="G25" s="54">
        <f>'Basic T2'!BG25</f>
        <v>733.0990844039859</v>
      </c>
      <c r="H25" s="54">
        <f>'Basic T2'!BR25</f>
        <v>489.52334376807897</v>
      </c>
      <c r="I25" s="54">
        <f>'Basic T2'!CC25</f>
        <v>82.037160606433673</v>
      </c>
      <c r="J25" s="54">
        <f>'Basic T2'!CN25</f>
        <v>19.76270821540502</v>
      </c>
      <c r="K25" s="280">
        <f t="shared" si="12"/>
        <v>2019.8340014923342</v>
      </c>
      <c r="L25" s="78"/>
      <c r="M25" s="78">
        <f t="shared" si="0"/>
        <v>0.35561711274716312</v>
      </c>
      <c r="N25" s="78">
        <f t="shared" si="1"/>
        <v>2.5289348961191402</v>
      </c>
      <c r="O25" s="78">
        <f t="shared" si="2"/>
        <v>4.1110190863780538</v>
      </c>
      <c r="P25" s="78">
        <f t="shared" si="3"/>
        <v>12.438026883294805</v>
      </c>
      <c r="Q25" s="78">
        <f t="shared" si="4"/>
        <v>7.1382141848324601</v>
      </c>
      <c r="R25" s="78">
        <f t="shared" si="5"/>
        <v>12.54706173516022</v>
      </c>
      <c r="S25" s="78">
        <f t="shared" si="6"/>
        <v>9.1840239689202967</v>
      </c>
      <c r="T25" s="78">
        <f t="shared" si="7"/>
        <v>2.3894266676285909</v>
      </c>
      <c r="U25" s="78">
        <f t="shared" si="8"/>
        <v>1.7346364377090011</v>
      </c>
      <c r="V25" s="78">
        <f t="shared" si="9"/>
        <v>6.7644192230072981</v>
      </c>
      <c r="W25" s="78"/>
      <c r="X25" s="78">
        <f t="shared" si="10"/>
        <v>9.2018114251691666E-2</v>
      </c>
      <c r="Y25" s="78">
        <f t="shared" si="13"/>
        <v>4.7143382274494794</v>
      </c>
      <c r="Z25" s="78">
        <f t="shared" si="13"/>
        <v>13.009363034805062</v>
      </c>
      <c r="AA25" s="78">
        <f t="shared" si="13"/>
        <v>10.505098724633052</v>
      </c>
      <c r="AB25" s="78">
        <f t="shared" si="13"/>
        <v>6.1083332045933938</v>
      </c>
      <c r="AC25" s="78">
        <f t="shared" si="13"/>
        <v>36.29501651434439</v>
      </c>
      <c r="AD25" s="78">
        <f t="shared" si="13"/>
        <v>24.235820538044191</v>
      </c>
      <c r="AE25" s="78">
        <f t="shared" si="13"/>
        <v>4.0615793449274209</v>
      </c>
      <c r="AF25" s="78">
        <f t="shared" si="13"/>
        <v>0.97843229695131084</v>
      </c>
      <c r="AG25" s="78">
        <f t="shared" si="13"/>
        <v>100</v>
      </c>
    </row>
    <row r="26" spans="1:33">
      <c r="A26" s="10" t="str">
        <f>name!D22</f>
        <v>62 Leisure, travel and related personal service occupations</v>
      </c>
      <c r="B26" s="54">
        <f>'Basic T2'!D26</f>
        <v>1.058285088329779</v>
      </c>
      <c r="C26" s="54">
        <f>'Basic T2'!O26</f>
        <v>16.691699360707265</v>
      </c>
      <c r="D26" s="54">
        <f>'Basic T2'!Z26</f>
        <v>71.287493676036505</v>
      </c>
      <c r="E26" s="54">
        <f>'Basic T2'!AK26</f>
        <v>44.562207325842607</v>
      </c>
      <c r="F26" s="54">
        <f>'Basic T2'!AV26</f>
        <v>56.802439030312875</v>
      </c>
      <c r="G26" s="54">
        <f>'Basic T2'!BG26</f>
        <v>156.16675746179777</v>
      </c>
      <c r="H26" s="54">
        <f>'Basic T2'!BR26</f>
        <v>149.50623850725597</v>
      </c>
      <c r="I26" s="54">
        <f>'Basic T2'!CC26</f>
        <v>99.16459056316657</v>
      </c>
      <c r="J26" s="54">
        <f>'Basic T2'!CN26</f>
        <v>32.427965666919782</v>
      </c>
      <c r="K26" s="280">
        <f t="shared" si="12"/>
        <v>627.66767668036914</v>
      </c>
      <c r="L26" s="78"/>
      <c r="M26" s="78">
        <f t="shared" si="0"/>
        <v>0.20248661520274935</v>
      </c>
      <c r="N26" s="78">
        <f t="shared" si="1"/>
        <v>0.44330413963589199</v>
      </c>
      <c r="O26" s="78">
        <f t="shared" si="2"/>
        <v>1.1152985235676693</v>
      </c>
      <c r="P26" s="78">
        <f t="shared" si="3"/>
        <v>2.6121756038822741</v>
      </c>
      <c r="Q26" s="78">
        <f t="shared" si="4"/>
        <v>3.2863828911984716</v>
      </c>
      <c r="R26" s="78">
        <f t="shared" si="5"/>
        <v>2.6728091584591209</v>
      </c>
      <c r="S26" s="78">
        <f t="shared" si="6"/>
        <v>2.8049099096779151</v>
      </c>
      <c r="T26" s="78">
        <f t="shared" si="7"/>
        <v>2.8882827663043042</v>
      </c>
      <c r="U26" s="78">
        <f t="shared" si="8"/>
        <v>2.8463068033746564</v>
      </c>
      <c r="V26" s="78">
        <f t="shared" si="9"/>
        <v>2.1020575426792725</v>
      </c>
      <c r="W26" s="78"/>
      <c r="X26" s="78">
        <f t="shared" si="10"/>
        <v>0.16860595624851582</v>
      </c>
      <c r="Y26" s="78">
        <f t="shared" si="13"/>
        <v>2.6593211632287508</v>
      </c>
      <c r="Z26" s="78">
        <f t="shared" si="13"/>
        <v>11.357521874165052</v>
      </c>
      <c r="AA26" s="78">
        <f t="shared" si="13"/>
        <v>7.0996498595442699</v>
      </c>
      <c r="AB26" s="78">
        <f t="shared" si="13"/>
        <v>9.0497632968343389</v>
      </c>
      <c r="AC26" s="78">
        <f t="shared" si="13"/>
        <v>24.88048425366398</v>
      </c>
      <c r="AD26" s="78">
        <f t="shared" si="13"/>
        <v>23.819330525027162</v>
      </c>
      <c r="AE26" s="78">
        <f t="shared" si="13"/>
        <v>15.798900317383197</v>
      </c>
      <c r="AF26" s="78">
        <f t="shared" si="13"/>
        <v>5.1664227539047332</v>
      </c>
      <c r="AG26" s="78">
        <f t="shared" si="13"/>
        <v>100</v>
      </c>
    </row>
    <row r="27" spans="1:33">
      <c r="A27" s="10" t="str">
        <f>name!D23</f>
        <v>63 Community and civil enforcement occupations</v>
      </c>
      <c r="B27" s="54">
        <f>'Basic T2'!D27</f>
        <v>7.7228727823100085E-2</v>
      </c>
      <c r="C27" s="54">
        <f>'Basic T2'!O27</f>
        <v>1.5143361664363337</v>
      </c>
      <c r="D27" s="54">
        <f>'Basic T2'!Z27</f>
        <v>5.501617032527812</v>
      </c>
      <c r="E27" s="54">
        <f>'Basic T2'!AK27</f>
        <v>1.7151310309745893</v>
      </c>
      <c r="F27" s="54">
        <f>'Basic T2'!AV27</f>
        <v>1.4802553424398088</v>
      </c>
      <c r="G27" s="54">
        <f>'Basic T2'!BG27</f>
        <v>5.1168184109386718</v>
      </c>
      <c r="H27" s="54">
        <f>'Basic T2'!BR27</f>
        <v>7.4406536550202595</v>
      </c>
      <c r="I27" s="54">
        <f>'Basic T2'!CC27</f>
        <v>6.4052647204224762</v>
      </c>
      <c r="J27" s="54">
        <f>'Basic T2'!CN27</f>
        <v>1.7516448788079122</v>
      </c>
      <c r="K27" s="280">
        <f t="shared" si="12"/>
        <v>31.002949965390965</v>
      </c>
      <c r="L27" s="78"/>
      <c r="M27" s="78">
        <f t="shared" si="0"/>
        <v>1.4776532208342843E-2</v>
      </c>
      <c r="N27" s="78">
        <f t="shared" si="1"/>
        <v>4.0218283164257095E-2</v>
      </c>
      <c r="O27" s="78">
        <f t="shared" si="2"/>
        <v>8.6073237214617168E-2</v>
      </c>
      <c r="P27" s="78">
        <f t="shared" si="3"/>
        <v>0.10053863364113687</v>
      </c>
      <c r="Q27" s="78">
        <f t="shared" si="4"/>
        <v>8.564219979010515E-2</v>
      </c>
      <c r="R27" s="78">
        <f t="shared" si="5"/>
        <v>8.7574842003585063E-2</v>
      </c>
      <c r="S27" s="78">
        <f t="shared" si="6"/>
        <v>0.13959526625662932</v>
      </c>
      <c r="T27" s="78">
        <f t="shared" si="7"/>
        <v>0.18656070277251632</v>
      </c>
      <c r="U27" s="78">
        <f t="shared" si="8"/>
        <v>0.15374750259876266</v>
      </c>
      <c r="V27" s="78">
        <f t="shared" si="9"/>
        <v>0.10382880502104469</v>
      </c>
      <c r="W27" s="78"/>
      <c r="X27" s="78">
        <f t="shared" si="10"/>
        <v>0.24910122394582326</v>
      </c>
      <c r="Y27" s="78">
        <f t="shared" si="13"/>
        <v>4.8844905666293323</v>
      </c>
      <c r="Z27" s="78">
        <f t="shared" si="13"/>
        <v>17.745463056481224</v>
      </c>
      <c r="AA27" s="78">
        <f t="shared" si="13"/>
        <v>5.5321543043136687</v>
      </c>
      <c r="AB27" s="78">
        <f t="shared" si="13"/>
        <v>4.7745628854423172</v>
      </c>
      <c r="AC27" s="78">
        <f t="shared" si="13"/>
        <v>16.504295290127711</v>
      </c>
      <c r="AD27" s="78">
        <f t="shared" si="13"/>
        <v>23.999824737085881</v>
      </c>
      <c r="AE27" s="78">
        <f t="shared" si="13"/>
        <v>20.660178233273815</v>
      </c>
      <c r="AF27" s="78">
        <f t="shared" si="13"/>
        <v>5.6499297027002218</v>
      </c>
      <c r="AG27" s="78">
        <f t="shared" si="13"/>
        <v>100</v>
      </c>
    </row>
    <row r="28" spans="1:33">
      <c r="A28" s="10" t="str">
        <f>name!D24</f>
        <v>71 Sales occupations</v>
      </c>
      <c r="B28" s="54">
        <f>'Basic T2'!D28</f>
        <v>4.9807705608553157</v>
      </c>
      <c r="C28" s="54">
        <f>'Basic T2'!O28</f>
        <v>74.229667802676488</v>
      </c>
      <c r="D28" s="54">
        <f>'Basic T2'!Z28</f>
        <v>260.32686674301789</v>
      </c>
      <c r="E28" s="54">
        <f>'Basic T2'!AK28</f>
        <v>84.248694447228374</v>
      </c>
      <c r="F28" s="54">
        <f>'Basic T2'!AV28</f>
        <v>68.093105353966649</v>
      </c>
      <c r="G28" s="54">
        <f>'Basic T2'!BG28</f>
        <v>496.3448864387006</v>
      </c>
      <c r="H28" s="54">
        <f>'Basic T2'!BR28</f>
        <v>447.6352486381474</v>
      </c>
      <c r="I28" s="54">
        <f>'Basic T2'!CC28</f>
        <v>307.03662981297884</v>
      </c>
      <c r="J28" s="54">
        <f>'Basic T2'!CN28</f>
        <v>112.8007692684466</v>
      </c>
      <c r="K28" s="280">
        <f t="shared" si="12"/>
        <v>1855.6966390660182</v>
      </c>
      <c r="L28" s="78"/>
      <c r="M28" s="78">
        <f t="shared" si="0"/>
        <v>0.95299403071133038</v>
      </c>
      <c r="N28" s="78">
        <f t="shared" si="1"/>
        <v>1.9714181468057104</v>
      </c>
      <c r="O28" s="78">
        <f t="shared" si="2"/>
        <v>4.0728345906357015</v>
      </c>
      <c r="P28" s="78">
        <f t="shared" si="3"/>
        <v>4.938543162478334</v>
      </c>
      <c r="Q28" s="78">
        <f t="shared" si="4"/>
        <v>3.9396198519649803</v>
      </c>
      <c r="R28" s="78">
        <f t="shared" si="5"/>
        <v>8.4949907380400003</v>
      </c>
      <c r="S28" s="78">
        <f t="shared" si="6"/>
        <v>8.398154868737068</v>
      </c>
      <c r="T28" s="78">
        <f t="shared" si="7"/>
        <v>8.9427950186321343</v>
      </c>
      <c r="U28" s="78">
        <f t="shared" si="8"/>
        <v>9.9008861762240574</v>
      </c>
      <c r="V28" s="78">
        <f t="shared" si="9"/>
        <v>6.2147235902028406</v>
      </c>
      <c r="W28" s="78"/>
      <c r="X28" s="78">
        <f t="shared" si="10"/>
        <v>0.26840435316853101</v>
      </c>
      <c r="Y28" s="78">
        <f t="shared" si="13"/>
        <v>4.0000971193242378</v>
      </c>
      <c r="Z28" s="78">
        <f t="shared" si="13"/>
        <v>14.028524989625554</v>
      </c>
      <c r="AA28" s="78">
        <f t="shared" si="13"/>
        <v>4.5400036123162453</v>
      </c>
      <c r="AB28" s="78">
        <f t="shared" si="13"/>
        <v>3.6694093161821031</v>
      </c>
      <c r="AC28" s="78">
        <f t="shared" si="13"/>
        <v>26.747091954022917</v>
      </c>
      <c r="AD28" s="78">
        <f t="shared" si="13"/>
        <v>24.122221230267709</v>
      </c>
      <c r="AE28" s="78">
        <f t="shared" si="13"/>
        <v>16.545626227329482</v>
      </c>
      <c r="AF28" s="78">
        <f t="shared" si="13"/>
        <v>6.0786211977632201</v>
      </c>
      <c r="AG28" s="78">
        <f t="shared" si="13"/>
        <v>100</v>
      </c>
    </row>
    <row r="29" spans="1:33">
      <c r="A29" s="10" t="str">
        <f>name!D25</f>
        <v>72 Customer service occupations</v>
      </c>
      <c r="B29" s="54">
        <f>'Basic T2'!D29</f>
        <v>2.1845738267267567</v>
      </c>
      <c r="C29" s="54">
        <f>'Basic T2'!O29</f>
        <v>25.04968651436285</v>
      </c>
      <c r="D29" s="54">
        <f>'Basic T2'!Z29</f>
        <v>89.094576657776344</v>
      </c>
      <c r="E29" s="54">
        <f>'Basic T2'!AK29</f>
        <v>28.674981175587426</v>
      </c>
      <c r="F29" s="54">
        <f>'Basic T2'!AV29</f>
        <v>35.726698840381076</v>
      </c>
      <c r="G29" s="54">
        <f>'Basic T2'!BG29</f>
        <v>124.70900684025813</v>
      </c>
      <c r="H29" s="54">
        <f>'Basic T2'!BR29</f>
        <v>123.00843730380261</v>
      </c>
      <c r="I29" s="54">
        <f>'Basic T2'!CC29</f>
        <v>59.291194040056354</v>
      </c>
      <c r="J29" s="54">
        <f>'Basic T2'!CN29</f>
        <v>20.412994129339829</v>
      </c>
      <c r="K29" s="280">
        <f t="shared" si="12"/>
        <v>508.15214932829144</v>
      </c>
      <c r="L29" s="78"/>
      <c r="M29" s="78">
        <f t="shared" si="0"/>
        <v>0.417984685518479</v>
      </c>
      <c r="N29" s="78">
        <f t="shared" si="1"/>
        <v>0.66527856082401315</v>
      </c>
      <c r="O29" s="78">
        <f t="shared" si="2"/>
        <v>1.393891756889007</v>
      </c>
      <c r="P29" s="78">
        <f t="shared" si="3"/>
        <v>1.6808881508258318</v>
      </c>
      <c r="Q29" s="78">
        <f t="shared" si="4"/>
        <v>2.0670170829349672</v>
      </c>
      <c r="R29" s="78">
        <f t="shared" si="5"/>
        <v>2.1344067139674214</v>
      </c>
      <c r="S29" s="78">
        <f t="shared" si="6"/>
        <v>2.307780519477689</v>
      </c>
      <c r="T29" s="78">
        <f t="shared" si="7"/>
        <v>1.726924227357298</v>
      </c>
      <c r="U29" s="78">
        <f t="shared" si="8"/>
        <v>1.7917141230619091</v>
      </c>
      <c r="V29" s="78">
        <f t="shared" si="9"/>
        <v>1.7018003284374434</v>
      </c>
      <c r="W29" s="78"/>
      <c r="X29" s="78">
        <f t="shared" si="10"/>
        <v>0.42990545835818433</v>
      </c>
      <c r="Y29" s="78">
        <f t="shared" si="13"/>
        <v>4.9295642156537482</v>
      </c>
      <c r="Z29" s="78">
        <f t="shared" si="13"/>
        <v>17.533051227973225</v>
      </c>
      <c r="AA29" s="78">
        <f t="shared" si="13"/>
        <v>5.6429912209348876</v>
      </c>
      <c r="AB29" s="78">
        <f t="shared" si="13"/>
        <v>7.0307089889528065</v>
      </c>
      <c r="AC29" s="78">
        <f t="shared" si="13"/>
        <v>24.541666704570002</v>
      </c>
      <c r="AD29" s="78">
        <f t="shared" si="13"/>
        <v>24.207009153932177</v>
      </c>
      <c r="AE29" s="78">
        <f t="shared" si="13"/>
        <v>11.668000247254943</v>
      </c>
      <c r="AF29" s="78">
        <f t="shared" si="13"/>
        <v>4.0171027823700145</v>
      </c>
      <c r="AG29" s="78">
        <f t="shared" si="13"/>
        <v>100</v>
      </c>
    </row>
    <row r="30" spans="1:33">
      <c r="A30" s="10" t="str">
        <f>name!D26</f>
        <v>81 Process, plant and machine operatives</v>
      </c>
      <c r="B30" s="54">
        <f>'Basic T2'!D30</f>
        <v>1.3639641062781964</v>
      </c>
      <c r="C30" s="54">
        <f>'Basic T2'!O30</f>
        <v>9.6107248223589199</v>
      </c>
      <c r="D30" s="54">
        <f>'Basic T2'!Z30</f>
        <v>23.793365260196765</v>
      </c>
      <c r="E30" s="54">
        <f>'Basic T2'!AK30</f>
        <v>11.146972174742556</v>
      </c>
      <c r="F30" s="54">
        <f>'Basic T2'!AV30</f>
        <v>23.882052091829671</v>
      </c>
      <c r="G30" s="54">
        <f>'Basic T2'!BG30</f>
        <v>151.02693653123859</v>
      </c>
      <c r="H30" s="54">
        <f>'Basic T2'!BR30</f>
        <v>185.80870552453959</v>
      </c>
      <c r="I30" s="54">
        <f>'Basic T2'!CC30</f>
        <v>144.1807609122682</v>
      </c>
      <c r="J30" s="54">
        <f>'Basic T2'!CN30</f>
        <v>58.905113750571765</v>
      </c>
      <c r="K30" s="280">
        <f t="shared" si="12"/>
        <v>609.71859517402424</v>
      </c>
      <c r="L30" s="78"/>
      <c r="M30" s="78">
        <f t="shared" si="0"/>
        <v>0.26097360549055704</v>
      </c>
      <c r="N30" s="78">
        <f t="shared" si="1"/>
        <v>0.2552450776032073</v>
      </c>
      <c r="O30" s="78">
        <f t="shared" si="2"/>
        <v>0.37224909695940284</v>
      </c>
      <c r="P30" s="78">
        <f t="shared" si="3"/>
        <v>0.65342025270662385</v>
      </c>
      <c r="Q30" s="78">
        <f t="shared" si="4"/>
        <v>1.3817288261057861</v>
      </c>
      <c r="R30" s="78">
        <f t="shared" si="5"/>
        <v>2.5848406261074195</v>
      </c>
      <c r="S30" s="78">
        <f t="shared" si="6"/>
        <v>3.4859861677605677</v>
      </c>
      <c r="T30" s="78">
        <f t="shared" si="7"/>
        <v>4.1994305085168664</v>
      </c>
      <c r="U30" s="78">
        <f t="shared" si="8"/>
        <v>5.1702912154259737</v>
      </c>
      <c r="V30" s="78">
        <f t="shared" si="9"/>
        <v>2.0419461117957756</v>
      </c>
      <c r="W30" s="78"/>
      <c r="X30" s="78">
        <f t="shared" si="10"/>
        <v>0.2237038720934692</v>
      </c>
      <c r="Y30" s="78">
        <f t="shared" si="13"/>
        <v>1.5762558167700054</v>
      </c>
      <c r="Z30" s="78">
        <f t="shared" si="13"/>
        <v>3.9023519125910413</v>
      </c>
      <c r="AA30" s="78">
        <f t="shared" si="13"/>
        <v>1.8282158790910779</v>
      </c>
      <c r="AB30" s="78">
        <f t="shared" si="13"/>
        <v>3.9168974475861802</v>
      </c>
      <c r="AC30" s="78">
        <f t="shared" si="13"/>
        <v>24.769941039461475</v>
      </c>
      <c r="AD30" s="78">
        <f t="shared" si="13"/>
        <v>30.474502007193426</v>
      </c>
      <c r="AE30" s="78">
        <f t="shared" si="13"/>
        <v>23.647099178780419</v>
      </c>
      <c r="AF30" s="78">
        <f t="shared" si="13"/>
        <v>9.6610328464329065</v>
      </c>
      <c r="AG30" s="78">
        <f t="shared" si="13"/>
        <v>100</v>
      </c>
    </row>
    <row r="31" spans="1:33">
      <c r="A31" s="10" t="str">
        <f>name!D27</f>
        <v>82 Transport and mobile machine drivers and operatives</v>
      </c>
      <c r="B31" s="54">
        <f>'Basic T2'!D31</f>
        <v>3.2104799962366029</v>
      </c>
      <c r="C31" s="54">
        <f>'Basic T2'!O31</f>
        <v>21.895143488719459</v>
      </c>
      <c r="D31" s="54">
        <f>'Basic T2'!Z31</f>
        <v>59.511021843978419</v>
      </c>
      <c r="E31" s="54">
        <f>'Basic T2'!AK31</f>
        <v>28.357108702519792</v>
      </c>
      <c r="F31" s="54">
        <f>'Basic T2'!AV31</f>
        <v>44.889378939258876</v>
      </c>
      <c r="G31" s="54">
        <f>'Basic T2'!BG31</f>
        <v>214.60005803791523</v>
      </c>
      <c r="H31" s="54">
        <f>'Basic T2'!BR31</f>
        <v>308.12976472745146</v>
      </c>
      <c r="I31" s="54">
        <f>'Basic T2'!CC31</f>
        <v>258.58044055330805</v>
      </c>
      <c r="J31" s="54">
        <f>'Basic T2'!CN31</f>
        <v>116.8973091149996</v>
      </c>
      <c r="K31" s="280">
        <f t="shared" si="12"/>
        <v>1056.0707054043876</v>
      </c>
      <c r="L31" s="78"/>
      <c r="M31" s="78">
        <f t="shared" si="0"/>
        <v>0.61427609136972916</v>
      </c>
      <c r="N31" s="78">
        <f t="shared" si="1"/>
        <v>0.58149907548178537</v>
      </c>
      <c r="O31" s="78">
        <f t="shared" si="2"/>
        <v>0.93105468260983038</v>
      </c>
      <c r="P31" s="78">
        <f t="shared" si="3"/>
        <v>1.6622549015071548</v>
      </c>
      <c r="Q31" s="78">
        <f t="shared" si="4"/>
        <v>2.5971364867585822</v>
      </c>
      <c r="R31" s="78">
        <f t="shared" si="5"/>
        <v>3.6729007495075363</v>
      </c>
      <c r="S31" s="78">
        <f t="shared" si="6"/>
        <v>5.7808706792446474</v>
      </c>
      <c r="T31" s="78">
        <f t="shared" si="7"/>
        <v>7.5314527686952752</v>
      </c>
      <c r="U31" s="78">
        <f t="shared" si="8"/>
        <v>10.260452649042724</v>
      </c>
      <c r="V31" s="78">
        <f t="shared" si="9"/>
        <v>3.536778257626251</v>
      </c>
      <c r="W31" s="78"/>
      <c r="X31" s="78">
        <f t="shared" si="10"/>
        <v>0.30400237217140258</v>
      </c>
      <c r="Y31" s="78">
        <f t="shared" si="13"/>
        <v>2.0732649221943364</v>
      </c>
      <c r="Z31" s="78">
        <f t="shared" si="13"/>
        <v>5.6351361267227489</v>
      </c>
      <c r="AA31" s="78">
        <f t="shared" si="13"/>
        <v>2.6851524767616168</v>
      </c>
      <c r="AB31" s="78">
        <f t="shared" si="13"/>
        <v>4.2506035542449752</v>
      </c>
      <c r="AC31" s="78">
        <f t="shared" si="13"/>
        <v>20.320614608445293</v>
      </c>
      <c r="AD31" s="78">
        <f t="shared" si="13"/>
        <v>29.177001421459114</v>
      </c>
      <c r="AE31" s="78">
        <f t="shared" si="13"/>
        <v>24.485144719007536</v>
      </c>
      <c r="AF31" s="78">
        <f t="shared" si="13"/>
        <v>11.069079798992968</v>
      </c>
      <c r="AG31" s="78">
        <f t="shared" si="13"/>
        <v>100</v>
      </c>
    </row>
    <row r="32" spans="1:33">
      <c r="A32" s="10" t="str">
        <f>name!D28</f>
        <v>91 Elementary trades and related occupations</v>
      </c>
      <c r="B32" s="54">
        <f>'Basic T2'!D32</f>
        <v>2.0467507196435832E-2</v>
      </c>
      <c r="C32" s="54">
        <f>'Basic T2'!O32</f>
        <v>4.9548344625517693</v>
      </c>
      <c r="D32" s="54">
        <f>'Basic T2'!Z32</f>
        <v>16.89242608503757</v>
      </c>
      <c r="E32" s="54">
        <f>'Basic T2'!AK32</f>
        <v>11.36381553558893</v>
      </c>
      <c r="F32" s="54">
        <f>'Basic T2'!AV32</f>
        <v>13.964579666128117</v>
      </c>
      <c r="G32" s="54">
        <f>'Basic T2'!BG32</f>
        <v>60.752114184172825</v>
      </c>
      <c r="H32" s="54">
        <f>'Basic T2'!BR32</f>
        <v>97.20641465646608</v>
      </c>
      <c r="I32" s="54">
        <f>'Basic T2'!CC32</f>
        <v>117.51579728372072</v>
      </c>
      <c r="J32" s="54">
        <f>'Basic T2'!CN32</f>
        <v>56.601339861986546</v>
      </c>
      <c r="K32" s="280">
        <f t="shared" si="12"/>
        <v>379.27178924284902</v>
      </c>
      <c r="L32" s="78"/>
      <c r="M32" s="78">
        <f t="shared" si="0"/>
        <v>3.9161434849139098E-3</v>
      </c>
      <c r="N32" s="78">
        <f t="shared" si="1"/>
        <v>0.13159227116385763</v>
      </c>
      <c r="O32" s="78">
        <f t="shared" si="2"/>
        <v>0.26428335323074403</v>
      </c>
      <c r="P32" s="78">
        <f t="shared" si="3"/>
        <v>0.66613131373923684</v>
      </c>
      <c r="Q32" s="78">
        <f t="shared" si="4"/>
        <v>0.80793987865645212</v>
      </c>
      <c r="R32" s="78">
        <f t="shared" si="5"/>
        <v>1.0397783102267026</v>
      </c>
      <c r="S32" s="78">
        <f t="shared" si="6"/>
        <v>1.8237047395246286</v>
      </c>
      <c r="T32" s="78">
        <f t="shared" si="7"/>
        <v>3.4227827709012248</v>
      </c>
      <c r="U32" s="78">
        <f t="shared" si="8"/>
        <v>4.9680815745293163</v>
      </c>
      <c r="V32" s="78">
        <f t="shared" si="9"/>
        <v>1.2701803118489772</v>
      </c>
      <c r="W32" s="78"/>
      <c r="X32" s="78">
        <f t="shared" si="10"/>
        <v>5.3965277083475403E-3</v>
      </c>
      <c r="Y32" s="78">
        <f t="shared" si="13"/>
        <v>1.3064073319144685</v>
      </c>
      <c r="Z32" s="78">
        <f t="shared" si="13"/>
        <v>4.4539105106552732</v>
      </c>
      <c r="AA32" s="78">
        <f t="shared" si="13"/>
        <v>2.9962195601931891</v>
      </c>
      <c r="AB32" s="78">
        <f t="shared" si="13"/>
        <v>3.6819452598902758</v>
      </c>
      <c r="AC32" s="78">
        <f t="shared" si="13"/>
        <v>16.018094650660412</v>
      </c>
      <c r="AD32" s="78">
        <f t="shared" si="13"/>
        <v>25.629750857695477</v>
      </c>
      <c r="AE32" s="78">
        <f t="shared" si="13"/>
        <v>30.984586941813102</v>
      </c>
      <c r="AF32" s="78">
        <f t="shared" si="13"/>
        <v>14.923688359469445</v>
      </c>
      <c r="AG32" s="78">
        <f t="shared" si="13"/>
        <v>100</v>
      </c>
    </row>
    <row r="33" spans="1:33">
      <c r="A33" s="10" t="str">
        <f>name!D29</f>
        <v>92 Elementary administration and service occupations</v>
      </c>
      <c r="B33" s="54">
        <f>'Basic T2'!D33</f>
        <v>2.30950263801767</v>
      </c>
      <c r="C33" s="54">
        <f>'Basic T2'!O33</f>
        <v>76.454924499570353</v>
      </c>
      <c r="D33" s="54">
        <f>'Basic T2'!Z33</f>
        <v>232.92637474681507</v>
      </c>
      <c r="E33" s="54">
        <f>'Basic T2'!AK33</f>
        <v>112.28806672279106</v>
      </c>
      <c r="F33" s="54">
        <f>'Basic T2'!AV33</f>
        <v>99.880602977208753</v>
      </c>
      <c r="G33" s="54">
        <f>'Basic T2'!BG33</f>
        <v>466.91441419684907</v>
      </c>
      <c r="H33" s="54">
        <f>'Basic T2'!BR33</f>
        <v>731.24038564340549</v>
      </c>
      <c r="I33" s="54">
        <f>'Basic T2'!CC33</f>
        <v>657.11372109064894</v>
      </c>
      <c r="J33" s="54">
        <f>'Basic T2'!CN33</f>
        <v>237.78729369722794</v>
      </c>
      <c r="K33" s="280">
        <f>SUM(B33:J33)</f>
        <v>2616.9152862125343</v>
      </c>
      <c r="L33" s="78"/>
      <c r="M33" s="78">
        <f t="shared" si="0"/>
        <v>0.44188789687292002</v>
      </c>
      <c r="N33" s="78">
        <f t="shared" si="1"/>
        <v>2.0305173124549376</v>
      </c>
      <c r="O33" s="78">
        <f t="shared" si="2"/>
        <v>3.6441517082318069</v>
      </c>
      <c r="P33" s="78">
        <f t="shared" si="3"/>
        <v>6.5821727895036135</v>
      </c>
      <c r="Q33" s="78">
        <f t="shared" si="4"/>
        <v>5.7787290544287373</v>
      </c>
      <c r="R33" s="78">
        <f t="shared" si="5"/>
        <v>7.9912853590956985</v>
      </c>
      <c r="S33" s="78">
        <f t="shared" si="6"/>
        <v>13.718915173886501</v>
      </c>
      <c r="T33" s="78">
        <f t="shared" si="7"/>
        <v>19.139192985617758</v>
      </c>
      <c r="U33" s="78">
        <f t="shared" si="8"/>
        <v>20.87135526040403</v>
      </c>
      <c r="V33" s="78">
        <f t="shared" si="9"/>
        <v>8.7640430124251942</v>
      </c>
      <c r="W33" s="78"/>
      <c r="X33" s="78">
        <f>IF($K33&gt;0,B33/$K33*100,0)</f>
        <v>8.8252862069532895E-2</v>
      </c>
      <c r="Y33" s="78">
        <f t="shared" ref="Y33" si="14">IF($K33&gt;0,C33/$K33*100,0)</f>
        <v>2.9215666591265048</v>
      </c>
      <c r="Z33" s="78">
        <f t="shared" ref="Z33" si="15">IF($K33&gt;0,D33/$K33*100,0)</f>
        <v>8.900799195679344</v>
      </c>
      <c r="AA33" s="78">
        <f t="shared" ref="AA33" si="16">IF($K33&gt;0,E33/$K33*100,0)</f>
        <v>4.2908560057099043</v>
      </c>
      <c r="AB33" s="78">
        <f t="shared" ref="AB33" si="17">IF($K33&gt;0,F33/$K33*100,0)</f>
        <v>3.816730465194619</v>
      </c>
      <c r="AC33" s="78">
        <f t="shared" ref="AC33" si="18">IF($K33&gt;0,G33/$K33*100,0)</f>
        <v>17.842167710083388</v>
      </c>
      <c r="AD33" s="78">
        <f t="shared" ref="AD33" si="19">IF($K33&gt;0,H33/$K33*100,0)</f>
        <v>27.942837488703383</v>
      </c>
      <c r="AE33" s="78">
        <f t="shared" ref="AE33" si="20">IF($K33&gt;0,I33/$K33*100,0)</f>
        <v>25.110240463369781</v>
      </c>
      <c r="AF33" s="78">
        <f>IF($K33&gt;0,J33/$K33*100,0)</f>
        <v>9.0865491500635418</v>
      </c>
      <c r="AG33" s="78">
        <f t="shared" ref="AG33" si="21">IF($K33&gt;0,K33/$K33*100,0)</f>
        <v>100</v>
      </c>
    </row>
    <row r="34" spans="1:33">
      <c r="B34" s="280"/>
      <c r="C34" s="280"/>
      <c r="D34" s="280"/>
      <c r="E34" s="54"/>
      <c r="F34" s="54"/>
      <c r="G34" s="54"/>
      <c r="H34" s="54"/>
      <c r="I34" s="54"/>
      <c r="J34" s="54"/>
      <c r="K34" s="280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</row>
    <row r="35" spans="1:33">
      <c r="A35" s="89" t="str">
        <f>name!D3</f>
        <v>All occupations</v>
      </c>
      <c r="B35" s="281">
        <f>SUM(B8:B33)</f>
        <v>522.64446579351466</v>
      </c>
      <c r="C35" s="281">
        <f t="shared" ref="C35:K35" si="22">SUM(C8:C33)</f>
        <v>3765.2929147959226</v>
      </c>
      <c r="D35" s="281">
        <f t="shared" si="22"/>
        <v>6391.785891368233</v>
      </c>
      <c r="E35" s="281">
        <f t="shared" si="22"/>
        <v>1705.9422521063766</v>
      </c>
      <c r="F35" s="281">
        <f t="shared" si="22"/>
        <v>1728.4181700933295</v>
      </c>
      <c r="G35" s="281">
        <f t="shared" si="22"/>
        <v>5842.7949099002708</v>
      </c>
      <c r="H35" s="281">
        <f t="shared" si="22"/>
        <v>5330.1618704902939</v>
      </c>
      <c r="I35" s="281">
        <f t="shared" si="22"/>
        <v>3433.3407975165951</v>
      </c>
      <c r="J35" s="281">
        <f t="shared" si="22"/>
        <v>1139.299727930676</v>
      </c>
      <c r="K35" s="281">
        <f t="shared" si="22"/>
        <v>29859.680999995217</v>
      </c>
      <c r="L35" s="281"/>
      <c r="M35" s="79">
        <f>B35/B$35*100</f>
        <v>100</v>
      </c>
      <c r="N35" s="79">
        <f>C35/C$35*100</f>
        <v>100</v>
      </c>
      <c r="O35" s="79">
        <f>D35/D$35*100</f>
        <v>100</v>
      </c>
      <c r="P35" s="79">
        <f t="shared" ref="P35:U35" si="23">E35/E$35*100</f>
        <v>100</v>
      </c>
      <c r="Q35" s="79">
        <f t="shared" si="23"/>
        <v>100</v>
      </c>
      <c r="R35" s="79">
        <f t="shared" si="23"/>
        <v>100</v>
      </c>
      <c r="S35" s="79">
        <f t="shared" si="23"/>
        <v>100</v>
      </c>
      <c r="T35" s="79">
        <f t="shared" si="23"/>
        <v>100</v>
      </c>
      <c r="U35" s="79">
        <f t="shared" si="23"/>
        <v>100</v>
      </c>
      <c r="V35" s="79">
        <f>K35/K$35*100</f>
        <v>100</v>
      </c>
      <c r="W35" s="79"/>
      <c r="X35" s="79">
        <f>IF($K35&gt;0,B35/$K35*100,0)</f>
        <v>1.7503350614951256</v>
      </c>
      <c r="Y35" s="79">
        <f t="shared" ref="Y35:AG35" si="24">IF($K35&gt;0,C35/$K35*100,0)</f>
        <v>12.609956934223529</v>
      </c>
      <c r="Z35" s="79">
        <f t="shared" si="24"/>
        <v>21.406075608675312</v>
      </c>
      <c r="AA35" s="79">
        <f t="shared" si="24"/>
        <v>5.7131965077143656</v>
      </c>
      <c r="AB35" s="79">
        <f t="shared" si="24"/>
        <v>5.7884683031061392</v>
      </c>
      <c r="AC35" s="79">
        <f t="shared" si="24"/>
        <v>19.567506129423172</v>
      </c>
      <c r="AD35" s="79">
        <f t="shared" si="24"/>
        <v>17.850699310857166</v>
      </c>
      <c r="AE35" s="79">
        <f t="shared" si="24"/>
        <v>11.498250090204062</v>
      </c>
      <c r="AF35" s="79">
        <f t="shared" si="24"/>
        <v>3.8155120543011107</v>
      </c>
      <c r="AG35" s="79">
        <f t="shared" si="24"/>
        <v>100</v>
      </c>
    </row>
    <row r="37" spans="1:33">
      <c r="A37" s="72" t="e">
        <f ca="1">CELL("filename")</f>
        <v>#VALUE!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6"/>
  <cols>
    <col min="1" max="1" width="33.7109375" style="72" customWidth="1"/>
    <col min="2" max="2" width="5.7109375" style="72" customWidth="1"/>
    <col min="3" max="3" width="11.7109375" style="72" customWidth="1"/>
    <col min="4" max="4" width="7.85546875" style="72" customWidth="1"/>
    <col min="5" max="5" width="9.85546875" style="72" customWidth="1"/>
    <col min="6" max="6" width="10" style="72" customWidth="1"/>
    <col min="7" max="7" width="2.7109375" style="72" customWidth="1"/>
    <col min="8" max="8" width="5.7109375" style="72" customWidth="1"/>
    <col min="9" max="9" width="10.7109375" style="72" customWidth="1"/>
    <col min="10" max="12" width="8.7109375" style="72" customWidth="1"/>
    <col min="13" max="13" width="2.7109375" style="72" customWidth="1"/>
    <col min="14" max="14" width="5.7109375" style="72" customWidth="1"/>
    <col min="15" max="15" width="10.7109375" style="72" customWidth="1"/>
    <col min="16" max="18" width="8.7109375" style="72" customWidth="1"/>
    <col min="19" max="19" width="2.7109375" style="72" customWidth="1"/>
    <col min="20" max="20" width="5.7109375" style="72" customWidth="1"/>
    <col min="21" max="21" width="10.7109375" style="72" customWidth="1"/>
    <col min="22" max="24" width="8.7109375" style="72" customWidth="1"/>
    <col min="25" max="25" width="33.7109375" style="72" customWidth="1"/>
    <col min="26" max="26" width="5.7109375" style="72" customWidth="1"/>
    <col min="27" max="27" width="11.7109375" style="72" customWidth="1"/>
    <col min="28" max="28" width="7.42578125" style="72" customWidth="1"/>
    <col min="29" max="30" width="8.7109375" style="72" customWidth="1"/>
    <col min="31" max="31" width="2.7109375" style="72" customWidth="1"/>
    <col min="32" max="32" width="5.7109375" style="72" customWidth="1"/>
    <col min="33" max="33" width="10.7109375" style="72" customWidth="1"/>
    <col min="34" max="36" width="8.7109375" style="72" customWidth="1"/>
    <col min="37" max="37" width="2.7109375" style="72" customWidth="1"/>
    <col min="38" max="38" width="5.7109375" style="72" customWidth="1"/>
    <col min="39" max="39" width="10.7109375" style="72" customWidth="1"/>
    <col min="40" max="42" width="8.7109375" style="72" customWidth="1"/>
    <col min="43" max="43" width="2.7109375" style="72" customWidth="1"/>
    <col min="44" max="44" width="5.7109375" style="72" customWidth="1"/>
    <col min="45" max="45" width="10.7109375" style="72" customWidth="1"/>
    <col min="46" max="48" width="8.7109375" style="72" customWidth="1"/>
    <col min="49" max="49" width="33.7109375" style="72" customWidth="1"/>
    <col min="50" max="50" width="5.7109375" style="72" customWidth="1"/>
    <col min="51" max="51" width="11.7109375" style="72" customWidth="1"/>
    <col min="52" max="52" width="7.42578125" style="72" customWidth="1"/>
    <col min="53" max="54" width="8.7109375" style="72" customWidth="1"/>
    <col min="55" max="55" width="2.7109375" style="72" customWidth="1"/>
    <col min="56" max="56" width="5.7109375" style="72" customWidth="1"/>
    <col min="57" max="57" width="10.7109375" style="72" customWidth="1"/>
    <col min="58" max="60" width="8.7109375" style="72" customWidth="1"/>
    <col min="61" max="61" width="2.7109375" style="72" customWidth="1"/>
    <col min="62" max="62" width="5.7109375" style="72" customWidth="1"/>
    <col min="63" max="63" width="10.7109375" style="72" customWidth="1"/>
    <col min="64" max="66" width="8.7109375" style="72" customWidth="1"/>
    <col min="67" max="67" width="2.7109375" style="72" customWidth="1"/>
    <col min="68" max="68" width="5.7109375" style="72" customWidth="1"/>
    <col min="69" max="69" width="10.7109375" style="72" customWidth="1"/>
    <col min="70" max="72" width="8.7109375" style="72" customWidth="1"/>
    <col min="73" max="73" width="33.7109375" style="72" customWidth="1"/>
    <col min="74" max="74" width="5.7109375" style="72" customWidth="1"/>
    <col min="75" max="75" width="11.7109375" style="72" customWidth="1"/>
    <col min="76" max="76" width="7.42578125" style="72" customWidth="1"/>
    <col min="77" max="78" width="8.7109375" style="72" customWidth="1"/>
    <col min="79" max="79" width="2.7109375" style="72" customWidth="1"/>
    <col min="80" max="80" width="5.7109375" style="72" customWidth="1"/>
    <col min="81" max="81" width="10.7109375" style="72" customWidth="1"/>
    <col min="82" max="84" width="8.7109375" style="72" customWidth="1"/>
    <col min="85" max="85" width="2.7109375" style="72" customWidth="1"/>
    <col min="86" max="86" width="5.7109375" style="72" customWidth="1"/>
    <col min="87" max="87" width="10.7109375" style="72" customWidth="1"/>
    <col min="88" max="90" width="8.7109375" style="72" customWidth="1"/>
    <col min="91" max="91" width="2.7109375" style="72" customWidth="1"/>
    <col min="92" max="92" width="5.7109375" style="72" customWidth="1"/>
    <col min="93" max="93" width="10.7109375" style="72" customWidth="1"/>
    <col min="94" max="96" width="8.7109375" style="72" customWidth="1"/>
    <col min="97" max="97" width="33.7109375" style="72" customWidth="1"/>
    <col min="98" max="98" width="5.7109375" style="72" customWidth="1"/>
    <col min="99" max="99" width="11.7109375" style="72" customWidth="1"/>
    <col min="100" max="100" width="7.42578125" style="72" customWidth="1"/>
    <col min="101" max="102" width="8.7109375" style="72" customWidth="1"/>
    <col min="103" max="103" width="2.7109375" style="72" customWidth="1"/>
    <col min="104" max="104" width="5.7109375" style="72" customWidth="1"/>
    <col min="105" max="105" width="10.7109375" style="72" customWidth="1"/>
    <col min="106" max="108" width="8.7109375" style="72" customWidth="1"/>
    <col min="109" max="109" width="2.7109375" style="72" customWidth="1"/>
    <col min="110" max="110" width="5.7109375" style="72" customWidth="1"/>
    <col min="111" max="111" width="10.7109375" style="72" customWidth="1"/>
    <col min="112" max="114" width="8.7109375" style="72" customWidth="1"/>
    <col min="115" max="115" width="2.7109375" style="72" customWidth="1"/>
    <col min="116" max="116" width="5.7109375" style="72" customWidth="1"/>
    <col min="117" max="117" width="10.7109375" style="72" customWidth="1"/>
    <col min="118" max="120" width="8.7109375" style="72" customWidth="1"/>
    <col min="121" max="16384" width="9.140625" style="72"/>
  </cols>
  <sheetData>
    <row r="1" spans="1:120" ht="15.6">
      <c r="A1" s="17" t="str">
        <f>CONCATENATE("Basic Table 5  Replacement Demand, ",A100,"-",A101,", by Industry and Qualification for ",name!$H$3)</f>
        <v>Basic Table 5  Replacement Demand, 2015-2025, by Industry and Qualification for M</v>
      </c>
      <c r="Y1" s="17" t="str">
        <f>CONCATENATE("Basic Table 5  Replacement Demand, ",A100,"-",A101,", by Industry and Qualification for ",name!$H$4)</f>
        <v>Basic Table 5  Replacement Demand, 2015-2025, by Industry and Qualification for F</v>
      </c>
      <c r="AW1" s="17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7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7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6">
      <c r="A2" s="17"/>
      <c r="Y2" s="17"/>
      <c r="AW2" s="17"/>
      <c r="BU2" s="17"/>
      <c r="CS2" s="17"/>
    </row>
    <row r="3" spans="1:120"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97" t="s">
        <v>114</v>
      </c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97" t="str">
        <f>$X$3</f>
        <v>thousands</v>
      </c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97" t="str">
        <f>$X$3</f>
        <v>thousands</v>
      </c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97" t="str">
        <f>$X$3</f>
        <v>thousands</v>
      </c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97" t="str">
        <f>$X$3</f>
        <v>thousands</v>
      </c>
    </row>
    <row r="4" spans="1:120" ht="12.95">
      <c r="A4" s="77"/>
      <c r="B4" s="377" t="str">
        <f>name!F3</f>
        <v>All qualifications</v>
      </c>
      <c r="C4" s="377"/>
      <c r="D4" s="377"/>
      <c r="E4" s="377"/>
      <c r="F4" s="377"/>
      <c r="G4" s="84"/>
      <c r="H4" s="377" t="str">
        <f>name!F4</f>
        <v>RQF8 Doctorate</v>
      </c>
      <c r="I4" s="377"/>
      <c r="J4" s="377"/>
      <c r="K4" s="377"/>
      <c r="L4" s="377"/>
      <c r="N4" s="376" t="str">
        <f>name!F5</f>
        <v>RQF7 Other higher degree</v>
      </c>
      <c r="O4" s="376"/>
      <c r="P4" s="376"/>
      <c r="Q4" s="376"/>
      <c r="R4" s="376"/>
      <c r="S4" s="92"/>
      <c r="T4" s="376" t="str">
        <f>name!F6</f>
        <v>RQF6 First degree</v>
      </c>
      <c r="U4" s="376"/>
      <c r="V4" s="376"/>
      <c r="W4" s="376"/>
      <c r="X4" s="376"/>
      <c r="Y4" s="77"/>
      <c r="Z4" s="377" t="str">
        <f>$B$4</f>
        <v>All qualifications</v>
      </c>
      <c r="AA4" s="377"/>
      <c r="AB4" s="377"/>
      <c r="AC4" s="377"/>
      <c r="AD4" s="377"/>
      <c r="AE4" s="84"/>
      <c r="AF4" s="377" t="str">
        <f>$H$4</f>
        <v>RQF8 Doctorate</v>
      </c>
      <c r="AG4" s="377"/>
      <c r="AH4" s="377"/>
      <c r="AI4" s="377"/>
      <c r="AJ4" s="377"/>
      <c r="AL4" s="376" t="str">
        <f>$N$4</f>
        <v>RQF7 Other higher degree</v>
      </c>
      <c r="AM4" s="376"/>
      <c r="AN4" s="376"/>
      <c r="AO4" s="376"/>
      <c r="AP4" s="376"/>
      <c r="AQ4" s="92"/>
      <c r="AR4" s="376" t="str">
        <f>$T$4</f>
        <v>RQF6 First degree</v>
      </c>
      <c r="AS4" s="376"/>
      <c r="AT4" s="376"/>
      <c r="AU4" s="376"/>
      <c r="AV4" s="376"/>
      <c r="AW4" s="77"/>
      <c r="AX4" s="377" t="str">
        <f>$B$4</f>
        <v>All qualifications</v>
      </c>
      <c r="AY4" s="377"/>
      <c r="AZ4" s="377"/>
      <c r="BA4" s="377"/>
      <c r="BB4" s="377"/>
      <c r="BC4" s="84"/>
      <c r="BD4" s="377" t="str">
        <f>$H$4</f>
        <v>RQF8 Doctorate</v>
      </c>
      <c r="BE4" s="377"/>
      <c r="BF4" s="377"/>
      <c r="BG4" s="377"/>
      <c r="BH4" s="377"/>
      <c r="BJ4" s="376" t="str">
        <f>$N$4</f>
        <v>RQF7 Other higher degree</v>
      </c>
      <c r="BK4" s="376"/>
      <c r="BL4" s="376"/>
      <c r="BM4" s="376"/>
      <c r="BN4" s="376"/>
      <c r="BO4" s="92"/>
      <c r="BP4" s="376" t="str">
        <f>$T$4</f>
        <v>RQF6 First degree</v>
      </c>
      <c r="BQ4" s="376"/>
      <c r="BR4" s="376"/>
      <c r="BS4" s="376"/>
      <c r="BT4" s="376"/>
      <c r="BU4" s="77"/>
      <c r="BV4" s="377" t="str">
        <f>$B$4</f>
        <v>All qualifications</v>
      </c>
      <c r="BW4" s="377"/>
      <c r="BX4" s="377"/>
      <c r="BY4" s="377"/>
      <c r="BZ4" s="377"/>
      <c r="CA4" s="84"/>
      <c r="CB4" s="377" t="str">
        <f>$H$4</f>
        <v>RQF8 Doctorate</v>
      </c>
      <c r="CC4" s="377"/>
      <c r="CD4" s="377"/>
      <c r="CE4" s="377"/>
      <c r="CF4" s="377"/>
      <c r="CH4" s="376" t="str">
        <f>$N$4</f>
        <v>RQF7 Other higher degree</v>
      </c>
      <c r="CI4" s="376"/>
      <c r="CJ4" s="376"/>
      <c r="CK4" s="376"/>
      <c r="CL4" s="376"/>
      <c r="CM4" s="92"/>
      <c r="CN4" s="376" t="str">
        <f>$T$4</f>
        <v>RQF6 First degree</v>
      </c>
      <c r="CO4" s="376"/>
      <c r="CP4" s="376"/>
      <c r="CQ4" s="376"/>
      <c r="CR4" s="376"/>
      <c r="CS4" s="77"/>
      <c r="CT4" s="377" t="str">
        <f>$B$4</f>
        <v>All qualifications</v>
      </c>
      <c r="CU4" s="377"/>
      <c r="CV4" s="377"/>
      <c r="CW4" s="377"/>
      <c r="CX4" s="377"/>
      <c r="CY4" s="84"/>
      <c r="CZ4" s="377" t="str">
        <f>$H$4</f>
        <v>RQF8 Doctorate</v>
      </c>
      <c r="DA4" s="377"/>
      <c r="DB4" s="377"/>
      <c r="DC4" s="377"/>
      <c r="DD4" s="377"/>
      <c r="DF4" s="376" t="str">
        <f>$N$4</f>
        <v>RQF7 Other higher degree</v>
      </c>
      <c r="DG4" s="376"/>
      <c r="DH4" s="376"/>
      <c r="DI4" s="376"/>
      <c r="DJ4" s="376"/>
      <c r="DK4" s="92"/>
      <c r="DL4" s="376" t="str">
        <f>$T$4</f>
        <v>RQF6 First degree</v>
      </c>
      <c r="DM4" s="376"/>
      <c r="DN4" s="376"/>
      <c r="DO4" s="376"/>
      <c r="DP4" s="376"/>
    </row>
    <row r="6" spans="1:120" s="83" customFormat="1" ht="38.1">
      <c r="A6" s="82"/>
      <c r="B6" s="87" t="s">
        <v>218</v>
      </c>
      <c r="C6" s="96" t="str">
        <f>CONCATENATE($A$100," Level")</f>
        <v>2015 Level</v>
      </c>
      <c r="D6" s="86" t="s">
        <v>209</v>
      </c>
      <c r="E6" s="96" t="s">
        <v>219</v>
      </c>
      <c r="F6" s="96" t="s">
        <v>220</v>
      </c>
      <c r="G6" s="85"/>
      <c r="H6" s="86" t="str">
        <f>B6</f>
        <v>RD p.a%</v>
      </c>
      <c r="I6" s="86" t="str">
        <f>C6</f>
        <v>2015 Level</v>
      </c>
      <c r="J6" s="86" t="str">
        <f>D6</f>
        <v>Net Change</v>
      </c>
      <c r="K6" s="86" t="str">
        <f>E6</f>
        <v>Replace-ment Demand</v>
      </c>
      <c r="L6" s="86" t="str">
        <f>F6</f>
        <v>Total Require-ment</v>
      </c>
      <c r="M6" s="85"/>
      <c r="N6" s="87" t="str">
        <f>H6</f>
        <v>RD p.a%</v>
      </c>
      <c r="O6" s="87" t="str">
        <f>I6</f>
        <v>2015 Level</v>
      </c>
      <c r="P6" s="87" t="str">
        <f>J6</f>
        <v>Net Change</v>
      </c>
      <c r="Q6" s="87" t="str">
        <f>K6</f>
        <v>Replace-ment Demand</v>
      </c>
      <c r="R6" s="87" t="str">
        <f>L6</f>
        <v>Total Require-ment</v>
      </c>
      <c r="S6" s="85"/>
      <c r="T6" s="87" t="str">
        <f>N6</f>
        <v>RD p.a%</v>
      </c>
      <c r="U6" s="87" t="str">
        <f>O6</f>
        <v>2015 Level</v>
      </c>
      <c r="V6" s="87" t="str">
        <f>P6</f>
        <v>Net Change</v>
      </c>
      <c r="W6" s="87" t="str">
        <f>Q6</f>
        <v>Replace-ment Demand</v>
      </c>
      <c r="X6" s="87" t="str">
        <f>R6</f>
        <v>Total Require-ment</v>
      </c>
      <c r="Y6" s="82"/>
      <c r="Z6" s="87" t="s">
        <v>218</v>
      </c>
      <c r="AA6" s="96" t="str">
        <f>CONCATENATE($A$100," Level")</f>
        <v>2015 Level</v>
      </c>
      <c r="AB6" s="86" t="s">
        <v>209</v>
      </c>
      <c r="AC6" s="96" t="s">
        <v>219</v>
      </c>
      <c r="AD6" s="96" t="s">
        <v>220</v>
      </c>
      <c r="AE6" s="85"/>
      <c r="AF6" s="86" t="str">
        <f>Z6</f>
        <v>RD p.a%</v>
      </c>
      <c r="AG6" s="86" t="str">
        <f>AA6</f>
        <v>2015 Level</v>
      </c>
      <c r="AH6" s="86" t="str">
        <f>AB6</f>
        <v>Net Change</v>
      </c>
      <c r="AI6" s="86" t="str">
        <f>AC6</f>
        <v>Replace-ment Demand</v>
      </c>
      <c r="AJ6" s="86" t="str">
        <f>AD6</f>
        <v>Total Require-ment</v>
      </c>
      <c r="AK6" s="85"/>
      <c r="AL6" s="87" t="str">
        <f>AF6</f>
        <v>RD p.a%</v>
      </c>
      <c r="AM6" s="87" t="str">
        <f>AG6</f>
        <v>2015 Level</v>
      </c>
      <c r="AN6" s="87" t="str">
        <f>AH6</f>
        <v>Net Change</v>
      </c>
      <c r="AO6" s="87" t="str">
        <f>AI6</f>
        <v>Replace-ment Demand</v>
      </c>
      <c r="AP6" s="87" t="str">
        <f>AJ6</f>
        <v>Total Require-ment</v>
      </c>
      <c r="AQ6" s="85"/>
      <c r="AR6" s="87" t="str">
        <f>AL6</f>
        <v>RD p.a%</v>
      </c>
      <c r="AS6" s="87" t="str">
        <f>AM6</f>
        <v>2015 Level</v>
      </c>
      <c r="AT6" s="87" t="str">
        <f>AN6</f>
        <v>Net Change</v>
      </c>
      <c r="AU6" s="87" t="str">
        <f>AO6</f>
        <v>Replace-ment Demand</v>
      </c>
      <c r="AV6" s="87" t="str">
        <f>AP6</f>
        <v>Total Require-ment</v>
      </c>
      <c r="AW6" s="82"/>
      <c r="AX6" s="87" t="s">
        <v>218</v>
      </c>
      <c r="AY6" s="96" t="str">
        <f>CONCATENATE($A$100," Level")</f>
        <v>2015 Level</v>
      </c>
      <c r="AZ6" s="86" t="s">
        <v>209</v>
      </c>
      <c r="BA6" s="96" t="s">
        <v>219</v>
      </c>
      <c r="BB6" s="96" t="s">
        <v>220</v>
      </c>
      <c r="BC6" s="85"/>
      <c r="BD6" s="86" t="str">
        <f>AX6</f>
        <v>RD p.a%</v>
      </c>
      <c r="BE6" s="86" t="str">
        <f>AY6</f>
        <v>2015 Level</v>
      </c>
      <c r="BF6" s="86" t="str">
        <f>AZ6</f>
        <v>Net Change</v>
      </c>
      <c r="BG6" s="86" t="str">
        <f>BA6</f>
        <v>Replace-ment Demand</v>
      </c>
      <c r="BH6" s="86" t="str">
        <f>BB6</f>
        <v>Total Require-ment</v>
      </c>
      <c r="BI6" s="85"/>
      <c r="BJ6" s="87" t="str">
        <f>BD6</f>
        <v>RD p.a%</v>
      </c>
      <c r="BK6" s="87" t="str">
        <f>BE6</f>
        <v>2015 Level</v>
      </c>
      <c r="BL6" s="87" t="str">
        <f>BF6</f>
        <v>Net Change</v>
      </c>
      <c r="BM6" s="87" t="str">
        <f>BG6</f>
        <v>Replace-ment Demand</v>
      </c>
      <c r="BN6" s="87" t="str">
        <f>BH6</f>
        <v>Total Require-ment</v>
      </c>
      <c r="BO6" s="85"/>
      <c r="BP6" s="87" t="str">
        <f>BJ6</f>
        <v>RD p.a%</v>
      </c>
      <c r="BQ6" s="87" t="str">
        <f>BK6</f>
        <v>2015 Level</v>
      </c>
      <c r="BR6" s="87" t="str">
        <f>BL6</f>
        <v>Net Change</v>
      </c>
      <c r="BS6" s="87" t="str">
        <f>BM6</f>
        <v>Replace-ment Demand</v>
      </c>
      <c r="BT6" s="87" t="str">
        <f>BN6</f>
        <v>Total Require-ment</v>
      </c>
      <c r="BU6" s="82"/>
      <c r="BV6" s="87" t="s">
        <v>218</v>
      </c>
      <c r="BW6" s="96" t="str">
        <f>CONCATENATE($A$100," Level")</f>
        <v>2015 Level</v>
      </c>
      <c r="BX6" s="86" t="s">
        <v>209</v>
      </c>
      <c r="BY6" s="96" t="s">
        <v>219</v>
      </c>
      <c r="BZ6" s="96" t="s">
        <v>220</v>
      </c>
      <c r="CA6" s="85"/>
      <c r="CB6" s="86" t="str">
        <f>BV6</f>
        <v>RD p.a%</v>
      </c>
      <c r="CC6" s="86" t="str">
        <f>BW6</f>
        <v>2015 Level</v>
      </c>
      <c r="CD6" s="86" t="str">
        <f>BX6</f>
        <v>Net Change</v>
      </c>
      <c r="CE6" s="86" t="str">
        <f>BY6</f>
        <v>Replace-ment Demand</v>
      </c>
      <c r="CF6" s="86" t="str">
        <f>BZ6</f>
        <v>Total Require-ment</v>
      </c>
      <c r="CG6" s="85"/>
      <c r="CH6" s="87" t="str">
        <f>CB6</f>
        <v>RD p.a%</v>
      </c>
      <c r="CI6" s="87" t="str">
        <f>CC6</f>
        <v>2015 Level</v>
      </c>
      <c r="CJ6" s="87" t="str">
        <f>CD6</f>
        <v>Net Change</v>
      </c>
      <c r="CK6" s="87" t="str">
        <f>CE6</f>
        <v>Replace-ment Demand</v>
      </c>
      <c r="CL6" s="87" t="str">
        <f>CF6</f>
        <v>Total Require-ment</v>
      </c>
      <c r="CM6" s="85"/>
      <c r="CN6" s="87" t="str">
        <f>CH6</f>
        <v>RD p.a%</v>
      </c>
      <c r="CO6" s="87" t="str">
        <f>CI6</f>
        <v>2015 Level</v>
      </c>
      <c r="CP6" s="87" t="str">
        <f>CJ6</f>
        <v>Net Change</v>
      </c>
      <c r="CQ6" s="87" t="str">
        <f>CK6</f>
        <v>Replace-ment Demand</v>
      </c>
      <c r="CR6" s="87" t="str">
        <f>CL6</f>
        <v>Total Require-ment</v>
      </c>
      <c r="CS6" s="82"/>
      <c r="CT6" s="87" t="s">
        <v>218</v>
      </c>
      <c r="CU6" s="96" t="str">
        <f>CONCATENATE($A$100," Level")</f>
        <v>2015 Level</v>
      </c>
      <c r="CV6" s="86" t="s">
        <v>209</v>
      </c>
      <c r="CW6" s="96" t="s">
        <v>219</v>
      </c>
      <c r="CX6" s="96" t="s">
        <v>220</v>
      </c>
      <c r="CY6" s="85"/>
      <c r="CZ6" s="86" t="str">
        <f>CT6</f>
        <v>RD p.a%</v>
      </c>
      <c r="DA6" s="86" t="str">
        <f>CU6</f>
        <v>2015 Level</v>
      </c>
      <c r="DB6" s="86" t="str">
        <f>CV6</f>
        <v>Net Change</v>
      </c>
      <c r="DC6" s="86" t="str">
        <f>CW6</f>
        <v>Replace-ment Demand</v>
      </c>
      <c r="DD6" s="86" t="str">
        <f>CX6</f>
        <v>Total Require-ment</v>
      </c>
      <c r="DE6" s="85"/>
      <c r="DF6" s="87" t="str">
        <f>CZ6</f>
        <v>RD p.a%</v>
      </c>
      <c r="DG6" s="87" t="str">
        <f>DA6</f>
        <v>2015 Level</v>
      </c>
      <c r="DH6" s="87" t="str">
        <f>DB6</f>
        <v>Net Change</v>
      </c>
      <c r="DI6" s="87" t="str">
        <f>DC6</f>
        <v>Replace-ment Demand</v>
      </c>
      <c r="DJ6" s="87" t="str">
        <f>DD6</f>
        <v>Total Require-ment</v>
      </c>
      <c r="DK6" s="85"/>
      <c r="DL6" s="87" t="str">
        <f>DF6</f>
        <v>RD p.a%</v>
      </c>
      <c r="DM6" s="87" t="str">
        <f>DG6</f>
        <v>2015 Level</v>
      </c>
      <c r="DN6" s="87" t="str">
        <f>DH6</f>
        <v>Net Change</v>
      </c>
      <c r="DO6" s="87" t="str">
        <f>DI6</f>
        <v>Replace-ment Demand</v>
      </c>
      <c r="DP6" s="87" t="str">
        <f>DJ6</f>
        <v>Total Require-ment</v>
      </c>
    </row>
    <row r="8" spans="1:120">
      <c r="A8" s="72" t="str">
        <f>name!B4</f>
        <v>Agriculture</v>
      </c>
      <c r="B8" s="30">
        <f>IF(C8&gt;0,((1+(E8/C8))^(1/($A$101-$A$100))-1)*100,0)</f>
        <v>3.6286528043839583</v>
      </c>
      <c r="C8" s="11">
        <v>55.936999999999848</v>
      </c>
      <c r="D8" s="75">
        <v>-6.9799999999999773</v>
      </c>
      <c r="E8" s="75">
        <v>23.953969842292668</v>
      </c>
      <c r="F8" s="75">
        <f>SUM(D8:E8)</f>
        <v>16.973969842292689</v>
      </c>
      <c r="G8" s="75"/>
      <c r="H8" s="30">
        <f>IF(I8&gt;0,((1+(K8/I8))^(1/($A$101-$A$100))-1)*100,0)</f>
        <v>3.5263839839017708</v>
      </c>
      <c r="I8" s="75">
        <v>17.246149343314809</v>
      </c>
      <c r="J8" s="75">
        <v>-6.8895887133768028</v>
      </c>
      <c r="K8" s="75">
        <v>7.1433335785126539</v>
      </c>
      <c r="L8" s="75">
        <f>SUM(J8:K8)</f>
        <v>0.25374486513585115</v>
      </c>
      <c r="N8" s="30">
        <f>IF(O8&gt;0,((1+(Q8/O8))^(1/($A$101-$A$100))-1)*100,0)</f>
        <v>3.688575763403712</v>
      </c>
      <c r="O8" s="75">
        <v>26.89476620234856</v>
      </c>
      <c r="P8" s="75">
        <v>-1.7755328024279793</v>
      </c>
      <c r="Q8" s="75">
        <v>11.739873371498375</v>
      </c>
      <c r="R8" s="75">
        <f>SUM(P8:Q8)</f>
        <v>9.9643405690703943</v>
      </c>
      <c r="S8" s="88"/>
      <c r="T8" s="30">
        <f>IF(U8&gt;0,((1+(W8/U8))^(1/($A$101-$A$100))-1)*100,0)</f>
        <v>3.6405249613346236</v>
      </c>
      <c r="U8" s="75">
        <v>11.79608445433648</v>
      </c>
      <c r="V8" s="75">
        <v>1.6851215158048036</v>
      </c>
      <c r="W8" s="75">
        <v>5.0707628922816417</v>
      </c>
      <c r="X8" s="75">
        <f>SUM(V8:W8)</f>
        <v>6.7558844080864455</v>
      </c>
      <c r="Y8" s="72" t="str">
        <f t="shared" ref="Y8:Y48" si="0">A8</f>
        <v>Agriculture</v>
      </c>
      <c r="Z8" s="30">
        <f>IF(AA8&gt;0,((1+(AC8/AA8))^(1/($A$101-$A$100))-1)*100,0)</f>
        <v>3.2278133961415545</v>
      </c>
      <c r="AA8" s="11">
        <v>4.3826960714462242</v>
      </c>
      <c r="AB8" s="75">
        <v>3.8928451595904385</v>
      </c>
      <c r="AC8" s="75">
        <v>1.6388586204918438</v>
      </c>
      <c r="AD8" s="75">
        <f>SUM(AB8:AC8)</f>
        <v>5.5317037800822826</v>
      </c>
      <c r="AE8" s="75"/>
      <c r="AF8" s="30">
        <f>IF(AG8&gt;0,((1+(AI8/AG8))^(1/($A$101-$A$100))-1)*100,0)</f>
        <v>3.7281488295962228</v>
      </c>
      <c r="AG8" s="75">
        <v>0.36786575366769064</v>
      </c>
      <c r="AH8" s="75">
        <v>0.72586367094203585</v>
      </c>
      <c r="AI8" s="75">
        <v>0.16259790102888269</v>
      </c>
      <c r="AJ8" s="75">
        <f>SUM(AH8:AI8)</f>
        <v>0.88846157197091857</v>
      </c>
      <c r="AL8" s="30">
        <f>IF(AM8&gt;0,((1+(AO8/AM8))^(1/($A$101-$A$100))-1)*100,0)</f>
        <v>3.4098436752145078</v>
      </c>
      <c r="AM8" s="75">
        <v>1.6324139933768864</v>
      </c>
      <c r="AN8" s="75">
        <v>2.2923856880061342</v>
      </c>
      <c r="AO8" s="75">
        <v>0.65028751093123516</v>
      </c>
      <c r="AP8" s="75">
        <f>SUM(AN8:AO8)</f>
        <v>2.9426731989373693</v>
      </c>
      <c r="AQ8" s="88"/>
      <c r="AR8" s="30">
        <f>IF(AS8&gt;0,((1+(AU8/AS8))^(1/($A$101-$A$100))-1)*100,0)</f>
        <v>3.0212804601292831</v>
      </c>
      <c r="AS8" s="75">
        <v>2.382416324401647</v>
      </c>
      <c r="AT8" s="75">
        <v>0.87459580064226849</v>
      </c>
      <c r="AU8" s="75">
        <v>0.82597320853172596</v>
      </c>
      <c r="AV8" s="75">
        <f>SUM(AT8:AU8)</f>
        <v>1.7005690091739945</v>
      </c>
      <c r="AW8" s="72" t="str">
        <f>Y8</f>
        <v>Agriculture</v>
      </c>
      <c r="AX8" s="30">
        <f>IF(AY8&gt;0,((1+(BA8/AY8))^(1/($A$101-$A$100))-1)*100,0)</f>
        <v>2.6560490695816119</v>
      </c>
      <c r="AY8" s="11">
        <v>1.9992749386487922</v>
      </c>
      <c r="AZ8" s="75">
        <v>0.50024802314102146</v>
      </c>
      <c r="BA8" s="75">
        <v>0.59919667769333007</v>
      </c>
      <c r="BB8" s="75">
        <f>SUM(AZ8:BA8)</f>
        <v>1.0994447008343515</v>
      </c>
      <c r="BC8" s="75"/>
      <c r="BD8" s="30">
        <f>IF(BE8&gt;0,((1+(BG8/BE8))^(1/($A$101-$A$100))-1)*100,0)</f>
        <v>2.5886964610706498</v>
      </c>
      <c r="BE8" s="75">
        <v>0.35374225719986674</v>
      </c>
      <c r="BF8" s="75">
        <v>0.49967527486298247</v>
      </c>
      <c r="BG8" s="75">
        <v>0.1030114256045692</v>
      </c>
      <c r="BH8" s="75">
        <f>SUM(BF8:BG8)</f>
        <v>0.60268670046755168</v>
      </c>
      <c r="BJ8" s="30">
        <f>IF(BK8&gt;0,((1+(BM8/BK8))^(1/($A$101-$A$100))-1)*100,0)</f>
        <v>2.6156756899814892</v>
      </c>
      <c r="BK8" s="75">
        <v>0.79083739900797367</v>
      </c>
      <c r="BL8" s="75">
        <v>8.9741026511377109E-2</v>
      </c>
      <c r="BM8" s="75">
        <v>0.2329842080987119</v>
      </c>
      <c r="BN8" s="75">
        <f>SUM(BL8:BM8)</f>
        <v>0.32272523461008901</v>
      </c>
      <c r="BO8" s="88"/>
      <c r="BP8" s="30">
        <f>IF(BQ8&gt;0,((1+(BS8/BQ8))^(1/($A$101-$A$100))-1)*100,0)</f>
        <v>2.7209488084197098</v>
      </c>
      <c r="BQ8" s="75">
        <v>0.85469528244095183</v>
      </c>
      <c r="BR8" s="75">
        <v>-8.91682782333382E-2</v>
      </c>
      <c r="BS8" s="75">
        <v>0.26320104399004901</v>
      </c>
      <c r="BT8" s="75">
        <f>SUM(BR8:BS8)</f>
        <v>0.17403276575671081</v>
      </c>
      <c r="BU8" s="72" t="str">
        <f>AW8</f>
        <v>Agriculture</v>
      </c>
      <c r="BV8" s="30">
        <f>IF(BW8&gt;0,((1+(BY8/BW8))^(1/($A$101-$A$100))-1)*100,0)</f>
        <v>4.0147443282656514</v>
      </c>
      <c r="BW8" s="11">
        <v>39.351032099647234</v>
      </c>
      <c r="BX8" s="75">
        <v>-10.192568070379561</v>
      </c>
      <c r="BY8" s="75">
        <v>18.980742173027217</v>
      </c>
      <c r="BZ8" s="75">
        <f>SUM(BX8:BY8)</f>
        <v>8.7881741026476554</v>
      </c>
      <c r="CA8" s="75"/>
      <c r="CB8" s="30">
        <f>IF(CC8&gt;0,((1+(CE8/CC8))^(1/($A$101-$A$100))-1)*100,0)</f>
        <v>3.9264502862225381</v>
      </c>
      <c r="CC8" s="75">
        <v>12.261822191887621</v>
      </c>
      <c r="CD8" s="75">
        <v>-6.5032966118226403</v>
      </c>
      <c r="CE8" s="75">
        <v>5.7607158890505197</v>
      </c>
      <c r="CF8" s="75">
        <f>SUM(CD8:CE8)</f>
        <v>-0.74258072277212062</v>
      </c>
      <c r="CH8" s="30">
        <f>IF(CI8&gt;0,((1+(CK8/CI8))^(1/($A$101-$A$100))-1)*100,0)</f>
        <v>3.9924360846625317</v>
      </c>
      <c r="CI8" s="75">
        <v>20.383214444648981</v>
      </c>
      <c r="CJ8" s="75">
        <v>-4.2877513599355161</v>
      </c>
      <c r="CK8" s="75">
        <v>9.7669852444241734</v>
      </c>
      <c r="CL8" s="75">
        <f>SUM(CJ8:CK8)</f>
        <v>5.4792338844886572</v>
      </c>
      <c r="CM8" s="88"/>
      <c r="CN8" s="30">
        <f>IF(CO8&gt;0,((1+(CQ8/CO8))^(1/($A$101-$A$100))-1)*100,0)</f>
        <v>4.2410858263209894</v>
      </c>
      <c r="CO8" s="75">
        <v>6.7059954631106375</v>
      </c>
      <c r="CP8" s="75">
        <v>0.59847990137859675</v>
      </c>
      <c r="CQ8" s="75">
        <v>3.4530410395525251</v>
      </c>
      <c r="CR8" s="75">
        <f>SUM(CP8:CQ8)</f>
        <v>4.0515209409311215</v>
      </c>
      <c r="CS8" s="72" t="str">
        <f>BU8</f>
        <v>Agriculture</v>
      </c>
      <c r="CT8" s="30">
        <f>IF(CU8&gt;0,((1+(CW8/CU8))^(1/($A$101-$A$100))-1)*100,0)</f>
        <v>2.4032187492160517</v>
      </c>
      <c r="CU8" s="11">
        <v>10.203996890257596</v>
      </c>
      <c r="CV8" s="75">
        <v>-1.1805251123518785</v>
      </c>
      <c r="CW8" s="75">
        <v>2.7351723710802771</v>
      </c>
      <c r="CX8" s="75">
        <f>SUM(CV8:CW8)</f>
        <v>1.5546472587283986</v>
      </c>
      <c r="CY8" s="75"/>
      <c r="CZ8" s="30">
        <f>IF(DA8&gt;0,((1+(DC8/DA8))^(1/($A$101-$A$100))-1)*100,0)</f>
        <v>2.3545977595102796</v>
      </c>
      <c r="DA8" s="75">
        <v>4.2627191405596321</v>
      </c>
      <c r="DB8" s="75">
        <v>-1.6118310473591806</v>
      </c>
      <c r="DC8" s="75">
        <v>1.1170083628286818</v>
      </c>
      <c r="DD8" s="75">
        <f>SUM(DB8:DC8)</f>
        <v>-0.49482268453049882</v>
      </c>
      <c r="DF8" s="30">
        <f>IF(DG8&gt;0,((1+(DI8/DG8))^(1/($A$101-$A$100))-1)*100,0)</f>
        <v>2.3908685473913449</v>
      </c>
      <c r="DG8" s="75">
        <v>4.088300365314721</v>
      </c>
      <c r="DH8" s="75">
        <v>0.13009184299002535</v>
      </c>
      <c r="DI8" s="75">
        <v>1.0896164080442534</v>
      </c>
      <c r="DJ8" s="75">
        <f>SUM(DH8:DI8)</f>
        <v>1.2197082510342787</v>
      </c>
      <c r="DK8" s="88"/>
      <c r="DL8" s="30">
        <f>IF(DM8&gt;0,((1+(DO8/DM8))^(1/($A$101-$A$100))-1)*100,0)</f>
        <v>2.5412252196502561</v>
      </c>
      <c r="DM8" s="75">
        <v>1.8529773843832451</v>
      </c>
      <c r="DN8" s="75">
        <v>0.30121409201727667</v>
      </c>
      <c r="DO8" s="75">
        <v>0.52854760020734193</v>
      </c>
      <c r="DP8" s="75">
        <f>SUM(DN8:DO8)</f>
        <v>0.8297616922246186</v>
      </c>
    </row>
    <row r="9" spans="1:120">
      <c r="A9" s="72" t="str">
        <f>name!B5</f>
        <v>Mining and quarrying</v>
      </c>
      <c r="B9" s="30">
        <f t="shared" ref="B9:B50" si="1">IF(C9&gt;0,((1+(E9/C9))^(1/($A$101-$A$100))-1)*100,0)</f>
        <v>2.5879456250919697</v>
      </c>
      <c r="C9" s="11">
        <v>2.8879999999999906</v>
      </c>
      <c r="D9" s="75">
        <v>0.31300000000000278</v>
      </c>
      <c r="E9" s="75">
        <v>0.84072640567762824</v>
      </c>
      <c r="F9" s="75">
        <f t="shared" ref="F9:F50" si="2">SUM(D9:E9)</f>
        <v>1.1537264056776311</v>
      </c>
      <c r="G9" s="75"/>
      <c r="H9" s="30">
        <f t="shared" ref="H9:H50" si="3">IF(I9&gt;0,((1+(K9/I9))^(1/($A$101-$A$100))-1)*100,0)</f>
        <v>2.4436532378282472</v>
      </c>
      <c r="I9" s="75">
        <v>0.56134327419487429</v>
      </c>
      <c r="J9" s="75">
        <v>-0.21770904065899815</v>
      </c>
      <c r="K9" s="75">
        <v>0.15328319439040927</v>
      </c>
      <c r="L9" s="75">
        <f t="shared" ref="L9:L48" si="4">SUM(J9:K9)</f>
        <v>-6.4425846268588882E-2</v>
      </c>
      <c r="N9" s="30">
        <f t="shared" ref="N9:N50" si="5">IF(O9&gt;0,((1+(Q9/O9))^(1/($A$101-$A$100))-1)*100,0)</f>
        <v>2.5068914334568815</v>
      </c>
      <c r="O9" s="75">
        <v>1.5400906331410087</v>
      </c>
      <c r="P9" s="75">
        <v>0.28375808682996728</v>
      </c>
      <c r="Q9" s="75">
        <v>0.43268145633424426</v>
      </c>
      <c r="R9" s="75">
        <f t="shared" ref="R9:R48" si="6">SUM(P9:Q9)</f>
        <v>0.71643954316421155</v>
      </c>
      <c r="S9" s="88"/>
      <c r="T9" s="30">
        <f t="shared" ref="T9:T50" si="7">IF(U9&gt;0,((1+(W9/U9))^(1/($A$101-$A$100))-1)*100,0)</f>
        <v>2.8454839589988623</v>
      </c>
      <c r="U9" s="75">
        <v>0.78656609266410804</v>
      </c>
      <c r="V9" s="75">
        <v>0.24695095382903356</v>
      </c>
      <c r="W9" s="75">
        <v>0.25476175495297482</v>
      </c>
      <c r="X9" s="75">
        <f t="shared" ref="X9:X48" si="8">SUM(V9:W9)</f>
        <v>0.50171270878200835</v>
      </c>
      <c r="Y9" s="72" t="str">
        <f t="shared" si="0"/>
        <v>Mining and quarrying</v>
      </c>
      <c r="Z9" s="30">
        <f t="shared" ref="Z9:Z48" si="9">IF(AA9&gt;0,((1+(AC9/AA9))^(1/($A$101-$A$100))-1)*100,0)</f>
        <v>2.8484964339744012</v>
      </c>
      <c r="AA9" s="11">
        <v>0.91916274125036446</v>
      </c>
      <c r="AB9" s="75">
        <v>0.31532613098932155</v>
      </c>
      <c r="AC9" s="75">
        <v>0.29806511305958167</v>
      </c>
      <c r="AD9" s="75">
        <f t="shared" ref="AD9:AD48" si="10">SUM(AB9:AC9)</f>
        <v>0.61339124404890322</v>
      </c>
      <c r="AE9" s="75"/>
      <c r="AF9" s="30">
        <f t="shared" ref="AF9:AF48" si="11">IF(AG9&gt;0,((1+(AI9/AG9))^(1/($A$101-$A$100))-1)*100,0)</f>
        <v>2.5647482470575023</v>
      </c>
      <c r="AG9" s="75">
        <v>6.0971942881735838E-2</v>
      </c>
      <c r="AH9" s="75">
        <v>-2.5168577316816716E-2</v>
      </c>
      <c r="AI9" s="75">
        <v>1.7571732105538661E-2</v>
      </c>
      <c r="AJ9" s="75">
        <f t="shared" ref="AJ9:AJ48" si="12">SUM(AH9:AI9)</f>
        <v>-7.5968452112780555E-3</v>
      </c>
      <c r="AL9" s="30">
        <f t="shared" ref="AL9:AL48" si="13">IF(AM9&gt;0,((1+(AO9/AM9))^(1/($A$101-$A$100))-1)*100,0)</f>
        <v>2.6969613560046124</v>
      </c>
      <c r="AM9" s="75">
        <v>0.23935227172586462</v>
      </c>
      <c r="AN9" s="75">
        <v>0.14142536362746669</v>
      </c>
      <c r="AO9" s="75">
        <v>7.2977576857019638E-2</v>
      </c>
      <c r="AP9" s="75">
        <f t="shared" ref="AP9:AP48" si="14">SUM(AN9:AO9)</f>
        <v>0.21440294048448633</v>
      </c>
      <c r="AQ9" s="88"/>
      <c r="AR9" s="30">
        <f t="shared" ref="AR9:AR48" si="15">IF(AS9&gt;0,((1+(AU9/AS9))^(1/($A$101-$A$100))-1)*100,0)</f>
        <v>2.9340110632854799</v>
      </c>
      <c r="AS9" s="75">
        <v>0.61883852664276406</v>
      </c>
      <c r="AT9" s="75">
        <v>0.19906934467867154</v>
      </c>
      <c r="AU9" s="75">
        <v>0.20751580409702336</v>
      </c>
      <c r="AV9" s="75">
        <f t="shared" ref="AV9:AV48" si="16">SUM(AT9:AU9)</f>
        <v>0.4065851487756949</v>
      </c>
      <c r="AW9" s="72" t="str">
        <f t="shared" ref="AW9:AW48" si="17">Y9</f>
        <v>Mining and quarrying</v>
      </c>
      <c r="AX9" s="30">
        <f t="shared" ref="AX9:AX48" si="18">IF(AY9&gt;0,((1+(BA9/AY9))^(1/($A$101-$A$100))-1)*100,0)</f>
        <v>2.6726206587082579</v>
      </c>
      <c r="AY9" s="11">
        <v>0.3067194252346826</v>
      </c>
      <c r="AZ9" s="75">
        <v>6.8760264538259452E-2</v>
      </c>
      <c r="BA9" s="75">
        <v>9.2569950318502167E-2</v>
      </c>
      <c r="BB9" s="75">
        <f t="shared" ref="BB9:BB48" si="19">SUM(AZ9:BA9)</f>
        <v>0.16133021485676163</v>
      </c>
      <c r="BC9" s="75"/>
      <c r="BD9" s="30">
        <f t="shared" ref="BD9:BD48" si="20">IF(BE9&gt;0,((1+(BG9/BE9))^(1/($A$101-$A$100))-1)*100,0)</f>
        <v>2.5499994113037161</v>
      </c>
      <c r="BE9" s="75">
        <v>4.8330458353493297E-2</v>
      </c>
      <c r="BF9" s="75">
        <v>1.4245064889474328E-2</v>
      </c>
      <c r="BG9" s="75">
        <v>1.3839064758290531E-2</v>
      </c>
      <c r="BH9" s="75">
        <f t="shared" ref="BH9:BH48" si="21">SUM(BF9:BG9)</f>
        <v>2.8084129647764858E-2</v>
      </c>
      <c r="BJ9" s="30">
        <f t="shared" ref="BJ9:BJ48" si="22">IF(BK9&gt;0,((1+(BM9/BK9))^(1/($A$101-$A$100))-1)*100,0)</f>
        <v>2.6327433470687112</v>
      </c>
      <c r="BK9" s="75">
        <v>0.1678509941154788</v>
      </c>
      <c r="BL9" s="75">
        <v>9.5539598382306211E-3</v>
      </c>
      <c r="BM9" s="75">
        <v>4.9811346068916303E-2</v>
      </c>
      <c r="BN9" s="75">
        <f t="shared" ref="BN9:BN48" si="23">SUM(BL9:BM9)</f>
        <v>5.936530590714692E-2</v>
      </c>
      <c r="BO9" s="88"/>
      <c r="BP9" s="30">
        <f t="shared" ref="BP9:BP48" si="24">IF(BQ9&gt;0,((1+(BS9/BQ9))^(1/($A$101-$A$100))-1)*100,0)</f>
        <v>2.8106890888395686</v>
      </c>
      <c r="BQ9" s="75">
        <v>9.0537972765710545E-2</v>
      </c>
      <c r="BR9" s="75">
        <v>4.4961239810554506E-2</v>
      </c>
      <c r="BS9" s="75">
        <v>2.8919539491295328E-2</v>
      </c>
      <c r="BT9" s="75">
        <f t="shared" ref="BT9:BT48" si="25">SUM(BR9:BS9)</f>
        <v>7.388077930184983E-2</v>
      </c>
      <c r="BU9" s="72" t="str">
        <f t="shared" ref="BU9:BU48" si="26">AW9</f>
        <v>Mining and quarrying</v>
      </c>
      <c r="BV9" s="30">
        <f t="shared" ref="BV9:BV48" si="27">IF(BW9&gt;0,((1+(BY9/BW9))^(1/($A$101-$A$100))-1)*100,0)</f>
        <v>2.4107447061383347</v>
      </c>
      <c r="BW9" s="11">
        <v>1.5632668821604008</v>
      </c>
      <c r="BX9" s="75">
        <v>-0.15103332096346828</v>
      </c>
      <c r="BY9" s="75">
        <v>0.42048964990866566</v>
      </c>
      <c r="BZ9" s="75">
        <f t="shared" ref="BZ9:BZ48" si="28">SUM(BX9:BY9)</f>
        <v>0.26945632894519739</v>
      </c>
      <c r="CA9" s="75"/>
      <c r="CB9" s="30">
        <f t="shared" ref="CB9:CB48" si="29">IF(CC9&gt;0,((1+(CE9/CC9))^(1/($A$101-$A$100))-1)*100,0)</f>
        <v>2.407525741530181</v>
      </c>
      <c r="CC9" s="75">
        <v>0.42499848743780899</v>
      </c>
      <c r="CD9" s="75">
        <v>-0.17974314270981959</v>
      </c>
      <c r="CE9" s="75">
        <v>0.11414717753563779</v>
      </c>
      <c r="CF9" s="75">
        <f t="shared" ref="CF9:CF48" si="30">SUM(CD9:CE9)</f>
        <v>-6.55959651741818E-2</v>
      </c>
      <c r="CH9" s="30">
        <f t="shared" ref="CH9:CH48" si="31">IF(CI9&gt;0,((1+(CK9/CI9))^(1/($A$101-$A$100))-1)*100,0)</f>
        <v>2.4305453687403666</v>
      </c>
      <c r="CI9" s="75">
        <v>1.0610788014669583</v>
      </c>
      <c r="CJ9" s="75">
        <v>2.578945240654381E-2</v>
      </c>
      <c r="CK9" s="75">
        <v>0.28801606100837185</v>
      </c>
      <c r="CL9" s="75">
        <f t="shared" ref="CL9:CL48" si="32">SUM(CJ9:CK9)</f>
        <v>0.31380551341491564</v>
      </c>
      <c r="CM9" s="88"/>
      <c r="CN9" s="30">
        <f t="shared" ref="CN9:CN48" si="33">IF(CO9&gt;0,((1+(CQ9/CO9))^(1/($A$101-$A$100))-1)*100,0)</f>
        <v>2.1531444581060377</v>
      </c>
      <c r="CO9" s="75">
        <v>7.7189593255633515E-2</v>
      </c>
      <c r="CP9" s="75">
        <v>2.9203693398075089E-3</v>
      </c>
      <c r="CQ9" s="75">
        <v>1.8326411364656129E-2</v>
      </c>
      <c r="CR9" s="75">
        <f t="shared" ref="CR9:CR48" si="34">SUM(CP9:CQ9)</f>
        <v>2.1246780704463637E-2</v>
      </c>
      <c r="CS9" s="72" t="str">
        <f t="shared" ref="CS9:CS48" si="35">BU9</f>
        <v>Mining and quarrying</v>
      </c>
      <c r="CT9" s="30">
        <f t="shared" ref="CT9:CT48" si="36">IF(CU9&gt;0,((1+(CW9/CU9))^(1/($A$101-$A$100))-1)*100,0)</f>
        <v>2.6540810004833215</v>
      </c>
      <c r="CU9" s="11">
        <v>9.8850951354543179E-2</v>
      </c>
      <c r="CV9" s="75">
        <v>7.9946925435890021E-2</v>
      </c>
      <c r="CW9" s="75">
        <v>2.9601692390878832E-2</v>
      </c>
      <c r="CX9" s="75">
        <f t="shared" ref="CX9:CX48" si="37">SUM(CV9:CW9)</f>
        <v>0.10954861782676885</v>
      </c>
      <c r="CY9" s="75"/>
      <c r="CZ9" s="30">
        <f t="shared" ref="CZ9:CZ48" si="38">IF(DA9&gt;0,((1+(DC9/DA9))^(1/($A$101-$A$100))-1)*100,0)</f>
        <v>2.5446431599745356</v>
      </c>
      <c r="DA9" s="75">
        <v>2.7042385521836187E-2</v>
      </c>
      <c r="DB9" s="75">
        <v>-2.7042385521836187E-2</v>
      </c>
      <c r="DC9" s="75">
        <v>7.7252199909423136E-3</v>
      </c>
      <c r="DD9" s="75">
        <f t="shared" ref="DD9:DD48" si="39">SUM(DB9:DC9)</f>
        <v>-1.9317165530893875E-2</v>
      </c>
      <c r="DF9" s="30">
        <f t="shared" ref="DF9:DF48" si="40">IF(DG9&gt;0,((1+(DI9/DG9))^(1/($A$101-$A$100))-1)*100,0)</f>
        <v>2.695023478374603</v>
      </c>
      <c r="DG9" s="75">
        <v>7.1808565832706991E-2</v>
      </c>
      <c r="DH9" s="75">
        <v>0.10698931095772621</v>
      </c>
      <c r="DI9" s="75">
        <v>2.1876472399936519E-2</v>
      </c>
      <c r="DJ9" s="75">
        <f t="shared" ref="DJ9:DJ48" si="41">SUM(DH9:DI9)</f>
        <v>0.12886578335766272</v>
      </c>
      <c r="DK9" s="88"/>
      <c r="DL9" s="30">
        <f t="shared" ref="DL9:DL48" si="42">IF(DM9&gt;0,((1+(DO9/DM9))^(1/($A$101-$A$100))-1)*100,0)</f>
        <v>0</v>
      </c>
      <c r="DM9" s="75">
        <v>0</v>
      </c>
      <c r="DN9" s="75">
        <v>0</v>
      </c>
      <c r="DO9" s="75">
        <v>0</v>
      </c>
      <c r="DP9" s="75">
        <f t="shared" ref="DP9:DP48" si="43">SUM(DN9:DO9)</f>
        <v>0</v>
      </c>
    </row>
    <row r="10" spans="1:120">
      <c r="A10" s="72" t="str">
        <f>name!B6</f>
        <v>Food drink and tobacco</v>
      </c>
      <c r="B10" s="30">
        <f t="shared" si="1"/>
        <v>2.4974565282579464</v>
      </c>
      <c r="C10" s="11">
        <v>95.045497362862733</v>
      </c>
      <c r="D10" s="75">
        <v>-5.3306461845042801</v>
      </c>
      <c r="E10" s="75">
        <v>26.590587472903774</v>
      </c>
      <c r="F10" s="75">
        <f t="shared" si="2"/>
        <v>21.259941288399496</v>
      </c>
      <c r="G10" s="75"/>
      <c r="H10" s="30">
        <f t="shared" si="3"/>
        <v>2.284281579929015</v>
      </c>
      <c r="I10" s="75">
        <v>28.557886141186682</v>
      </c>
      <c r="J10" s="75">
        <v>-7.0859124796803128</v>
      </c>
      <c r="K10" s="75">
        <v>7.2365107328119995</v>
      </c>
      <c r="L10" s="75">
        <f t="shared" si="4"/>
        <v>0.15059825313168673</v>
      </c>
      <c r="N10" s="30">
        <f t="shared" si="5"/>
        <v>2.4310099949182096</v>
      </c>
      <c r="O10" s="75">
        <v>47.02342038156808</v>
      </c>
      <c r="P10" s="75">
        <v>2.711005058419897</v>
      </c>
      <c r="Q10" s="75">
        <v>12.766608810353613</v>
      </c>
      <c r="R10" s="75">
        <f t="shared" si="6"/>
        <v>15.47761386877351</v>
      </c>
      <c r="S10" s="88"/>
      <c r="T10" s="30">
        <f t="shared" si="7"/>
        <v>2.9579537866369021</v>
      </c>
      <c r="U10" s="75">
        <v>19.464190840107968</v>
      </c>
      <c r="V10" s="75">
        <v>-0.95573876324386542</v>
      </c>
      <c r="W10" s="75">
        <v>6.5874679297381604</v>
      </c>
      <c r="X10" s="75">
        <f t="shared" si="8"/>
        <v>5.6317291664942948</v>
      </c>
      <c r="Y10" s="72" t="str">
        <f t="shared" si="0"/>
        <v>Food drink and tobacco</v>
      </c>
      <c r="Z10" s="30">
        <f t="shared" si="9"/>
        <v>3.1266976916814349</v>
      </c>
      <c r="AA10" s="11">
        <v>21.34292323603459</v>
      </c>
      <c r="AB10" s="75">
        <v>-5.4147809911053627E-2</v>
      </c>
      <c r="AC10" s="75">
        <v>7.6949639013979727</v>
      </c>
      <c r="AD10" s="75">
        <f t="shared" si="10"/>
        <v>7.6408160914869194</v>
      </c>
      <c r="AE10" s="75"/>
      <c r="AF10" s="30">
        <f t="shared" si="11"/>
        <v>3.009575633743844</v>
      </c>
      <c r="AG10" s="75">
        <v>1.8592043302087065</v>
      </c>
      <c r="AH10" s="75">
        <v>-0.39908371390288427</v>
      </c>
      <c r="AI10" s="75">
        <v>0.64173468922880073</v>
      </c>
      <c r="AJ10" s="75">
        <f t="shared" si="12"/>
        <v>0.24265097532591645</v>
      </c>
      <c r="AL10" s="30">
        <f t="shared" si="13"/>
        <v>3.0478152738149689</v>
      </c>
      <c r="AM10" s="75">
        <v>7.0494146420033079</v>
      </c>
      <c r="AN10" s="75">
        <v>0.77249580975616283</v>
      </c>
      <c r="AO10" s="75">
        <v>2.4684810982893786</v>
      </c>
      <c r="AP10" s="75">
        <f t="shared" si="14"/>
        <v>3.2409769080455413</v>
      </c>
      <c r="AQ10" s="88"/>
      <c r="AR10" s="30">
        <f t="shared" si="15"/>
        <v>3.1885211674371972</v>
      </c>
      <c r="AS10" s="75">
        <v>12.434304263822574</v>
      </c>
      <c r="AT10" s="75">
        <v>-0.42755990576433228</v>
      </c>
      <c r="AU10" s="75">
        <v>4.5847481138797939</v>
      </c>
      <c r="AV10" s="75">
        <f t="shared" si="16"/>
        <v>4.1571882081154614</v>
      </c>
      <c r="AW10" s="72" t="str">
        <f t="shared" si="17"/>
        <v>Food drink and tobacco</v>
      </c>
      <c r="AX10" s="30">
        <f t="shared" si="18"/>
        <v>2.5235241914950635</v>
      </c>
      <c r="AY10" s="11">
        <v>17.336358924907866</v>
      </c>
      <c r="AZ10" s="75">
        <v>-0.12728232767007444</v>
      </c>
      <c r="BA10" s="75">
        <v>4.9066304279196737</v>
      </c>
      <c r="BB10" s="75">
        <f t="shared" si="19"/>
        <v>4.7793481002495994</v>
      </c>
      <c r="BC10" s="75"/>
      <c r="BD10" s="30">
        <f t="shared" si="20"/>
        <v>2.4363702313833224</v>
      </c>
      <c r="BE10" s="75">
        <v>3.9959783673326772</v>
      </c>
      <c r="BF10" s="75">
        <v>-0.83348086360043461</v>
      </c>
      <c r="BG10" s="75">
        <v>1.0875463509002989</v>
      </c>
      <c r="BH10" s="75">
        <f t="shared" si="21"/>
        <v>0.25406548729986433</v>
      </c>
      <c r="BJ10" s="30">
        <f t="shared" si="22"/>
        <v>2.5027216432235821</v>
      </c>
      <c r="BK10" s="75">
        <v>10.073083832716854</v>
      </c>
      <c r="BL10" s="75">
        <v>1.512717786678091</v>
      </c>
      <c r="BM10" s="75">
        <v>2.8247393034036694</v>
      </c>
      <c r="BN10" s="75">
        <f t="shared" si="23"/>
        <v>4.3374570900817604</v>
      </c>
      <c r="BO10" s="88"/>
      <c r="BP10" s="30">
        <f t="shared" si="24"/>
        <v>2.6925252680388922</v>
      </c>
      <c r="BQ10" s="75">
        <v>3.2672967248583333</v>
      </c>
      <c r="BR10" s="75">
        <v>-0.80651925074773079</v>
      </c>
      <c r="BS10" s="75">
        <v>0.9943447736157055</v>
      </c>
      <c r="BT10" s="75">
        <f t="shared" si="25"/>
        <v>0.18782552286797471</v>
      </c>
      <c r="BU10" s="72" t="str">
        <f t="shared" si="26"/>
        <v>Food drink and tobacco</v>
      </c>
      <c r="BV10" s="30">
        <f t="shared" si="27"/>
        <v>2.2441836744385046</v>
      </c>
      <c r="BW10" s="11">
        <v>49.598564072912936</v>
      </c>
      <c r="BX10" s="75">
        <v>-3.6306790931946717</v>
      </c>
      <c r="BY10" s="75">
        <v>12.324896934512662</v>
      </c>
      <c r="BZ10" s="75">
        <f t="shared" si="28"/>
        <v>8.6942178413179896</v>
      </c>
      <c r="CA10" s="75"/>
      <c r="CB10" s="30">
        <f t="shared" si="29"/>
        <v>2.1888664422200721</v>
      </c>
      <c r="CC10" s="75">
        <v>19.525240563492041</v>
      </c>
      <c r="CD10" s="75">
        <v>-4.8301674544914821</v>
      </c>
      <c r="CE10" s="75">
        <v>4.7203188998071877</v>
      </c>
      <c r="CF10" s="75">
        <f t="shared" si="30"/>
        <v>-0.10984855468429444</v>
      </c>
      <c r="CH10" s="30">
        <f t="shared" si="31"/>
        <v>2.2613705769742198</v>
      </c>
      <c r="CI10" s="75">
        <v>26.537310513901321</v>
      </c>
      <c r="CJ10" s="75">
        <v>0.90730570853380754</v>
      </c>
      <c r="CK10" s="75">
        <v>6.6500717395964477</v>
      </c>
      <c r="CL10" s="75">
        <f t="shared" si="32"/>
        <v>7.5573774481302554</v>
      </c>
      <c r="CM10" s="88"/>
      <c r="CN10" s="30">
        <f t="shared" si="33"/>
        <v>2.4184670868230285</v>
      </c>
      <c r="CO10" s="75">
        <v>3.5360129955195734</v>
      </c>
      <c r="CP10" s="75">
        <v>0.29218265276300265</v>
      </c>
      <c r="CQ10" s="75">
        <v>0.95450629510902829</v>
      </c>
      <c r="CR10" s="75">
        <f t="shared" si="34"/>
        <v>1.2466889478720309</v>
      </c>
      <c r="CS10" s="72" t="str">
        <f t="shared" si="35"/>
        <v>Food drink and tobacco</v>
      </c>
      <c r="CT10" s="30">
        <f t="shared" si="36"/>
        <v>2.2228446109720412</v>
      </c>
      <c r="CU10" s="11">
        <v>6.7676511290073389</v>
      </c>
      <c r="CV10" s="75">
        <v>-1.5185369537284803</v>
      </c>
      <c r="CW10" s="75">
        <v>1.6640962090734628</v>
      </c>
      <c r="CX10" s="75">
        <f t="shared" si="37"/>
        <v>0.14555925534498249</v>
      </c>
      <c r="CY10" s="75"/>
      <c r="CZ10" s="30">
        <f t="shared" si="38"/>
        <v>2.2373089799467394</v>
      </c>
      <c r="DA10" s="75">
        <v>3.1774628801532612</v>
      </c>
      <c r="DB10" s="75">
        <v>-1.0231804476855118</v>
      </c>
      <c r="DC10" s="75">
        <v>0.78691079287571253</v>
      </c>
      <c r="DD10" s="75">
        <f t="shared" si="39"/>
        <v>-0.23626965480979922</v>
      </c>
      <c r="DF10" s="30">
        <f t="shared" si="40"/>
        <v>2.2136668085149358</v>
      </c>
      <c r="DG10" s="75">
        <v>3.3636113929465901</v>
      </c>
      <c r="DH10" s="75">
        <v>-0.48151424654816377</v>
      </c>
      <c r="DI10" s="75">
        <v>0.82331666906411805</v>
      </c>
      <c r="DJ10" s="75">
        <f t="shared" si="41"/>
        <v>0.34180242251595427</v>
      </c>
      <c r="DK10" s="88"/>
      <c r="DL10" s="30">
        <f t="shared" si="42"/>
        <v>2.1558658032539757</v>
      </c>
      <c r="DM10" s="75">
        <v>0.22657685590748641</v>
      </c>
      <c r="DN10" s="75">
        <v>-1.3842259494804953E-2</v>
      </c>
      <c r="DO10" s="75">
        <v>5.3868747133632294E-2</v>
      </c>
      <c r="DP10" s="75">
        <f t="shared" si="43"/>
        <v>4.0026487638827338E-2</v>
      </c>
    </row>
    <row r="11" spans="1:120">
      <c r="A11" s="72" t="str">
        <f>name!B7</f>
        <v>Engineering</v>
      </c>
      <c r="B11" s="30">
        <f t="shared" si="1"/>
        <v>2.3974240716110096</v>
      </c>
      <c r="C11" s="11">
        <v>26.682999999999964</v>
      </c>
      <c r="D11" s="75">
        <v>2.1359999999999681</v>
      </c>
      <c r="E11" s="75">
        <v>7.1332131341977885</v>
      </c>
      <c r="F11" s="75">
        <f t="shared" si="2"/>
        <v>9.2692131341977557</v>
      </c>
      <c r="G11" s="75"/>
      <c r="H11" s="30">
        <f t="shared" si="3"/>
        <v>2.1428388473321736</v>
      </c>
      <c r="I11" s="75">
        <v>7.7290127378228242</v>
      </c>
      <c r="J11" s="75">
        <v>-0.85964814638885922</v>
      </c>
      <c r="K11" s="75">
        <v>1.8253838239565419</v>
      </c>
      <c r="L11" s="75">
        <f t="shared" si="4"/>
        <v>0.96573567756768264</v>
      </c>
      <c r="N11" s="30">
        <f t="shared" si="5"/>
        <v>2.2704847424125818</v>
      </c>
      <c r="O11" s="75">
        <v>12.694060205112665</v>
      </c>
      <c r="P11" s="75">
        <v>1.750762648197131</v>
      </c>
      <c r="Q11" s="75">
        <v>3.1952007619921963</v>
      </c>
      <c r="R11" s="75">
        <f t="shared" si="6"/>
        <v>4.9459634101893268</v>
      </c>
      <c r="S11" s="88"/>
      <c r="T11" s="30">
        <f t="shared" si="7"/>
        <v>2.9505987528880562</v>
      </c>
      <c r="U11" s="75">
        <v>6.2599270570644734</v>
      </c>
      <c r="V11" s="75">
        <v>1.2448854981916966</v>
      </c>
      <c r="W11" s="75">
        <v>2.112628548249051</v>
      </c>
      <c r="X11" s="75">
        <f t="shared" si="8"/>
        <v>3.3575140464407474</v>
      </c>
      <c r="Y11" s="72" t="str">
        <f t="shared" si="0"/>
        <v>Engineering</v>
      </c>
      <c r="Z11" s="30">
        <f t="shared" si="9"/>
        <v>2.9893837262348733</v>
      </c>
      <c r="AA11" s="11">
        <v>6.5504971882441936</v>
      </c>
      <c r="AB11" s="75">
        <v>0.7414598842641813</v>
      </c>
      <c r="AC11" s="75">
        <v>2.243753846340574</v>
      </c>
      <c r="AD11" s="75">
        <f t="shared" si="10"/>
        <v>2.9852137306047553</v>
      </c>
      <c r="AE11" s="75"/>
      <c r="AF11" s="30">
        <f t="shared" si="11"/>
        <v>2.6484123810696314</v>
      </c>
      <c r="AG11" s="75">
        <v>0.62605054755772271</v>
      </c>
      <c r="AH11" s="75">
        <v>-4.0708044204614172E-2</v>
      </c>
      <c r="AI11" s="75">
        <v>0.18702662236296508</v>
      </c>
      <c r="AJ11" s="75">
        <f t="shared" si="12"/>
        <v>0.14631857815835092</v>
      </c>
      <c r="AL11" s="30">
        <f t="shared" si="13"/>
        <v>2.8200029669356086</v>
      </c>
      <c r="AM11" s="75">
        <v>1.9725323922654858</v>
      </c>
      <c r="AN11" s="75">
        <v>5.7186726837409781E-2</v>
      </c>
      <c r="AO11" s="75">
        <v>0.63242284192617815</v>
      </c>
      <c r="AP11" s="75">
        <f t="shared" si="14"/>
        <v>0.68960956876358792</v>
      </c>
      <c r="AQ11" s="88"/>
      <c r="AR11" s="30">
        <f t="shared" si="15"/>
        <v>3.1257074628290971</v>
      </c>
      <c r="AS11" s="75">
        <v>3.9519142484209846</v>
      </c>
      <c r="AT11" s="75">
        <v>0.72498120163138557</v>
      </c>
      <c r="AU11" s="75">
        <v>1.4243043820514307</v>
      </c>
      <c r="AV11" s="75">
        <f t="shared" si="16"/>
        <v>2.1492855836828162</v>
      </c>
      <c r="AW11" s="72" t="str">
        <f t="shared" si="17"/>
        <v>Engineering</v>
      </c>
      <c r="AX11" s="30">
        <f t="shared" si="18"/>
        <v>2.6610076636430335</v>
      </c>
      <c r="AY11" s="11">
        <v>3.2443503982662985</v>
      </c>
      <c r="AZ11" s="75">
        <v>0.14772454699359541</v>
      </c>
      <c r="BA11" s="75">
        <v>0.97439173559588765</v>
      </c>
      <c r="BB11" s="75">
        <f t="shared" si="19"/>
        <v>1.122116282589483</v>
      </c>
      <c r="BC11" s="75"/>
      <c r="BD11" s="30">
        <f t="shared" si="20"/>
        <v>2.5177966298219889</v>
      </c>
      <c r="BE11" s="75">
        <v>0.76061810370622518</v>
      </c>
      <c r="BF11" s="75">
        <v>-8.6613615501482388E-2</v>
      </c>
      <c r="BG11" s="75">
        <v>0.21472921204151713</v>
      </c>
      <c r="BH11" s="75">
        <f t="shared" si="21"/>
        <v>0.12811559654003474</v>
      </c>
      <c r="BJ11" s="30">
        <f t="shared" si="22"/>
        <v>2.6414518363808703</v>
      </c>
      <c r="BK11" s="75">
        <v>1.3612202522776553</v>
      </c>
      <c r="BL11" s="75">
        <v>-9.1457270541903425E-3</v>
      </c>
      <c r="BM11" s="75">
        <v>0.40545313032121294</v>
      </c>
      <c r="BN11" s="75">
        <f t="shared" si="23"/>
        <v>0.39630740326702257</v>
      </c>
      <c r="BO11" s="88"/>
      <c r="BP11" s="30">
        <f t="shared" si="24"/>
        <v>2.7805073211446985</v>
      </c>
      <c r="BQ11" s="75">
        <v>1.122512042282418</v>
      </c>
      <c r="BR11" s="75">
        <v>0.24348388954926817</v>
      </c>
      <c r="BS11" s="75">
        <v>0.35420939323315764</v>
      </c>
      <c r="BT11" s="75">
        <f t="shared" si="25"/>
        <v>0.59769328278242584</v>
      </c>
      <c r="BU11" s="72" t="str">
        <f t="shared" si="26"/>
        <v>Engineering</v>
      </c>
      <c r="BV11" s="30">
        <f t="shared" si="27"/>
        <v>2.0986442989320508</v>
      </c>
      <c r="BW11" s="11">
        <v>15.307841962071205</v>
      </c>
      <c r="BX11" s="75">
        <v>0.41022057712335003</v>
      </c>
      <c r="BY11" s="75">
        <v>3.5335820893340286</v>
      </c>
      <c r="BZ11" s="75">
        <f t="shared" si="28"/>
        <v>3.9438026664573789</v>
      </c>
      <c r="CA11" s="75"/>
      <c r="CB11" s="30">
        <f t="shared" si="29"/>
        <v>2.0210770566263747</v>
      </c>
      <c r="CC11" s="75">
        <v>5.8033468392667986</v>
      </c>
      <c r="CD11" s="75">
        <v>-0.34664652297871712</v>
      </c>
      <c r="CE11" s="75">
        <v>1.2855322454287512</v>
      </c>
      <c r="CF11" s="75">
        <f t="shared" si="30"/>
        <v>0.9388857224500341</v>
      </c>
      <c r="CH11" s="30">
        <f t="shared" si="31"/>
        <v>2.0955416811876404</v>
      </c>
      <c r="CI11" s="75">
        <v>8.3881190579667813</v>
      </c>
      <c r="CJ11" s="75">
        <v>0.46878350843430538</v>
      </c>
      <c r="CK11" s="75">
        <v>1.9331324937867693</v>
      </c>
      <c r="CL11" s="75">
        <f t="shared" si="32"/>
        <v>2.4019160022210748</v>
      </c>
      <c r="CM11" s="88"/>
      <c r="CN11" s="30">
        <f t="shared" si="33"/>
        <v>2.5160385347847258</v>
      </c>
      <c r="CO11" s="75">
        <v>1.1163760648376253</v>
      </c>
      <c r="CP11" s="75">
        <v>0.28808359166776182</v>
      </c>
      <c r="CQ11" s="75">
        <v>0.31491735011850813</v>
      </c>
      <c r="CR11" s="75">
        <f t="shared" si="34"/>
        <v>0.60300094178626995</v>
      </c>
      <c r="CS11" s="72" t="str">
        <f t="shared" si="35"/>
        <v>Engineering</v>
      </c>
      <c r="CT11" s="30">
        <f t="shared" si="36"/>
        <v>2.1859392974191483</v>
      </c>
      <c r="CU11" s="11">
        <v>1.5803104514182647</v>
      </c>
      <c r="CV11" s="75">
        <v>0.83659499161884154</v>
      </c>
      <c r="CW11" s="75">
        <v>0.38148546292729896</v>
      </c>
      <c r="CX11" s="75">
        <f t="shared" si="37"/>
        <v>1.2180804545461406</v>
      </c>
      <c r="CY11" s="75"/>
      <c r="CZ11" s="30">
        <f t="shared" si="38"/>
        <v>2.307194889511166</v>
      </c>
      <c r="DA11" s="75">
        <v>0.53899724729207821</v>
      </c>
      <c r="DB11" s="75">
        <v>-0.3856799637040455</v>
      </c>
      <c r="DC11" s="75">
        <v>0.13809574412330866</v>
      </c>
      <c r="DD11" s="75">
        <f t="shared" si="39"/>
        <v>-0.24758421958073684</v>
      </c>
      <c r="DF11" s="30">
        <f t="shared" si="40"/>
        <v>2.0967447677556317</v>
      </c>
      <c r="DG11" s="75">
        <v>0.97218850260274148</v>
      </c>
      <c r="DH11" s="75">
        <v>1.2339381399796061</v>
      </c>
      <c r="DI11" s="75">
        <v>0.22419229595803594</v>
      </c>
      <c r="DJ11" s="75">
        <f t="shared" si="41"/>
        <v>1.4581304359376421</v>
      </c>
      <c r="DK11" s="88"/>
      <c r="DL11" s="30">
        <f t="shared" si="42"/>
        <v>2.4810635165479544</v>
      </c>
      <c r="DM11" s="75">
        <v>6.9124701523444784E-2</v>
      </c>
      <c r="DN11" s="75">
        <v>-1.1663184656719028E-2</v>
      </c>
      <c r="DO11" s="75">
        <v>1.9197422845954378E-2</v>
      </c>
      <c r="DP11" s="75">
        <f t="shared" si="43"/>
        <v>7.53423818923535E-3</v>
      </c>
    </row>
    <row r="12" spans="1:120">
      <c r="A12" s="72" t="str">
        <f>name!B8</f>
        <v>Rest of manufacturing</v>
      </c>
      <c r="B12" s="30">
        <f t="shared" si="1"/>
        <v>2.6164350010096316</v>
      </c>
      <c r="C12" s="11">
        <v>42.15199999999993</v>
      </c>
      <c r="D12" s="75">
        <v>-3.3299999999999712</v>
      </c>
      <c r="E12" s="75">
        <v>12.422204390941479</v>
      </c>
      <c r="F12" s="75">
        <f t="shared" si="2"/>
        <v>9.0922043909415073</v>
      </c>
      <c r="G12" s="75"/>
      <c r="H12" s="30">
        <f t="shared" si="3"/>
        <v>2.4469808961299799</v>
      </c>
      <c r="I12" s="75">
        <v>9.6089439679508644</v>
      </c>
      <c r="J12" s="75">
        <v>-2.1975561779706503</v>
      </c>
      <c r="K12" s="75">
        <v>2.6278403106316235</v>
      </c>
      <c r="L12" s="75">
        <f t="shared" si="4"/>
        <v>0.43028413266097321</v>
      </c>
      <c r="N12" s="30">
        <f t="shared" si="5"/>
        <v>2.5333579555699037</v>
      </c>
      <c r="O12" s="75">
        <v>22.575808590792999</v>
      </c>
      <c r="P12" s="75">
        <v>-0.95500589125711122</v>
      </c>
      <c r="Q12" s="75">
        <v>6.4173226387381153</v>
      </c>
      <c r="R12" s="75">
        <f t="shared" si="6"/>
        <v>5.4623167474810037</v>
      </c>
      <c r="S12" s="88"/>
      <c r="T12" s="30">
        <f t="shared" si="7"/>
        <v>2.9608263556274439</v>
      </c>
      <c r="U12" s="75">
        <v>9.9672474412560668</v>
      </c>
      <c r="V12" s="75">
        <v>-0.17743793077220946</v>
      </c>
      <c r="W12" s="75">
        <v>3.3770414415717394</v>
      </c>
      <c r="X12" s="75">
        <f t="shared" si="8"/>
        <v>3.19960351079953</v>
      </c>
      <c r="Y12" s="72" t="str">
        <f t="shared" si="0"/>
        <v>Rest of manufacturing</v>
      </c>
      <c r="Z12" s="30">
        <f t="shared" si="9"/>
        <v>2.9763942733826543</v>
      </c>
      <c r="AA12" s="11">
        <v>10.498945664126412</v>
      </c>
      <c r="AB12" s="75">
        <v>0.34529888283838883</v>
      </c>
      <c r="AC12" s="75">
        <v>3.5784558313106598</v>
      </c>
      <c r="AD12" s="75">
        <f t="shared" si="10"/>
        <v>3.9237547141490485</v>
      </c>
      <c r="AE12" s="75"/>
      <c r="AF12" s="30">
        <f t="shared" si="11"/>
        <v>2.7040649618628176</v>
      </c>
      <c r="AG12" s="75">
        <v>0.75816764967198691</v>
      </c>
      <c r="AH12" s="75">
        <v>-0.14426412804349217</v>
      </c>
      <c r="AI12" s="75">
        <v>0.23184690614128767</v>
      </c>
      <c r="AJ12" s="75">
        <f t="shared" si="12"/>
        <v>8.7582778097795494E-2</v>
      </c>
      <c r="AL12" s="30">
        <f t="shared" si="13"/>
        <v>2.8324908960291717</v>
      </c>
      <c r="AM12" s="75">
        <v>3.7458067354035878</v>
      </c>
      <c r="AN12" s="75">
        <v>-2.1430511128079324E-2</v>
      </c>
      <c r="AO12" s="75">
        <v>1.2069719734322446</v>
      </c>
      <c r="AP12" s="75">
        <f t="shared" si="14"/>
        <v>1.1855414623041653</v>
      </c>
      <c r="AQ12" s="88"/>
      <c r="AR12" s="30">
        <f t="shared" si="15"/>
        <v>3.0991188393576063</v>
      </c>
      <c r="AS12" s="75">
        <v>5.9949712790508363</v>
      </c>
      <c r="AT12" s="75">
        <v>0.51099352200996029</v>
      </c>
      <c r="AU12" s="75">
        <v>2.1396369517371276</v>
      </c>
      <c r="AV12" s="75">
        <f t="shared" si="16"/>
        <v>2.6506304737470878</v>
      </c>
      <c r="AW12" s="72" t="str">
        <f t="shared" si="17"/>
        <v>Rest of manufacturing</v>
      </c>
      <c r="AX12" s="30">
        <f t="shared" si="18"/>
        <v>2.667464938337738</v>
      </c>
      <c r="AY12" s="11">
        <v>4.3775371772570599</v>
      </c>
      <c r="AZ12" s="75">
        <v>-1.2645538867862174</v>
      </c>
      <c r="BA12" s="75">
        <v>1.3183086935944921</v>
      </c>
      <c r="BB12" s="75">
        <f t="shared" si="19"/>
        <v>5.3754806808274713E-2</v>
      </c>
      <c r="BC12" s="75"/>
      <c r="BD12" s="30">
        <f t="shared" si="20"/>
        <v>2.5806373974742502</v>
      </c>
      <c r="BE12" s="75">
        <v>0.50445012564800362</v>
      </c>
      <c r="BF12" s="75">
        <v>-0.13667993756951582</v>
      </c>
      <c r="BG12" s="75">
        <v>0.14638677364194702</v>
      </c>
      <c r="BH12" s="75">
        <f t="shared" si="21"/>
        <v>9.7068360724311964E-3</v>
      </c>
      <c r="BJ12" s="30">
        <f t="shared" si="22"/>
        <v>2.6049115123564892</v>
      </c>
      <c r="BK12" s="75">
        <v>2.2466979729709307</v>
      </c>
      <c r="BL12" s="75">
        <v>-0.58280055442252565</v>
      </c>
      <c r="BM12" s="75">
        <v>0.65883758800710124</v>
      </c>
      <c r="BN12" s="75">
        <f t="shared" si="23"/>
        <v>7.6037033584575586E-2</v>
      </c>
      <c r="BO12" s="88"/>
      <c r="BP12" s="30">
        <f t="shared" si="24"/>
        <v>2.779912687566588</v>
      </c>
      <c r="BQ12" s="75">
        <v>1.6263890786381248</v>
      </c>
      <c r="BR12" s="75">
        <v>-0.54507339479417605</v>
      </c>
      <c r="BS12" s="75">
        <v>0.51308433194544378</v>
      </c>
      <c r="BT12" s="75">
        <f t="shared" si="25"/>
        <v>-3.1989062848732264E-2</v>
      </c>
      <c r="BU12" s="72" t="str">
        <f t="shared" si="26"/>
        <v>Rest of manufacturing</v>
      </c>
      <c r="BV12" s="30">
        <f t="shared" si="27"/>
        <v>2.4731834060013336</v>
      </c>
      <c r="BW12" s="11">
        <v>26.112763020344723</v>
      </c>
      <c r="BX12" s="75">
        <v>-1.8174984546461121</v>
      </c>
      <c r="BY12" s="75">
        <v>7.2264319158956178</v>
      </c>
      <c r="BZ12" s="75">
        <f t="shared" si="28"/>
        <v>5.4089334612495055</v>
      </c>
      <c r="CA12" s="75"/>
      <c r="CB12" s="30">
        <f t="shared" si="29"/>
        <v>2.4168124747555364</v>
      </c>
      <c r="CC12" s="75">
        <v>7.7759473470029352</v>
      </c>
      <c r="CD12" s="75">
        <v>-1.7158164744931881</v>
      </c>
      <c r="CE12" s="75">
        <v>2.0974328886080462</v>
      </c>
      <c r="CF12" s="75">
        <f t="shared" si="30"/>
        <v>0.38161641411485814</v>
      </c>
      <c r="CH12" s="30">
        <f t="shared" si="31"/>
        <v>2.4638206980051702</v>
      </c>
      <c r="CI12" s="75">
        <v>16.01397145403611</v>
      </c>
      <c r="CJ12" s="75">
        <v>5.414488253187176E-2</v>
      </c>
      <c r="CK12" s="75">
        <v>4.4130248025048795</v>
      </c>
      <c r="CL12" s="75">
        <f t="shared" si="32"/>
        <v>4.467169685036751</v>
      </c>
      <c r="CM12" s="88"/>
      <c r="CN12" s="30">
        <f t="shared" si="33"/>
        <v>2.7231827177615964</v>
      </c>
      <c r="CO12" s="75">
        <v>2.3228442193056784</v>
      </c>
      <c r="CP12" s="75">
        <v>-0.15582686268479601</v>
      </c>
      <c r="CQ12" s="75">
        <v>0.71597422478269179</v>
      </c>
      <c r="CR12" s="75">
        <f t="shared" si="34"/>
        <v>0.56014736209789584</v>
      </c>
      <c r="CS12" s="72" t="str">
        <f t="shared" si="35"/>
        <v>Rest of manufacturing</v>
      </c>
      <c r="CT12" s="30">
        <f t="shared" si="36"/>
        <v>2.3148990339762587</v>
      </c>
      <c r="CU12" s="11">
        <v>1.1627541382717359</v>
      </c>
      <c r="CV12" s="75">
        <v>-0.59324654140603028</v>
      </c>
      <c r="CW12" s="75">
        <v>0.2990079501407093</v>
      </c>
      <c r="CX12" s="75">
        <f t="shared" si="37"/>
        <v>-0.29423859126532098</v>
      </c>
      <c r="CY12" s="75"/>
      <c r="CZ12" s="30">
        <f t="shared" si="38"/>
        <v>2.3930795875785948</v>
      </c>
      <c r="DA12" s="75">
        <v>0.57037884562794017</v>
      </c>
      <c r="DB12" s="75">
        <v>-0.20079563786445448</v>
      </c>
      <c r="DC12" s="75">
        <v>0.15217374224034305</v>
      </c>
      <c r="DD12" s="75">
        <f t="shared" si="39"/>
        <v>-4.8621895624111428E-2</v>
      </c>
      <c r="DF12" s="30">
        <f t="shared" si="40"/>
        <v>2.201138550303483</v>
      </c>
      <c r="DG12" s="75">
        <v>0.56933242838237019</v>
      </c>
      <c r="DH12" s="75">
        <v>-0.40491970823837808</v>
      </c>
      <c r="DI12" s="75">
        <v>0.13848827479389025</v>
      </c>
      <c r="DJ12" s="75">
        <f t="shared" si="41"/>
        <v>-0.26643143344448783</v>
      </c>
      <c r="DK12" s="88"/>
      <c r="DL12" s="30">
        <f t="shared" si="42"/>
        <v>3.1392149650770529</v>
      </c>
      <c r="DM12" s="75">
        <v>2.3042864261425509E-2</v>
      </c>
      <c r="DN12" s="75">
        <v>1.2468804696802241E-2</v>
      </c>
      <c r="DO12" s="75">
        <v>8.3459331064760084E-3</v>
      </c>
      <c r="DP12" s="75">
        <f t="shared" si="43"/>
        <v>2.0814737803278249E-2</v>
      </c>
    </row>
    <row r="13" spans="1:120">
      <c r="A13" s="72" t="str">
        <f>name!B9</f>
        <v>Electricity and gas</v>
      </c>
      <c r="B13" s="30">
        <f t="shared" si="1"/>
        <v>2.751547529508569</v>
      </c>
      <c r="C13" s="11">
        <v>5.0589999999999913</v>
      </c>
      <c r="D13" s="75">
        <v>2.0489999999999946</v>
      </c>
      <c r="E13" s="75">
        <v>1.5776420433154477</v>
      </c>
      <c r="F13" s="75">
        <f t="shared" si="2"/>
        <v>3.6266420433154423</v>
      </c>
      <c r="G13" s="75"/>
      <c r="H13" s="30">
        <f t="shared" si="3"/>
        <v>2.5733600826927994</v>
      </c>
      <c r="I13" s="75">
        <v>0.31361419735656709</v>
      </c>
      <c r="J13" s="75">
        <v>7.8773033073184756E-2</v>
      </c>
      <c r="K13" s="75">
        <v>9.0720990468516644E-2</v>
      </c>
      <c r="L13" s="75">
        <f t="shared" si="4"/>
        <v>0.1694940235417014</v>
      </c>
      <c r="N13" s="30">
        <f t="shared" si="5"/>
        <v>2.5323926518590278</v>
      </c>
      <c r="O13" s="75">
        <v>1.1279969424904663</v>
      </c>
      <c r="P13" s="75">
        <v>0.17361487914005555</v>
      </c>
      <c r="Q13" s="75">
        <v>0.32050420132079388</v>
      </c>
      <c r="R13" s="75">
        <f t="shared" si="6"/>
        <v>0.4941190804608494</v>
      </c>
      <c r="S13" s="88"/>
      <c r="T13" s="30">
        <f t="shared" si="7"/>
        <v>2.8342615174113073</v>
      </c>
      <c r="U13" s="75">
        <v>3.6173888601529574</v>
      </c>
      <c r="V13" s="75">
        <v>1.7966120877867537</v>
      </c>
      <c r="W13" s="75">
        <v>1.1664168515261377</v>
      </c>
      <c r="X13" s="75">
        <f t="shared" si="8"/>
        <v>2.9630289393128915</v>
      </c>
      <c r="Y13" s="72" t="str">
        <f t="shared" si="0"/>
        <v>Electricity and gas</v>
      </c>
      <c r="Z13" s="30">
        <f t="shared" si="9"/>
        <v>2.8458192992028453</v>
      </c>
      <c r="AA13" s="11">
        <v>3.4150679378844369</v>
      </c>
      <c r="AB13" s="75">
        <v>1.4840300025780557</v>
      </c>
      <c r="AC13" s="75">
        <v>1.1062575228637768</v>
      </c>
      <c r="AD13" s="75">
        <f t="shared" si="10"/>
        <v>2.5902875254418323</v>
      </c>
      <c r="AE13" s="75"/>
      <c r="AF13" s="30">
        <f t="shared" si="11"/>
        <v>2.7430555154363878</v>
      </c>
      <c r="AG13" s="75">
        <v>0.11612647673624334</v>
      </c>
      <c r="AH13" s="75">
        <v>0.11035323287716786</v>
      </c>
      <c r="AI13" s="75">
        <v>3.6088022100809053E-2</v>
      </c>
      <c r="AJ13" s="75">
        <f t="shared" si="12"/>
        <v>0.14644125497797691</v>
      </c>
      <c r="AL13" s="30">
        <f t="shared" si="13"/>
        <v>2.6040221070196878</v>
      </c>
      <c r="AM13" s="75">
        <v>0.78807550212350175</v>
      </c>
      <c r="AN13" s="75">
        <v>0.1640515512066609</v>
      </c>
      <c r="AO13" s="75">
        <v>0.23101248718210923</v>
      </c>
      <c r="AP13" s="75">
        <f t="shared" si="14"/>
        <v>0.39506403838877013</v>
      </c>
      <c r="AQ13" s="88"/>
      <c r="AR13" s="30">
        <f t="shared" si="15"/>
        <v>2.9253673336995467</v>
      </c>
      <c r="AS13" s="75">
        <v>2.510865959024692</v>
      </c>
      <c r="AT13" s="75">
        <v>1.2096252184942269</v>
      </c>
      <c r="AU13" s="75">
        <v>0.83915701358085859</v>
      </c>
      <c r="AV13" s="75">
        <f t="shared" si="16"/>
        <v>2.0487822320750855</v>
      </c>
      <c r="AW13" s="72" t="str">
        <f t="shared" si="17"/>
        <v>Electricity and gas</v>
      </c>
      <c r="AX13" s="30">
        <f t="shared" si="18"/>
        <v>2.7527088286745105</v>
      </c>
      <c r="AY13" s="11">
        <v>0.957602688269793</v>
      </c>
      <c r="AZ13" s="75">
        <v>0.25026458116444267</v>
      </c>
      <c r="BA13" s="75">
        <v>0.29876903958455009</v>
      </c>
      <c r="BB13" s="75">
        <f t="shared" si="19"/>
        <v>0.54903362074899276</v>
      </c>
      <c r="BC13" s="75"/>
      <c r="BD13" s="30">
        <f t="shared" si="20"/>
        <v>2.6027440742423469</v>
      </c>
      <c r="BE13" s="75">
        <v>6.6675648433861312E-2</v>
      </c>
      <c r="BF13" s="75">
        <v>1.2223965695389253E-2</v>
      </c>
      <c r="BG13" s="75">
        <v>1.953422506429308E-2</v>
      </c>
      <c r="BH13" s="75">
        <f t="shared" si="21"/>
        <v>3.1758190759682337E-2</v>
      </c>
      <c r="BJ13" s="30">
        <f t="shared" si="22"/>
        <v>2.595302754086215</v>
      </c>
      <c r="BK13" s="75">
        <v>0.10025366029317774</v>
      </c>
      <c r="BL13" s="75">
        <v>-4.2143802914000279E-2</v>
      </c>
      <c r="BM13" s="75">
        <v>2.9277725477586596E-2</v>
      </c>
      <c r="BN13" s="75">
        <f t="shared" si="23"/>
        <v>-1.2866077436413683E-2</v>
      </c>
      <c r="BO13" s="88"/>
      <c r="BP13" s="30">
        <f t="shared" si="24"/>
        <v>2.7850477621075731</v>
      </c>
      <c r="BQ13" s="75">
        <v>0.79067337954275396</v>
      </c>
      <c r="BR13" s="75">
        <v>0.28018441838305369</v>
      </c>
      <c r="BS13" s="75">
        <v>0.24995708904267042</v>
      </c>
      <c r="BT13" s="75">
        <f t="shared" si="25"/>
        <v>0.53014150742572408</v>
      </c>
      <c r="BU13" s="72" t="str">
        <f t="shared" si="26"/>
        <v>Electricity and gas</v>
      </c>
      <c r="BV13" s="30">
        <f t="shared" si="27"/>
        <v>2.30166568848158</v>
      </c>
      <c r="BW13" s="11">
        <v>0.58372112403374876</v>
      </c>
      <c r="BX13" s="75">
        <v>0.29400518186205293</v>
      </c>
      <c r="BY13" s="75">
        <v>0.14915818412575702</v>
      </c>
      <c r="BZ13" s="75">
        <f t="shared" si="28"/>
        <v>0.44316336598780992</v>
      </c>
      <c r="CA13" s="75"/>
      <c r="CB13" s="30">
        <f t="shared" si="29"/>
        <v>2.5209593858770862</v>
      </c>
      <c r="CC13" s="75">
        <v>7.9538399802440748E-2</v>
      </c>
      <c r="CD13" s="75">
        <v>-3.8996824091237468E-2</v>
      </c>
      <c r="CE13" s="75">
        <v>2.2485863083774052E-2</v>
      </c>
      <c r="CF13" s="75">
        <f t="shared" si="30"/>
        <v>-1.6510961007463416E-2</v>
      </c>
      <c r="CH13" s="30">
        <f t="shared" si="31"/>
        <v>2.2948013168675008</v>
      </c>
      <c r="CI13" s="75">
        <v>0.22333516849225249</v>
      </c>
      <c r="CJ13" s="75">
        <v>4.7374479843118752E-2</v>
      </c>
      <c r="CK13" s="75">
        <v>5.6880714680897067E-2</v>
      </c>
      <c r="CL13" s="75">
        <f t="shared" si="32"/>
        <v>0.10425519452401583</v>
      </c>
      <c r="CM13" s="88"/>
      <c r="CN13" s="30">
        <f t="shared" si="33"/>
        <v>2.2442696745849977</v>
      </c>
      <c r="CO13" s="75">
        <v>0.28084755573905562</v>
      </c>
      <c r="CP13" s="75">
        <v>0.28562752611017167</v>
      </c>
      <c r="CQ13" s="75">
        <v>6.9791606361085889E-2</v>
      </c>
      <c r="CR13" s="75">
        <f t="shared" si="34"/>
        <v>0.35541913247125756</v>
      </c>
      <c r="CS13" s="72" t="str">
        <f t="shared" si="35"/>
        <v>Electricity and gas</v>
      </c>
      <c r="CT13" s="30">
        <f t="shared" si="36"/>
        <v>2.0801766936642485</v>
      </c>
      <c r="CU13" s="11">
        <v>0.10260824981201205</v>
      </c>
      <c r="CV13" s="75">
        <v>2.0700234395443017E-2</v>
      </c>
      <c r="CW13" s="75">
        <v>2.3457296741363907E-2</v>
      </c>
      <c r="CX13" s="75">
        <f t="shared" si="37"/>
        <v>4.4157531136806927E-2</v>
      </c>
      <c r="CY13" s="75"/>
      <c r="CZ13" s="30">
        <f t="shared" si="38"/>
        <v>2.2236780417191238</v>
      </c>
      <c r="DA13" s="75">
        <v>5.1273672384021723E-2</v>
      </c>
      <c r="DB13" s="75">
        <v>-4.8073414081348711E-3</v>
      </c>
      <c r="DC13" s="75">
        <v>1.2612880219640452E-2</v>
      </c>
      <c r="DD13" s="75">
        <f t="shared" si="39"/>
        <v>7.8055388115055805E-3</v>
      </c>
      <c r="DF13" s="30">
        <f t="shared" si="40"/>
        <v>1.8745697006633089</v>
      </c>
      <c r="DG13" s="75">
        <v>1.6332611581534422E-2</v>
      </c>
      <c r="DH13" s="75">
        <v>4.3326510042762225E-3</v>
      </c>
      <c r="DI13" s="75">
        <v>3.3332739802009429E-3</v>
      </c>
      <c r="DJ13" s="75">
        <f t="shared" si="41"/>
        <v>7.6659249844771658E-3</v>
      </c>
      <c r="DK13" s="88"/>
      <c r="DL13" s="30">
        <f t="shared" si="42"/>
        <v>1.9631026785993377</v>
      </c>
      <c r="DM13" s="75">
        <v>3.5001965846455901E-2</v>
      </c>
      <c r="DN13" s="75">
        <v>2.1174924799301664E-2</v>
      </c>
      <c r="DO13" s="75">
        <v>7.5111425415225128E-3</v>
      </c>
      <c r="DP13" s="75">
        <f t="shared" si="43"/>
        <v>2.8686067340824177E-2</v>
      </c>
    </row>
    <row r="14" spans="1:120">
      <c r="A14" s="72" t="str">
        <f>name!B10</f>
        <v>Water and sewerage</v>
      </c>
      <c r="B14" s="30">
        <f t="shared" si="1"/>
        <v>2.6630267727114409</v>
      </c>
      <c r="C14" s="11">
        <v>34.689999999999941</v>
      </c>
      <c r="D14" s="75">
        <v>3.4039999999999937</v>
      </c>
      <c r="E14" s="75">
        <v>10.427491197200341</v>
      </c>
      <c r="F14" s="75">
        <f t="shared" si="2"/>
        <v>13.831491197200336</v>
      </c>
      <c r="G14" s="75"/>
      <c r="H14" s="30">
        <f t="shared" si="3"/>
        <v>2.3746340922261355</v>
      </c>
      <c r="I14" s="75">
        <v>2.9582746497764263</v>
      </c>
      <c r="J14" s="75">
        <v>-1.2426718264022578</v>
      </c>
      <c r="K14" s="75">
        <v>0.78250491573356684</v>
      </c>
      <c r="L14" s="75">
        <f t="shared" si="4"/>
        <v>-0.46016691066869098</v>
      </c>
      <c r="N14" s="30">
        <f t="shared" si="5"/>
        <v>2.45146859998846</v>
      </c>
      <c r="O14" s="75">
        <v>15.931406757331569</v>
      </c>
      <c r="P14" s="75">
        <v>2.6141692288467828</v>
      </c>
      <c r="Q14" s="75">
        <v>4.3657875010183442</v>
      </c>
      <c r="R14" s="75">
        <f t="shared" si="6"/>
        <v>6.9799567298651271</v>
      </c>
      <c r="S14" s="88"/>
      <c r="T14" s="30">
        <f t="shared" si="7"/>
        <v>2.9246696914869474</v>
      </c>
      <c r="U14" s="75">
        <v>15.800318592891939</v>
      </c>
      <c r="V14" s="75">
        <v>2.0325025975554691</v>
      </c>
      <c r="W14" s="75">
        <v>5.2791987804484268</v>
      </c>
      <c r="X14" s="75">
        <f t="shared" si="8"/>
        <v>7.311701378003896</v>
      </c>
      <c r="Y14" s="72" t="str">
        <f t="shared" si="0"/>
        <v>Water and sewerage</v>
      </c>
      <c r="Z14" s="30">
        <f t="shared" si="9"/>
        <v>2.8935452968317898</v>
      </c>
      <c r="AA14" s="11">
        <v>20.179018387941738</v>
      </c>
      <c r="AB14" s="75">
        <v>3.7043393079638052</v>
      </c>
      <c r="AC14" s="75">
        <v>6.6609099076503337</v>
      </c>
      <c r="AD14" s="75">
        <f t="shared" si="10"/>
        <v>10.365249215614138</v>
      </c>
      <c r="AE14" s="75"/>
      <c r="AF14" s="30">
        <f t="shared" si="11"/>
        <v>2.7725711511966233</v>
      </c>
      <c r="AG14" s="75">
        <v>0.72465647374450293</v>
      </c>
      <c r="AH14" s="75">
        <v>-0.21196589918901296</v>
      </c>
      <c r="AI14" s="75">
        <v>0.227929964406863</v>
      </c>
      <c r="AJ14" s="75">
        <f t="shared" si="12"/>
        <v>1.5964065217850043E-2</v>
      </c>
      <c r="AL14" s="30">
        <f t="shared" si="13"/>
        <v>2.6836776039042443</v>
      </c>
      <c r="AM14" s="75">
        <v>7.1689586080821419</v>
      </c>
      <c r="AN14" s="75">
        <v>1.9626686993660245</v>
      </c>
      <c r="AO14" s="75">
        <v>2.1736943685039085</v>
      </c>
      <c r="AP14" s="75">
        <f t="shared" si="14"/>
        <v>4.136363067869933</v>
      </c>
      <c r="AQ14" s="88"/>
      <c r="AR14" s="30">
        <f t="shared" si="15"/>
        <v>3.0212745785094253</v>
      </c>
      <c r="AS14" s="75">
        <v>12.285403306115091</v>
      </c>
      <c r="AT14" s="75">
        <v>1.9536365077867941</v>
      </c>
      <c r="AU14" s="75">
        <v>4.2592855747395628</v>
      </c>
      <c r="AV14" s="75">
        <f t="shared" si="16"/>
        <v>6.2129220825263571</v>
      </c>
      <c r="AW14" s="72" t="str">
        <f t="shared" si="17"/>
        <v>Water and sewerage</v>
      </c>
      <c r="AX14" s="30">
        <f t="shared" si="18"/>
        <v>2.6934634376716282</v>
      </c>
      <c r="AY14" s="11">
        <v>3.8772019161776843</v>
      </c>
      <c r="AZ14" s="75">
        <v>-0.76962711358062519</v>
      </c>
      <c r="BA14" s="75">
        <v>1.1804208080754564</v>
      </c>
      <c r="BB14" s="75">
        <f t="shared" si="19"/>
        <v>0.41079369449483116</v>
      </c>
      <c r="BC14" s="75"/>
      <c r="BD14" s="30">
        <f t="shared" si="20"/>
        <v>2.5916879181504093</v>
      </c>
      <c r="BE14" s="75">
        <v>0.39518397605304539</v>
      </c>
      <c r="BF14" s="75">
        <v>-0.11728323585066727</v>
      </c>
      <c r="BG14" s="75">
        <v>0.11522826186981429</v>
      </c>
      <c r="BH14" s="75">
        <f t="shared" si="21"/>
        <v>-2.0549739808529838E-3</v>
      </c>
      <c r="BJ14" s="30">
        <f t="shared" si="22"/>
        <v>2.6108631762737033</v>
      </c>
      <c r="BK14" s="75">
        <v>1.6388021332720251</v>
      </c>
      <c r="BL14" s="75">
        <v>-0.45140915346675231</v>
      </c>
      <c r="BM14" s="75">
        <v>0.48180359544498619</v>
      </c>
      <c r="BN14" s="75">
        <f t="shared" si="23"/>
        <v>3.0394441978233877E-2</v>
      </c>
      <c r="BO14" s="88"/>
      <c r="BP14" s="30">
        <f t="shared" si="24"/>
        <v>2.7879692353027563</v>
      </c>
      <c r="BQ14" s="75">
        <v>1.8432158068526141</v>
      </c>
      <c r="BR14" s="75">
        <v>-0.20093472426320558</v>
      </c>
      <c r="BS14" s="75">
        <v>0.58338895076065578</v>
      </c>
      <c r="BT14" s="75">
        <f t="shared" si="25"/>
        <v>0.3824542264974502</v>
      </c>
      <c r="BU14" s="72" t="str">
        <f t="shared" si="26"/>
        <v>Water and sewerage</v>
      </c>
      <c r="BV14" s="30">
        <f t="shared" si="27"/>
        <v>2.1639959971873068</v>
      </c>
      <c r="BW14" s="11">
        <v>9.217599475239167</v>
      </c>
      <c r="BX14" s="75">
        <v>0.61442646269312895</v>
      </c>
      <c r="BY14" s="75">
        <v>2.2005716372862962</v>
      </c>
      <c r="BZ14" s="75">
        <f t="shared" si="28"/>
        <v>2.8149980999794253</v>
      </c>
      <c r="CA14" s="75"/>
      <c r="CB14" s="30">
        <f t="shared" si="29"/>
        <v>2.1322524388695197</v>
      </c>
      <c r="CC14" s="75">
        <v>1.3746236467462931</v>
      </c>
      <c r="CD14" s="75">
        <v>-0.6797332330802186</v>
      </c>
      <c r="CE14" s="75">
        <v>0.32288857798608317</v>
      </c>
      <c r="CF14" s="75">
        <f t="shared" si="30"/>
        <v>-0.35684465509413543</v>
      </c>
      <c r="CH14" s="30">
        <f t="shared" si="31"/>
        <v>2.1183476609150542</v>
      </c>
      <c r="CI14" s="75">
        <v>6.2987020393754678</v>
      </c>
      <c r="CJ14" s="75">
        <v>1.0586789669999686</v>
      </c>
      <c r="CK14" s="75">
        <v>1.4689337630531381</v>
      </c>
      <c r="CL14" s="75">
        <f t="shared" si="32"/>
        <v>2.5276127300531064</v>
      </c>
      <c r="CM14" s="88"/>
      <c r="CN14" s="30">
        <f t="shared" si="33"/>
        <v>2.3760355283215739</v>
      </c>
      <c r="CO14" s="75">
        <v>1.5442737891174063</v>
      </c>
      <c r="CP14" s="75">
        <v>0.23548072877337922</v>
      </c>
      <c r="CQ14" s="75">
        <v>0.40874929624707479</v>
      </c>
      <c r="CR14" s="75">
        <f t="shared" si="34"/>
        <v>0.64423002502045401</v>
      </c>
      <c r="CS14" s="72" t="str">
        <f t="shared" si="35"/>
        <v>Water and sewerage</v>
      </c>
      <c r="CT14" s="30">
        <f t="shared" si="36"/>
        <v>2.4372851811505392</v>
      </c>
      <c r="CU14" s="11">
        <v>1.4161802206413483</v>
      </c>
      <c r="CV14" s="75">
        <v>-0.14513865707631529</v>
      </c>
      <c r="CW14" s="75">
        <v>0.38558884418825223</v>
      </c>
      <c r="CX14" s="75">
        <f t="shared" si="37"/>
        <v>0.24045018711193694</v>
      </c>
      <c r="CY14" s="75"/>
      <c r="CZ14" s="30">
        <f t="shared" si="38"/>
        <v>2.2654301118374853</v>
      </c>
      <c r="DA14" s="75">
        <v>0.46381055323258502</v>
      </c>
      <c r="DB14" s="75">
        <v>-0.23368945828235915</v>
      </c>
      <c r="DC14" s="75">
        <v>0.11645811147080638</v>
      </c>
      <c r="DD14" s="75">
        <f t="shared" si="39"/>
        <v>-0.11723134681155277</v>
      </c>
      <c r="DF14" s="30">
        <f t="shared" si="40"/>
        <v>2.5995569001085794</v>
      </c>
      <c r="DG14" s="75">
        <v>0.82494397660193552</v>
      </c>
      <c r="DH14" s="75">
        <v>4.4230715947542278E-2</v>
      </c>
      <c r="DI14" s="75">
        <v>0.24135577401631172</v>
      </c>
      <c r="DJ14" s="75">
        <f t="shared" si="41"/>
        <v>0.285586489963854</v>
      </c>
      <c r="DK14" s="88"/>
      <c r="DL14" s="30">
        <f t="shared" si="42"/>
        <v>1.9914236116268524</v>
      </c>
      <c r="DM14" s="75">
        <v>0.12742569080682786</v>
      </c>
      <c r="DN14" s="75">
        <v>4.4320085258501563E-2</v>
      </c>
      <c r="DO14" s="75">
        <v>2.7774958701134087E-2</v>
      </c>
      <c r="DP14" s="75">
        <f t="shared" si="43"/>
        <v>7.2095043959635646E-2</v>
      </c>
    </row>
    <row r="15" spans="1:120">
      <c r="A15" s="72" t="str">
        <f>name!B11</f>
        <v>Construction</v>
      </c>
      <c r="B15" s="30">
        <f t="shared" si="1"/>
        <v>2.6332713124259444</v>
      </c>
      <c r="C15" s="11">
        <v>24.70699999999993</v>
      </c>
      <c r="D15" s="75">
        <v>2.4850000000000203</v>
      </c>
      <c r="E15" s="75">
        <v>7.3336805968811847</v>
      </c>
      <c r="F15" s="75">
        <f t="shared" si="2"/>
        <v>9.8186805968812045</v>
      </c>
      <c r="G15" s="75"/>
      <c r="H15" s="30">
        <f t="shared" si="3"/>
        <v>2.4423074235861542</v>
      </c>
      <c r="I15" s="75">
        <v>2.0674298031287628</v>
      </c>
      <c r="J15" s="75">
        <v>-0.8828890757342569</v>
      </c>
      <c r="K15" s="75">
        <v>0.56419694936710085</v>
      </c>
      <c r="L15" s="75">
        <f t="shared" si="4"/>
        <v>-0.31869212636715605</v>
      </c>
      <c r="N15" s="30">
        <f t="shared" si="5"/>
        <v>2.3615173214244889</v>
      </c>
      <c r="O15" s="75">
        <v>11.395959885205716</v>
      </c>
      <c r="P15" s="75">
        <v>1.9703829749125323</v>
      </c>
      <c r="Q15" s="75">
        <v>2.9959377256495925</v>
      </c>
      <c r="R15" s="75">
        <f t="shared" si="6"/>
        <v>4.9663207005621253</v>
      </c>
      <c r="S15" s="88"/>
      <c r="T15" s="30">
        <f t="shared" si="7"/>
        <v>2.9362141326216173</v>
      </c>
      <c r="U15" s="75">
        <v>11.243610311665455</v>
      </c>
      <c r="V15" s="75">
        <v>1.3975061008217451</v>
      </c>
      <c r="W15" s="75">
        <v>3.7735459218644927</v>
      </c>
      <c r="X15" s="75">
        <f t="shared" si="8"/>
        <v>5.1710520226862382</v>
      </c>
      <c r="Y15" s="72" t="str">
        <f t="shared" si="0"/>
        <v>Construction</v>
      </c>
      <c r="Z15" s="30">
        <f t="shared" si="9"/>
        <v>2.9275517647755267</v>
      </c>
      <c r="AA15" s="11">
        <v>13.046434238680172</v>
      </c>
      <c r="AB15" s="75">
        <v>2.1329718598151204</v>
      </c>
      <c r="AC15" s="75">
        <v>4.3639460437985305</v>
      </c>
      <c r="AD15" s="75">
        <f t="shared" si="10"/>
        <v>6.4969179036136513</v>
      </c>
      <c r="AE15" s="75"/>
      <c r="AF15" s="30">
        <f t="shared" si="11"/>
        <v>2.9029598767563725</v>
      </c>
      <c r="AG15" s="75">
        <v>0.51780999831305174</v>
      </c>
      <c r="AH15" s="75">
        <v>-0.14508224440278034</v>
      </c>
      <c r="AI15" s="75">
        <v>0.17155479671456894</v>
      </c>
      <c r="AJ15" s="75">
        <f t="shared" si="12"/>
        <v>2.6472552311788605E-2</v>
      </c>
      <c r="AL15" s="30">
        <f t="shared" si="13"/>
        <v>2.7138731733564292</v>
      </c>
      <c r="AM15" s="75">
        <v>3.3696565084990735</v>
      </c>
      <c r="AN15" s="75">
        <v>0.87665708871403969</v>
      </c>
      <c r="AO15" s="75">
        <v>1.0346414621905302</v>
      </c>
      <c r="AP15" s="75">
        <f t="shared" si="14"/>
        <v>1.9112985509045699</v>
      </c>
      <c r="AQ15" s="88"/>
      <c r="AR15" s="30">
        <f t="shared" si="15"/>
        <v>3.0065508595138457</v>
      </c>
      <c r="AS15" s="75">
        <v>9.1589677318680476</v>
      </c>
      <c r="AT15" s="75">
        <v>1.4013970155038609</v>
      </c>
      <c r="AU15" s="75">
        <v>3.1577497848934315</v>
      </c>
      <c r="AV15" s="75">
        <f t="shared" si="16"/>
        <v>4.5591468003972926</v>
      </c>
      <c r="AW15" s="72" t="str">
        <f t="shared" si="17"/>
        <v>Construction</v>
      </c>
      <c r="AX15" s="30">
        <f t="shared" si="18"/>
        <v>2.6925526136312605</v>
      </c>
      <c r="AY15" s="11">
        <v>3.651919924567808</v>
      </c>
      <c r="AZ15" s="75">
        <v>-0.23040618198892773</v>
      </c>
      <c r="BA15" s="75">
        <v>1.1114108203418209</v>
      </c>
      <c r="BB15" s="75">
        <f t="shared" si="19"/>
        <v>0.88100463835289322</v>
      </c>
      <c r="BC15" s="75"/>
      <c r="BD15" s="30">
        <f t="shared" si="20"/>
        <v>2.6003566607783579</v>
      </c>
      <c r="BE15" s="75">
        <v>0.34954045938527362</v>
      </c>
      <c r="BF15" s="75">
        <v>-0.11400742632184735</v>
      </c>
      <c r="BG15" s="75">
        <v>0.10230108293418085</v>
      </c>
      <c r="BH15" s="75">
        <f t="shared" si="21"/>
        <v>-1.1706343387666504E-2</v>
      </c>
      <c r="BJ15" s="30">
        <f t="shared" si="22"/>
        <v>2.6391873139546718</v>
      </c>
      <c r="BK15" s="75">
        <v>2.0072722798125366</v>
      </c>
      <c r="BL15" s="75">
        <v>2.1946743765527334E-2</v>
      </c>
      <c r="BM15" s="75">
        <v>0.59731151369132662</v>
      </c>
      <c r="BN15" s="75">
        <f t="shared" si="23"/>
        <v>0.61925825745685392</v>
      </c>
      <c r="BO15" s="88"/>
      <c r="BP15" s="30">
        <f t="shared" si="24"/>
        <v>2.799351314050047</v>
      </c>
      <c r="BQ15" s="75">
        <v>1.2951071853699978</v>
      </c>
      <c r="BR15" s="75">
        <v>-0.13834549943260771</v>
      </c>
      <c r="BS15" s="75">
        <v>0.41179822371631336</v>
      </c>
      <c r="BT15" s="75">
        <f t="shared" si="25"/>
        <v>0.27345272428370565</v>
      </c>
      <c r="BU15" s="72" t="str">
        <f t="shared" si="26"/>
        <v>Construction</v>
      </c>
      <c r="BV15" s="30">
        <f t="shared" si="27"/>
        <v>2.0481137979190267</v>
      </c>
      <c r="BW15" s="11">
        <v>6.6723347132595512</v>
      </c>
      <c r="BX15" s="75">
        <v>0.63046525507421236</v>
      </c>
      <c r="BY15" s="75">
        <v>1.4996518315416651</v>
      </c>
      <c r="BZ15" s="75">
        <f t="shared" si="28"/>
        <v>2.1301170866158774</v>
      </c>
      <c r="CA15" s="75"/>
      <c r="CB15" s="30">
        <f t="shared" si="29"/>
        <v>1.885726525584519</v>
      </c>
      <c r="CC15" s="75">
        <v>0.79401322796632245</v>
      </c>
      <c r="CD15" s="75">
        <v>-0.42251424724113457</v>
      </c>
      <c r="CE15" s="75">
        <v>0.16309534060812603</v>
      </c>
      <c r="CF15" s="75">
        <f t="shared" si="30"/>
        <v>-0.25941890663300854</v>
      </c>
      <c r="CH15" s="30">
        <f t="shared" si="31"/>
        <v>2.0349710354922612</v>
      </c>
      <c r="CI15" s="75">
        <v>5.1117136268203991</v>
      </c>
      <c r="CJ15" s="75">
        <v>0.94026718064231962</v>
      </c>
      <c r="CK15" s="75">
        <v>1.1408334558665532</v>
      </c>
      <c r="CL15" s="75">
        <f t="shared" si="32"/>
        <v>2.0811006365088729</v>
      </c>
      <c r="CM15" s="88"/>
      <c r="CN15" s="30">
        <f t="shared" si="33"/>
        <v>2.2998780793422213</v>
      </c>
      <c r="CO15" s="75">
        <v>0.7666078584728292</v>
      </c>
      <c r="CP15" s="75">
        <v>0.11271232167302715</v>
      </c>
      <c r="CQ15" s="75">
        <v>0.19572303506698607</v>
      </c>
      <c r="CR15" s="75">
        <f t="shared" si="34"/>
        <v>0.30843535674001321</v>
      </c>
      <c r="CS15" s="72" t="str">
        <f t="shared" si="35"/>
        <v>Construction</v>
      </c>
      <c r="CT15" s="30">
        <f t="shared" si="36"/>
        <v>2.406088217429958</v>
      </c>
      <c r="CU15" s="11">
        <v>1.3363111234924001</v>
      </c>
      <c r="CV15" s="75">
        <v>-4.8030932900384203E-2</v>
      </c>
      <c r="CW15" s="75">
        <v>0.3586719011991692</v>
      </c>
      <c r="CX15" s="75">
        <f t="shared" si="37"/>
        <v>0.31064096829878501</v>
      </c>
      <c r="CY15" s="75"/>
      <c r="CZ15" s="30">
        <f t="shared" si="38"/>
        <v>2.7633959791856677</v>
      </c>
      <c r="DA15" s="75">
        <v>0.40606611746411458</v>
      </c>
      <c r="DB15" s="75">
        <v>-0.20128515776849468</v>
      </c>
      <c r="DC15" s="75">
        <v>0.12724572911022497</v>
      </c>
      <c r="DD15" s="75">
        <f t="shared" si="39"/>
        <v>-7.4039428658269707E-2</v>
      </c>
      <c r="DF15" s="30">
        <f t="shared" si="40"/>
        <v>2.2233076528841211</v>
      </c>
      <c r="DG15" s="75">
        <v>0.90731747007370689</v>
      </c>
      <c r="DH15" s="75">
        <v>0.1315119617906455</v>
      </c>
      <c r="DI15" s="75">
        <v>0.22315129390118218</v>
      </c>
      <c r="DJ15" s="75">
        <f t="shared" si="41"/>
        <v>0.35466325569182766</v>
      </c>
      <c r="DK15" s="88"/>
      <c r="DL15" s="30">
        <f t="shared" si="42"/>
        <v>3.1295401767871711</v>
      </c>
      <c r="DM15" s="75">
        <v>2.2927535954578668E-2</v>
      </c>
      <c r="DN15" s="75">
        <v>2.174226307746498E-2</v>
      </c>
      <c r="DO15" s="75">
        <v>8.2748781877620605E-3</v>
      </c>
      <c r="DP15" s="75">
        <f t="shared" si="43"/>
        <v>3.0017141265227039E-2</v>
      </c>
    </row>
    <row r="16" spans="1:120">
      <c r="A16" s="72" t="str">
        <f>name!B12</f>
        <v>Wholesale and retail trade</v>
      </c>
      <c r="B16" s="30">
        <f t="shared" si="1"/>
        <v>2.48357468355489</v>
      </c>
      <c r="C16" s="11">
        <v>49.360999999999891</v>
      </c>
      <c r="D16" s="75">
        <v>-3.0089999999999963</v>
      </c>
      <c r="E16" s="75">
        <v>13.724072101712224</v>
      </c>
      <c r="F16" s="75">
        <f t="shared" si="2"/>
        <v>10.715072101712227</v>
      </c>
      <c r="G16" s="75"/>
      <c r="H16" s="30">
        <f t="shared" si="3"/>
        <v>2.319061330483807</v>
      </c>
      <c r="I16" s="75">
        <v>11.754763181562106</v>
      </c>
      <c r="J16" s="75">
        <v>-3.3383043230730345</v>
      </c>
      <c r="K16" s="75">
        <v>3.0288080072024135</v>
      </c>
      <c r="L16" s="75">
        <f t="shared" si="4"/>
        <v>-0.30949631587062099</v>
      </c>
      <c r="N16" s="30">
        <f t="shared" si="5"/>
        <v>2.3679923975928441</v>
      </c>
      <c r="O16" s="75">
        <v>27.464527750604109</v>
      </c>
      <c r="P16" s="75">
        <v>1.036637643813106</v>
      </c>
      <c r="Q16" s="75">
        <v>7.242226228936425</v>
      </c>
      <c r="R16" s="75">
        <f t="shared" si="6"/>
        <v>8.2788638727495307</v>
      </c>
      <c r="S16" s="88"/>
      <c r="T16" s="30">
        <f t="shared" si="7"/>
        <v>2.9736241479119574</v>
      </c>
      <c r="U16" s="75">
        <v>10.141709067833677</v>
      </c>
      <c r="V16" s="75">
        <v>-0.70733332074006794</v>
      </c>
      <c r="W16" s="75">
        <v>3.4530378655733838</v>
      </c>
      <c r="X16" s="75">
        <f t="shared" si="8"/>
        <v>2.7457045448333157</v>
      </c>
      <c r="Y16" s="72" t="str">
        <f t="shared" si="0"/>
        <v>Wholesale and retail trade</v>
      </c>
      <c r="Z16" s="30">
        <f t="shared" si="9"/>
        <v>2.9998517165961136</v>
      </c>
      <c r="AA16" s="11">
        <v>14.421904529312432</v>
      </c>
      <c r="AB16" s="75">
        <v>-7.9946079548302407E-2</v>
      </c>
      <c r="AC16" s="75">
        <v>4.9596501612339017</v>
      </c>
      <c r="AD16" s="75">
        <f t="shared" si="10"/>
        <v>4.879704081685599</v>
      </c>
      <c r="AE16" s="75"/>
      <c r="AF16" s="30">
        <f t="shared" si="11"/>
        <v>2.9265331251565607</v>
      </c>
      <c r="AG16" s="75">
        <v>1.7446046239912303</v>
      </c>
      <c r="AH16" s="75">
        <v>-0.27919872461291689</v>
      </c>
      <c r="AI16" s="75">
        <v>0.58332831832535181</v>
      </c>
      <c r="AJ16" s="75">
        <f t="shared" si="12"/>
        <v>0.30412959371243492</v>
      </c>
      <c r="AL16" s="30">
        <f t="shared" si="13"/>
        <v>2.8733806306549425</v>
      </c>
      <c r="AM16" s="75">
        <v>5.4383562760409712</v>
      </c>
      <c r="AN16" s="75">
        <v>0.60778084248681408</v>
      </c>
      <c r="AO16" s="75">
        <v>1.780988355750744</v>
      </c>
      <c r="AP16" s="75">
        <f t="shared" si="14"/>
        <v>2.3887691982375578</v>
      </c>
      <c r="AQ16" s="88"/>
      <c r="AR16" s="30">
        <f t="shared" si="15"/>
        <v>3.111409774959073</v>
      </c>
      <c r="AS16" s="75">
        <v>7.2389436292802296</v>
      </c>
      <c r="AT16" s="75">
        <v>-0.40852819742219959</v>
      </c>
      <c r="AU16" s="75">
        <v>2.5953334871578053</v>
      </c>
      <c r="AV16" s="75">
        <f t="shared" si="16"/>
        <v>2.1868052897356058</v>
      </c>
      <c r="AW16" s="72" t="str">
        <f t="shared" si="17"/>
        <v>Wholesale and retail trade</v>
      </c>
      <c r="AX16" s="30">
        <f t="shared" si="18"/>
        <v>2.6838321004912791</v>
      </c>
      <c r="AY16" s="11">
        <v>4.7602092359720407</v>
      </c>
      <c r="AZ16" s="75">
        <v>-1.3205133909931142</v>
      </c>
      <c r="BA16" s="75">
        <v>1.4434326816980343</v>
      </c>
      <c r="BB16" s="75">
        <f t="shared" si="19"/>
        <v>0.12291929070492014</v>
      </c>
      <c r="BC16" s="75"/>
      <c r="BD16" s="30">
        <f t="shared" si="20"/>
        <v>2.6307138684356079</v>
      </c>
      <c r="BE16" s="75">
        <v>0.55533861181731692</v>
      </c>
      <c r="BF16" s="75">
        <v>-0.19194769411417067</v>
      </c>
      <c r="BG16" s="75">
        <v>0.16465951691361003</v>
      </c>
      <c r="BH16" s="75">
        <f t="shared" si="21"/>
        <v>-2.7288177200560648E-2</v>
      </c>
      <c r="BJ16" s="30">
        <f t="shared" si="22"/>
        <v>2.6257921936491346</v>
      </c>
      <c r="BK16" s="75">
        <v>2.4972687404973635</v>
      </c>
      <c r="BL16" s="75">
        <v>-0.56905832335257489</v>
      </c>
      <c r="BM16" s="75">
        <v>0.73889514198640793</v>
      </c>
      <c r="BN16" s="75">
        <f t="shared" si="23"/>
        <v>0.16983681863383304</v>
      </c>
      <c r="BO16" s="88"/>
      <c r="BP16" s="30">
        <f t="shared" si="24"/>
        <v>2.7852790413730899</v>
      </c>
      <c r="BQ16" s="75">
        <v>1.7076018836573603</v>
      </c>
      <c r="BR16" s="75">
        <v>-0.55950737352636859</v>
      </c>
      <c r="BS16" s="75">
        <v>0.53987802279801622</v>
      </c>
      <c r="BT16" s="75">
        <f t="shared" si="25"/>
        <v>-1.9629350728352368E-2</v>
      </c>
      <c r="BU16" s="72" t="str">
        <f t="shared" si="26"/>
        <v>Wholesale and retail trade</v>
      </c>
      <c r="BV16" s="30">
        <f t="shared" si="27"/>
        <v>2.1993314042800582</v>
      </c>
      <c r="BW16" s="11">
        <v>28.021593521784599</v>
      </c>
      <c r="BX16" s="75">
        <v>-1.4714034279099568</v>
      </c>
      <c r="BY16" s="75">
        <v>6.8100025319772302</v>
      </c>
      <c r="BZ16" s="75">
        <f t="shared" si="28"/>
        <v>5.3385991040672733</v>
      </c>
      <c r="CA16" s="75"/>
      <c r="CB16" s="30">
        <f t="shared" si="29"/>
        <v>2.1988160207137231</v>
      </c>
      <c r="CC16" s="75">
        <v>8.4984348827263929</v>
      </c>
      <c r="CD16" s="75">
        <v>-2.4130544809912187</v>
      </c>
      <c r="CE16" s="75">
        <v>2.0648160354020404</v>
      </c>
      <c r="CF16" s="75">
        <f t="shared" si="30"/>
        <v>-0.34823844558917827</v>
      </c>
      <c r="CH16" s="30">
        <f t="shared" si="31"/>
        <v>2.1891934571730776</v>
      </c>
      <c r="CI16" s="75">
        <v>18.363284813948471</v>
      </c>
      <c r="CJ16" s="75">
        <v>0.79472514229380931</v>
      </c>
      <c r="CK16" s="75">
        <v>4.4401403431475641</v>
      </c>
      <c r="CL16" s="75">
        <f t="shared" si="32"/>
        <v>5.2348654854413734</v>
      </c>
      <c r="CM16" s="88"/>
      <c r="CN16" s="30">
        <f t="shared" si="33"/>
        <v>2.3623659563032362</v>
      </c>
      <c r="CO16" s="75">
        <v>1.1598738251097345</v>
      </c>
      <c r="CP16" s="75">
        <v>0.14692591078745226</v>
      </c>
      <c r="CQ16" s="75">
        <v>0.30504615342762553</v>
      </c>
      <c r="CR16" s="75">
        <f t="shared" si="34"/>
        <v>0.4519720642150778</v>
      </c>
      <c r="CS16" s="72" t="str">
        <f t="shared" si="35"/>
        <v>Wholesale and retail trade</v>
      </c>
      <c r="CT16" s="30">
        <f t="shared" si="36"/>
        <v>2.1485540302156547</v>
      </c>
      <c r="CU16" s="11">
        <v>2.1572927129308224</v>
      </c>
      <c r="CV16" s="75">
        <v>-0.13713710154862277</v>
      </c>
      <c r="CW16" s="75">
        <v>0.51098672680305779</v>
      </c>
      <c r="CX16" s="75">
        <f t="shared" si="37"/>
        <v>0.37384962525443499</v>
      </c>
      <c r="CY16" s="75"/>
      <c r="CZ16" s="30">
        <f t="shared" si="38"/>
        <v>2.0572595476436195</v>
      </c>
      <c r="DA16" s="75">
        <v>0.95638506302716597</v>
      </c>
      <c r="DB16" s="75">
        <v>-0.4541034233547282</v>
      </c>
      <c r="DC16" s="75">
        <v>0.2160041365614109</v>
      </c>
      <c r="DD16" s="75">
        <f t="shared" si="39"/>
        <v>-0.23809928679331729</v>
      </c>
      <c r="DF16" s="30">
        <f t="shared" si="40"/>
        <v>2.1917519950891196</v>
      </c>
      <c r="DG16" s="75">
        <v>1.1656179201173043</v>
      </c>
      <c r="DH16" s="75">
        <v>0.20318998238505742</v>
      </c>
      <c r="DI16" s="75">
        <v>0.28220238805171</v>
      </c>
      <c r="DJ16" s="75">
        <f t="shared" si="41"/>
        <v>0.48539237043676742</v>
      </c>
      <c r="DK16" s="88"/>
      <c r="DL16" s="30">
        <f t="shared" si="42"/>
        <v>3.1389052752660129</v>
      </c>
      <c r="DM16" s="75">
        <v>3.5289729786351975E-2</v>
      </c>
      <c r="DN16" s="75">
        <v>0.11377633942104799</v>
      </c>
      <c r="DO16" s="75">
        <v>1.2780202189936939E-2</v>
      </c>
      <c r="DP16" s="75">
        <f t="shared" si="43"/>
        <v>0.12655654161098492</v>
      </c>
    </row>
    <row r="17" spans="1:120">
      <c r="A17" s="72" t="str">
        <f>name!B13</f>
        <v>Transport and storage</v>
      </c>
      <c r="B17" s="30">
        <f t="shared" si="1"/>
        <v>2.5826643707438812</v>
      </c>
      <c r="C17" s="11">
        <v>92.525231401581493</v>
      </c>
      <c r="D17" s="75">
        <v>4.8062010655220337</v>
      </c>
      <c r="E17" s="75">
        <v>26.873559144521298</v>
      </c>
      <c r="F17" s="75">
        <f t="shared" si="2"/>
        <v>31.679760210043334</v>
      </c>
      <c r="G17" s="75"/>
      <c r="H17" s="30">
        <f t="shared" si="3"/>
        <v>2.4248789617356659</v>
      </c>
      <c r="I17" s="75">
        <v>21.198729637120138</v>
      </c>
      <c r="J17" s="75">
        <v>-6.0725510822499817</v>
      </c>
      <c r="K17" s="75">
        <v>5.7392133920891153</v>
      </c>
      <c r="L17" s="75">
        <f t="shared" si="4"/>
        <v>-0.33333769016086645</v>
      </c>
      <c r="N17" s="30">
        <f t="shared" si="5"/>
        <v>2.5234952437853897</v>
      </c>
      <c r="O17" s="75">
        <v>52.658868908190932</v>
      </c>
      <c r="P17" s="75">
        <v>7.0048539847493405</v>
      </c>
      <c r="Q17" s="75">
        <v>14.903608217095815</v>
      </c>
      <c r="R17" s="75">
        <f t="shared" si="6"/>
        <v>21.908462201845154</v>
      </c>
      <c r="S17" s="88"/>
      <c r="T17" s="30">
        <f t="shared" si="7"/>
        <v>2.9219882284781784</v>
      </c>
      <c r="U17" s="75">
        <v>18.667632856270426</v>
      </c>
      <c r="V17" s="75">
        <v>3.8738981630226754</v>
      </c>
      <c r="W17" s="75">
        <v>6.230737535336365</v>
      </c>
      <c r="X17" s="75">
        <f t="shared" si="8"/>
        <v>10.10463569835904</v>
      </c>
      <c r="Y17" s="72" t="str">
        <f t="shared" si="0"/>
        <v>Transport and storage</v>
      </c>
      <c r="Z17" s="30">
        <f t="shared" si="9"/>
        <v>2.9241425329038728</v>
      </c>
      <c r="AA17" s="11">
        <v>29.870782206299452</v>
      </c>
      <c r="AB17" s="75">
        <v>4.3408339188767497</v>
      </c>
      <c r="AC17" s="75">
        <v>9.9783777687739459</v>
      </c>
      <c r="AD17" s="75">
        <f t="shared" si="10"/>
        <v>14.319211687650697</v>
      </c>
      <c r="AE17" s="75"/>
      <c r="AF17" s="30">
        <f t="shared" si="11"/>
        <v>2.7318686124567781</v>
      </c>
      <c r="AG17" s="75">
        <v>3.8081615228264192</v>
      </c>
      <c r="AH17" s="75">
        <v>-0.6689481531577417</v>
      </c>
      <c r="AI17" s="75">
        <v>1.1780102671881654</v>
      </c>
      <c r="AJ17" s="75">
        <f t="shared" si="12"/>
        <v>0.50906211403042367</v>
      </c>
      <c r="AL17" s="30">
        <f t="shared" si="13"/>
        <v>2.8609218734994002</v>
      </c>
      <c r="AM17" s="75">
        <v>13.572153033741255</v>
      </c>
      <c r="AN17" s="75">
        <v>3.0025944902352135</v>
      </c>
      <c r="AO17" s="75">
        <v>4.4228892241268012</v>
      </c>
      <c r="AP17" s="75">
        <f t="shared" si="14"/>
        <v>7.4254837143620147</v>
      </c>
      <c r="AQ17" s="88"/>
      <c r="AR17" s="30">
        <f t="shared" si="15"/>
        <v>3.0500840000298179</v>
      </c>
      <c r="AS17" s="75">
        <v>12.490467649731778</v>
      </c>
      <c r="AT17" s="75">
        <v>2.0071875817992777</v>
      </c>
      <c r="AU17" s="75">
        <v>4.3774782774589784</v>
      </c>
      <c r="AV17" s="75">
        <f t="shared" si="16"/>
        <v>6.3846658592582557</v>
      </c>
      <c r="AW17" s="72" t="str">
        <f t="shared" si="17"/>
        <v>Transport and storage</v>
      </c>
      <c r="AX17" s="30">
        <f t="shared" si="18"/>
        <v>2.6816272634551552</v>
      </c>
      <c r="AY17" s="11">
        <v>8.998417639409773</v>
      </c>
      <c r="AZ17" s="75">
        <v>0.46368333377022369</v>
      </c>
      <c r="BA17" s="75">
        <v>2.7260618724368122</v>
      </c>
      <c r="BB17" s="75">
        <f t="shared" si="19"/>
        <v>3.1897452062070357</v>
      </c>
      <c r="BC17" s="75"/>
      <c r="BD17" s="30">
        <f t="shared" si="20"/>
        <v>2.6174041078364407</v>
      </c>
      <c r="BE17" s="75">
        <v>1.0668407233699537</v>
      </c>
      <c r="BF17" s="75">
        <v>3.2513509332090844E-2</v>
      </c>
      <c r="BG17" s="75">
        <v>0.31452866341566049</v>
      </c>
      <c r="BH17" s="75">
        <f t="shared" si="21"/>
        <v>0.34704217274775134</v>
      </c>
      <c r="BJ17" s="30">
        <f t="shared" si="22"/>
        <v>2.6363264722116364</v>
      </c>
      <c r="BK17" s="75">
        <v>4.9047319312804847</v>
      </c>
      <c r="BL17" s="75">
        <v>0.14017890795839225</v>
      </c>
      <c r="BM17" s="75">
        <v>1.4577457375951082</v>
      </c>
      <c r="BN17" s="75">
        <f t="shared" si="23"/>
        <v>1.5979246455535003</v>
      </c>
      <c r="BO17" s="88"/>
      <c r="BP17" s="30">
        <f t="shared" si="24"/>
        <v>2.7770599340433355</v>
      </c>
      <c r="BQ17" s="75">
        <v>3.0268449847593342</v>
      </c>
      <c r="BR17" s="75">
        <v>0.29099091647974057</v>
      </c>
      <c r="BS17" s="75">
        <v>0.95378747142604337</v>
      </c>
      <c r="BT17" s="75">
        <f t="shared" si="25"/>
        <v>1.2447783879057839</v>
      </c>
      <c r="BU17" s="72" t="str">
        <f t="shared" si="26"/>
        <v>Transport and storage</v>
      </c>
      <c r="BV17" s="30">
        <f t="shared" si="27"/>
        <v>2.3754907319287089</v>
      </c>
      <c r="BW17" s="11">
        <v>50.110811503507264</v>
      </c>
      <c r="BX17" s="75">
        <v>0.37983071614327241</v>
      </c>
      <c r="BY17" s="75">
        <v>13.260311196398852</v>
      </c>
      <c r="BZ17" s="75">
        <f t="shared" si="28"/>
        <v>13.640141912542125</v>
      </c>
      <c r="CA17" s="75"/>
      <c r="CB17" s="30">
        <f t="shared" si="29"/>
        <v>2.3338534370635156</v>
      </c>
      <c r="CC17" s="75">
        <v>14.74166253806875</v>
      </c>
      <c r="CD17" s="75">
        <v>-4.5191002676533572</v>
      </c>
      <c r="CE17" s="75">
        <v>3.8252523053004484</v>
      </c>
      <c r="CF17" s="75">
        <f t="shared" si="30"/>
        <v>-0.6938479623529088</v>
      </c>
      <c r="CH17" s="30">
        <f t="shared" si="31"/>
        <v>2.3772663395688065</v>
      </c>
      <c r="CI17" s="75">
        <v>32.323025931939064</v>
      </c>
      <c r="CJ17" s="75">
        <v>3.459835793309614</v>
      </c>
      <c r="CK17" s="75">
        <v>8.5604017208804635</v>
      </c>
      <c r="CL17" s="75">
        <f t="shared" si="32"/>
        <v>12.020237514190077</v>
      </c>
      <c r="CM17" s="88"/>
      <c r="CN17" s="30">
        <f t="shared" si="33"/>
        <v>2.5563381424586806</v>
      </c>
      <c r="CO17" s="75">
        <v>3.0461230334994571</v>
      </c>
      <c r="CP17" s="75">
        <v>1.4390951904870155</v>
      </c>
      <c r="CQ17" s="75">
        <v>0.87465717021794065</v>
      </c>
      <c r="CR17" s="75">
        <f t="shared" si="34"/>
        <v>2.3137523607049562</v>
      </c>
      <c r="CS17" s="72" t="str">
        <f t="shared" si="35"/>
        <v>Transport and storage</v>
      </c>
      <c r="CT17" s="30">
        <f t="shared" si="36"/>
        <v>2.3083258626595438</v>
      </c>
      <c r="CU17" s="11">
        <v>3.5452200523650017</v>
      </c>
      <c r="CV17" s="75">
        <v>-0.37814690326821171</v>
      </c>
      <c r="CW17" s="75">
        <v>0.90880830691168701</v>
      </c>
      <c r="CX17" s="75">
        <f t="shared" si="37"/>
        <v>0.53066140364347536</v>
      </c>
      <c r="CY17" s="75"/>
      <c r="CZ17" s="30">
        <f t="shared" si="38"/>
        <v>2.3896892286912941</v>
      </c>
      <c r="DA17" s="75">
        <v>1.5820648528550136</v>
      </c>
      <c r="DB17" s="75">
        <v>-0.91701617077097408</v>
      </c>
      <c r="DC17" s="75">
        <v>0.42142215618484119</v>
      </c>
      <c r="DD17" s="75">
        <f t="shared" si="39"/>
        <v>-0.49559401458613289</v>
      </c>
      <c r="DF17" s="30">
        <f t="shared" si="40"/>
        <v>2.2469738978732945</v>
      </c>
      <c r="DG17" s="75">
        <v>1.8589580112301323</v>
      </c>
      <c r="DH17" s="75">
        <v>0.40224479324612111</v>
      </c>
      <c r="DI17" s="75">
        <v>0.4625715344934439</v>
      </c>
      <c r="DJ17" s="75">
        <f t="shared" si="41"/>
        <v>0.86481632773956507</v>
      </c>
      <c r="DK17" s="88"/>
      <c r="DL17" s="30">
        <f t="shared" si="42"/>
        <v>2.1591674565122787</v>
      </c>
      <c r="DM17" s="75">
        <v>0.10419718827985559</v>
      </c>
      <c r="DN17" s="75">
        <v>0.13662447425664134</v>
      </c>
      <c r="DO17" s="75">
        <v>2.4814616233402073E-2</v>
      </c>
      <c r="DP17" s="75">
        <f t="shared" si="43"/>
        <v>0.1614390904900434</v>
      </c>
    </row>
    <row r="18" spans="1:120">
      <c r="A18" s="72" t="str">
        <f>name!B14</f>
        <v>Accommodation and food</v>
      </c>
      <c r="B18" s="30">
        <f t="shared" si="1"/>
        <v>2.7290326750703198</v>
      </c>
      <c r="C18" s="11">
        <v>12.952999999999982</v>
      </c>
      <c r="D18" s="75">
        <v>0.38799999999999019</v>
      </c>
      <c r="E18" s="75">
        <v>4.0021779615326993</v>
      </c>
      <c r="F18" s="75">
        <f t="shared" si="2"/>
        <v>4.3901779615326895</v>
      </c>
      <c r="G18" s="75"/>
      <c r="H18" s="30">
        <f t="shared" si="3"/>
        <v>2.439043046528111</v>
      </c>
      <c r="I18" s="75">
        <v>0.98180011788807253</v>
      </c>
      <c r="J18" s="75">
        <v>-0.31823538887421476</v>
      </c>
      <c r="K18" s="75">
        <v>0.26753287063716108</v>
      </c>
      <c r="L18" s="75">
        <f t="shared" si="4"/>
        <v>-5.0702518237053684E-2</v>
      </c>
      <c r="N18" s="30">
        <f t="shared" si="5"/>
        <v>2.4753153877203893</v>
      </c>
      <c r="O18" s="75">
        <v>4.3897999117505364</v>
      </c>
      <c r="P18" s="75">
        <v>-3.3729018992914917E-3</v>
      </c>
      <c r="Q18" s="75">
        <v>1.2159970209281907</v>
      </c>
      <c r="R18" s="75">
        <f t="shared" si="6"/>
        <v>1.2126241190288993</v>
      </c>
      <c r="S18" s="88"/>
      <c r="T18" s="30">
        <f t="shared" si="7"/>
        <v>2.9099584906887133</v>
      </c>
      <c r="U18" s="75">
        <v>7.5813999703613737</v>
      </c>
      <c r="V18" s="75">
        <v>0.70960829077349641</v>
      </c>
      <c r="W18" s="75">
        <v>2.5186480699673486</v>
      </c>
      <c r="X18" s="75">
        <f t="shared" si="8"/>
        <v>3.2282563607408452</v>
      </c>
      <c r="Y18" s="72" t="str">
        <f t="shared" si="0"/>
        <v>Accommodation and food</v>
      </c>
      <c r="Z18" s="30">
        <f t="shared" si="9"/>
        <v>2.9001988046052141</v>
      </c>
      <c r="AA18" s="11">
        <v>8.41715005869405</v>
      </c>
      <c r="AB18" s="75">
        <v>1.2401845545007941</v>
      </c>
      <c r="AC18" s="75">
        <v>2.7856660704349108</v>
      </c>
      <c r="AD18" s="75">
        <f t="shared" si="10"/>
        <v>4.0258506249357051</v>
      </c>
      <c r="AE18" s="75"/>
      <c r="AF18" s="30">
        <f t="shared" si="11"/>
        <v>2.6294544068126147</v>
      </c>
      <c r="AG18" s="75">
        <v>0.26152951231038224</v>
      </c>
      <c r="AH18" s="75">
        <v>-4.5405475739936016E-2</v>
      </c>
      <c r="AI18" s="75">
        <v>7.7502654523601097E-2</v>
      </c>
      <c r="AJ18" s="75">
        <f t="shared" si="12"/>
        <v>3.2097178783665081E-2</v>
      </c>
      <c r="AL18" s="30">
        <f t="shared" si="13"/>
        <v>2.7712915947119443</v>
      </c>
      <c r="AM18" s="75">
        <v>1.603753842229815</v>
      </c>
      <c r="AN18" s="75">
        <v>0.37014463186933377</v>
      </c>
      <c r="AO18" s="75">
        <v>0.50417456272407901</v>
      </c>
      <c r="AP18" s="75">
        <f t="shared" si="14"/>
        <v>0.87431919459341279</v>
      </c>
      <c r="AQ18" s="88"/>
      <c r="AR18" s="30">
        <f t="shared" si="15"/>
        <v>2.9421782199993585</v>
      </c>
      <c r="AS18" s="75">
        <v>6.5518667041538512</v>
      </c>
      <c r="AT18" s="75">
        <v>0.91544539837139627</v>
      </c>
      <c r="AU18" s="75">
        <v>2.2039888531872305</v>
      </c>
      <c r="AV18" s="75">
        <f t="shared" si="16"/>
        <v>3.1194342515586269</v>
      </c>
      <c r="AW18" s="72" t="str">
        <f t="shared" si="17"/>
        <v>Accommodation and food</v>
      </c>
      <c r="AX18" s="30">
        <f t="shared" si="18"/>
        <v>2.6824624047876666</v>
      </c>
      <c r="AY18" s="11">
        <v>1.5529698962248977</v>
      </c>
      <c r="AZ18" s="75">
        <v>-0.46999464299830562</v>
      </c>
      <c r="BA18" s="75">
        <v>0.47063529840578655</v>
      </c>
      <c r="BB18" s="75">
        <f t="shared" si="19"/>
        <v>6.4065540748092786E-4</v>
      </c>
      <c r="BC18" s="75"/>
      <c r="BD18" s="30">
        <f t="shared" si="20"/>
        <v>2.5523204536911814</v>
      </c>
      <c r="BE18" s="75">
        <v>0.13614442022126955</v>
      </c>
      <c r="BF18" s="75">
        <v>-6.3296157131409597E-2</v>
      </c>
      <c r="BG18" s="75">
        <v>3.9023576340022549E-2</v>
      </c>
      <c r="BH18" s="75">
        <f t="shared" si="21"/>
        <v>-2.4272580791387048E-2</v>
      </c>
      <c r="BJ18" s="30">
        <f t="shared" si="22"/>
        <v>2.6286177015529599</v>
      </c>
      <c r="BK18" s="75">
        <v>0.68908932411816504</v>
      </c>
      <c r="BL18" s="75">
        <v>-0.20218556619821521</v>
      </c>
      <c r="BM18" s="75">
        <v>0.20413453714844726</v>
      </c>
      <c r="BN18" s="75">
        <f t="shared" si="23"/>
        <v>1.948970950232054E-3</v>
      </c>
      <c r="BO18" s="88"/>
      <c r="BP18" s="30">
        <f t="shared" si="24"/>
        <v>2.7572901368161595</v>
      </c>
      <c r="BQ18" s="75">
        <v>0.72773615188546292</v>
      </c>
      <c r="BR18" s="75">
        <v>-0.20451291966868082</v>
      </c>
      <c r="BS18" s="75">
        <v>0.22747718491731678</v>
      </c>
      <c r="BT18" s="75">
        <f t="shared" si="25"/>
        <v>2.2964265248635957E-2</v>
      </c>
      <c r="BU18" s="72" t="str">
        <f t="shared" si="26"/>
        <v>Accommodation and food</v>
      </c>
      <c r="BV18" s="30">
        <f t="shared" si="27"/>
        <v>2.2597619936791435</v>
      </c>
      <c r="BW18" s="11">
        <v>2.763662773835291</v>
      </c>
      <c r="BX18" s="75">
        <v>-0.23042163432403942</v>
      </c>
      <c r="BY18" s="75">
        <v>0.69201169643440363</v>
      </c>
      <c r="BZ18" s="75">
        <f t="shared" si="28"/>
        <v>0.46159006211036424</v>
      </c>
      <c r="CA18" s="75"/>
      <c r="CB18" s="30">
        <f t="shared" si="29"/>
        <v>2.2744187655870496</v>
      </c>
      <c r="CC18" s="75">
        <v>0.53420672462394658</v>
      </c>
      <c r="CD18" s="75">
        <v>-0.18314245506199275</v>
      </c>
      <c r="CE18" s="75">
        <v>0.13472154653176011</v>
      </c>
      <c r="CF18" s="75">
        <f t="shared" si="30"/>
        <v>-4.8420908530232648E-2</v>
      </c>
      <c r="CH18" s="30">
        <f t="shared" si="31"/>
        <v>2.2063029939758838</v>
      </c>
      <c r="CI18" s="75">
        <v>1.9276589348892854</v>
      </c>
      <c r="CJ18" s="75">
        <v>-4.5954991332827419E-2</v>
      </c>
      <c r="CK18" s="75">
        <v>0.47010811803984248</v>
      </c>
      <c r="CL18" s="75">
        <f t="shared" si="32"/>
        <v>0.42415312670701505</v>
      </c>
      <c r="CM18" s="88"/>
      <c r="CN18" s="30">
        <f t="shared" si="33"/>
        <v>2.5701813988873834</v>
      </c>
      <c r="CO18" s="75">
        <v>0.30179711432205908</v>
      </c>
      <c r="CP18" s="75">
        <v>-1.3241879292192368E-3</v>
      </c>
      <c r="CQ18" s="75">
        <v>8.7182031862801102E-2</v>
      </c>
      <c r="CR18" s="75">
        <f t="shared" si="34"/>
        <v>8.5857843933581868E-2</v>
      </c>
      <c r="CS18" s="72" t="str">
        <f t="shared" si="35"/>
        <v>Accommodation and food</v>
      </c>
      <c r="CT18" s="30">
        <f t="shared" si="36"/>
        <v>2.2214077027330692</v>
      </c>
      <c r="CU18" s="11">
        <v>0.21921727124574525</v>
      </c>
      <c r="CV18" s="75">
        <v>-0.15176827717845895</v>
      </c>
      <c r="CW18" s="75">
        <v>5.386489625759925E-2</v>
      </c>
      <c r="CX18" s="75">
        <f t="shared" si="37"/>
        <v>-9.7903380920859706E-2</v>
      </c>
      <c r="CY18" s="75"/>
      <c r="CZ18" s="30">
        <f t="shared" si="38"/>
        <v>2.8636185424038896</v>
      </c>
      <c r="DA18" s="75">
        <v>4.9919460732474302E-2</v>
      </c>
      <c r="DB18" s="75">
        <v>-2.6391300940876338E-2</v>
      </c>
      <c r="DC18" s="75">
        <v>1.6285093241777283E-2</v>
      </c>
      <c r="DD18" s="75">
        <f t="shared" si="39"/>
        <v>-1.0106207699099055E-2</v>
      </c>
      <c r="DF18" s="30">
        <f t="shared" si="40"/>
        <v>2.0249088908695478</v>
      </c>
      <c r="DG18" s="75">
        <v>0.16929781051327095</v>
      </c>
      <c r="DH18" s="75">
        <v>-0.12537697623758262</v>
      </c>
      <c r="DI18" s="75">
        <v>3.7579803015821964E-2</v>
      </c>
      <c r="DJ18" s="75">
        <f t="shared" si="41"/>
        <v>-8.7797173221760658E-2</v>
      </c>
      <c r="DK18" s="88"/>
      <c r="DL18" s="30">
        <f t="shared" si="42"/>
        <v>0</v>
      </c>
      <c r="DM18" s="75">
        <v>0</v>
      </c>
      <c r="DN18" s="75">
        <v>0</v>
      </c>
      <c r="DO18" s="75">
        <v>0</v>
      </c>
      <c r="DP18" s="75">
        <f t="shared" si="43"/>
        <v>0</v>
      </c>
    </row>
    <row r="19" spans="1:120">
      <c r="A19" s="72" t="str">
        <f>name!B15</f>
        <v>Media</v>
      </c>
      <c r="B19" s="30">
        <f t="shared" si="1"/>
        <v>2.650879874909351</v>
      </c>
      <c r="C19" s="11">
        <v>16.661999999999964</v>
      </c>
      <c r="D19" s="75">
        <v>-1.8919999999999957</v>
      </c>
      <c r="E19" s="75">
        <v>4.9828157385534926</v>
      </c>
      <c r="F19" s="75">
        <f t="shared" si="2"/>
        <v>3.0908157385534967</v>
      </c>
      <c r="G19" s="75"/>
      <c r="H19" s="30">
        <f t="shared" si="3"/>
        <v>2.421853726448564</v>
      </c>
      <c r="I19" s="75">
        <v>1.9434405643167627</v>
      </c>
      <c r="J19" s="75">
        <v>-0.90855133713639524</v>
      </c>
      <c r="K19" s="75">
        <v>0.52542579270375545</v>
      </c>
      <c r="L19" s="75">
        <f t="shared" si="4"/>
        <v>-0.3831255444326398</v>
      </c>
      <c r="N19" s="30">
        <f t="shared" si="5"/>
        <v>2.4061732586688978</v>
      </c>
      <c r="O19" s="75">
        <v>7.733476770699653</v>
      </c>
      <c r="P19" s="75">
        <v>-1.0294803032346584</v>
      </c>
      <c r="Q19" s="75">
        <v>2.0757813219951484</v>
      </c>
      <c r="R19" s="75">
        <f t="shared" si="6"/>
        <v>1.04630101876049</v>
      </c>
      <c r="S19" s="88"/>
      <c r="T19" s="30">
        <f t="shared" si="7"/>
        <v>2.9772916903296753</v>
      </c>
      <c r="U19" s="75">
        <v>6.9850826649835493</v>
      </c>
      <c r="V19" s="75">
        <v>4.6031640371057968E-2</v>
      </c>
      <c r="W19" s="75">
        <v>2.3816086238545888</v>
      </c>
      <c r="X19" s="75">
        <f t="shared" si="8"/>
        <v>2.4276402642256469</v>
      </c>
      <c r="Y19" s="72" t="str">
        <f t="shared" si="0"/>
        <v>Media</v>
      </c>
      <c r="Z19" s="30">
        <f t="shared" si="9"/>
        <v>2.9185657815322896</v>
      </c>
      <c r="AA19" s="11">
        <v>8.3794062941985281</v>
      </c>
      <c r="AB19" s="75">
        <v>-0.17587640052692693</v>
      </c>
      <c r="AC19" s="75">
        <v>2.7930973117040807</v>
      </c>
      <c r="AD19" s="75">
        <f t="shared" si="10"/>
        <v>2.6172209111771538</v>
      </c>
      <c r="AE19" s="75"/>
      <c r="AF19" s="30">
        <f t="shared" si="11"/>
        <v>2.7459576371490213</v>
      </c>
      <c r="AG19" s="75">
        <v>0.31243496317011898</v>
      </c>
      <c r="AH19" s="75">
        <v>-0.10738960201360218</v>
      </c>
      <c r="AI19" s="75">
        <v>9.7209482795084096E-2</v>
      </c>
      <c r="AJ19" s="75">
        <f t="shared" si="12"/>
        <v>-1.018011921851808E-2</v>
      </c>
      <c r="AL19" s="30">
        <f t="shared" si="13"/>
        <v>2.6372520747176109</v>
      </c>
      <c r="AM19" s="75">
        <v>2.000766979672798</v>
      </c>
      <c r="AN19" s="75">
        <v>-0.14537129206384908</v>
      </c>
      <c r="AO19" s="75">
        <v>0.59488625177063192</v>
      </c>
      <c r="AP19" s="75">
        <f t="shared" si="14"/>
        <v>0.44951495970678285</v>
      </c>
      <c r="AQ19" s="88"/>
      <c r="AR19" s="30">
        <f t="shared" si="15"/>
        <v>3.0186007978292295</v>
      </c>
      <c r="AS19" s="75">
        <v>6.0662043513556112</v>
      </c>
      <c r="AT19" s="75">
        <v>7.6884493550524291E-2</v>
      </c>
      <c r="AU19" s="75">
        <v>2.1010015771383648</v>
      </c>
      <c r="AV19" s="75">
        <f t="shared" si="16"/>
        <v>2.177886070688889</v>
      </c>
      <c r="AW19" s="72" t="str">
        <f t="shared" si="17"/>
        <v>Media</v>
      </c>
      <c r="AX19" s="30">
        <f t="shared" si="18"/>
        <v>2.6651859485115947</v>
      </c>
      <c r="AY19" s="11">
        <v>1.664971822536162</v>
      </c>
      <c r="AZ19" s="75">
        <v>-0.7022088254799439</v>
      </c>
      <c r="BA19" s="75">
        <v>0.50093050963156127</v>
      </c>
      <c r="BB19" s="75">
        <f t="shared" si="19"/>
        <v>-0.20127831584838263</v>
      </c>
      <c r="BC19" s="75"/>
      <c r="BD19" s="30">
        <f t="shared" si="20"/>
        <v>2.581820000482149</v>
      </c>
      <c r="BE19" s="75">
        <v>0.26372544688368038</v>
      </c>
      <c r="BF19" s="75">
        <v>-0.10831956062703628</v>
      </c>
      <c r="BG19" s="75">
        <v>7.6569920735424277E-2</v>
      </c>
      <c r="BH19" s="75">
        <f t="shared" si="21"/>
        <v>-3.1749639891612003E-2</v>
      </c>
      <c r="BJ19" s="30">
        <f t="shared" si="22"/>
        <v>2.6382225672916038</v>
      </c>
      <c r="BK19" s="75">
        <v>0.90622693590093328</v>
      </c>
      <c r="BL19" s="75">
        <v>-0.31112932759164502</v>
      </c>
      <c r="BM19" s="75">
        <v>0.26955881347514621</v>
      </c>
      <c r="BN19" s="75">
        <f t="shared" si="23"/>
        <v>-4.1570514116498813E-2</v>
      </c>
      <c r="BO19" s="88"/>
      <c r="BP19" s="30">
        <f t="shared" si="24"/>
        <v>2.7583597057282416</v>
      </c>
      <c r="BQ19" s="75">
        <v>0.4950194397515485</v>
      </c>
      <c r="BR19" s="75">
        <v>-0.28275993726126269</v>
      </c>
      <c r="BS19" s="75">
        <v>0.15480177542099077</v>
      </c>
      <c r="BT19" s="75">
        <f t="shared" si="25"/>
        <v>-0.12795816184027192</v>
      </c>
      <c r="BU19" s="72" t="str">
        <f t="shared" si="26"/>
        <v>Media</v>
      </c>
      <c r="BV19" s="30">
        <f t="shared" si="27"/>
        <v>2.301250253200271</v>
      </c>
      <c r="BW19" s="11">
        <v>5.9165033698801821</v>
      </c>
      <c r="BX19" s="75">
        <v>-1.0278366832146471</v>
      </c>
      <c r="BY19" s="75">
        <v>1.5115416978807021</v>
      </c>
      <c r="BZ19" s="75">
        <f t="shared" si="28"/>
        <v>0.48370501466605509</v>
      </c>
      <c r="CA19" s="75"/>
      <c r="CB19" s="30">
        <f t="shared" si="29"/>
        <v>2.3115008885774335</v>
      </c>
      <c r="CC19" s="75">
        <v>1.2498018824231734</v>
      </c>
      <c r="CD19" s="75">
        <v>-0.61465964280907215</v>
      </c>
      <c r="CE19" s="75">
        <v>0.32087094919664594</v>
      </c>
      <c r="CF19" s="75">
        <f t="shared" si="30"/>
        <v>-0.29378869361242621</v>
      </c>
      <c r="CH19" s="30">
        <f t="shared" si="31"/>
        <v>2.2668844506140928</v>
      </c>
      <c r="CI19" s="75">
        <v>4.2539717403366248</v>
      </c>
      <c r="CJ19" s="75">
        <v>-0.61145217832122922</v>
      </c>
      <c r="CK19" s="75">
        <v>1.0688859433031883</v>
      </c>
      <c r="CL19" s="75">
        <f t="shared" si="32"/>
        <v>0.45743376498195909</v>
      </c>
      <c r="CM19" s="88"/>
      <c r="CN19" s="30">
        <f t="shared" si="33"/>
        <v>2.6193775887513038</v>
      </c>
      <c r="CO19" s="75">
        <v>0.41272974712038374</v>
      </c>
      <c r="CP19" s="75">
        <v>0.19827513791565432</v>
      </c>
      <c r="CQ19" s="75">
        <v>0.12178480538086794</v>
      </c>
      <c r="CR19" s="75">
        <f t="shared" si="34"/>
        <v>0.32005994329652226</v>
      </c>
      <c r="CS19" s="72" t="str">
        <f t="shared" si="35"/>
        <v>Media</v>
      </c>
      <c r="CT19" s="30">
        <f t="shared" si="36"/>
        <v>2.2794409399427673</v>
      </c>
      <c r="CU19" s="11">
        <v>0.70111851338509235</v>
      </c>
      <c r="CV19" s="75">
        <v>1.3921909221522149E-2</v>
      </c>
      <c r="CW19" s="75">
        <v>0.17724621933714907</v>
      </c>
      <c r="CX19" s="75">
        <f t="shared" si="37"/>
        <v>0.19116812855867121</v>
      </c>
      <c r="CY19" s="75"/>
      <c r="CZ19" s="30">
        <f t="shared" si="38"/>
        <v>2.3539960057005649</v>
      </c>
      <c r="DA19" s="75">
        <v>0.11747827183979</v>
      </c>
      <c r="DB19" s="75">
        <v>-7.8182531686684584E-2</v>
      </c>
      <c r="DC19" s="75">
        <v>3.0775439976601052E-2</v>
      </c>
      <c r="DD19" s="75">
        <f t="shared" si="39"/>
        <v>-4.7407091710083532E-2</v>
      </c>
      <c r="DF19" s="30">
        <f t="shared" si="40"/>
        <v>2.2468339355165234</v>
      </c>
      <c r="DG19" s="75">
        <v>0.57251111478929684</v>
      </c>
      <c r="DH19" s="75">
        <v>3.8472494742064697E-2</v>
      </c>
      <c r="DI19" s="75">
        <v>0.14245031344618231</v>
      </c>
      <c r="DJ19" s="75">
        <f t="shared" si="41"/>
        <v>0.18092280818824702</v>
      </c>
      <c r="DK19" s="88"/>
      <c r="DL19" s="30">
        <f t="shared" si="42"/>
        <v>3.132129843378717</v>
      </c>
      <c r="DM19" s="75">
        <v>1.1129126756005558E-2</v>
      </c>
      <c r="DN19" s="75">
        <v>5.3631946166142037E-2</v>
      </c>
      <c r="DO19" s="75">
        <v>4.0204659143656838E-3</v>
      </c>
      <c r="DP19" s="75">
        <f t="shared" si="43"/>
        <v>5.7652412080507719E-2</v>
      </c>
    </row>
    <row r="20" spans="1:120">
      <c r="A20" s="72" t="str">
        <f>name!B16</f>
        <v>Information technology</v>
      </c>
      <c r="B20" s="30">
        <f t="shared" si="1"/>
        <v>2.630000270050048</v>
      </c>
      <c r="C20" s="11">
        <v>34.601999999999876</v>
      </c>
      <c r="D20" s="75">
        <v>-3.8549999999999471</v>
      </c>
      <c r="E20" s="75">
        <v>10.256474686233423</v>
      </c>
      <c r="F20" s="75">
        <f t="shared" si="2"/>
        <v>6.4014746862334757</v>
      </c>
      <c r="G20" s="75"/>
      <c r="H20" s="30">
        <f t="shared" si="3"/>
        <v>2.4896239324975644</v>
      </c>
      <c r="I20" s="75">
        <v>6.3842523172142389</v>
      </c>
      <c r="J20" s="75">
        <v>-1.3027470433857931</v>
      </c>
      <c r="K20" s="75">
        <v>1.7798612708286927</v>
      </c>
      <c r="L20" s="75">
        <f t="shared" si="4"/>
        <v>0.47711422744289966</v>
      </c>
      <c r="N20" s="30">
        <f t="shared" si="5"/>
        <v>2.5461854565335118</v>
      </c>
      <c r="O20" s="75">
        <v>18.08880807286123</v>
      </c>
      <c r="P20" s="75">
        <v>-2.1012037936311048</v>
      </c>
      <c r="Q20" s="75">
        <v>5.1709423641740262</v>
      </c>
      <c r="R20" s="75">
        <f t="shared" si="6"/>
        <v>3.0697385705429214</v>
      </c>
      <c r="S20" s="88"/>
      <c r="T20" s="30">
        <f t="shared" si="7"/>
        <v>2.8646399549337564</v>
      </c>
      <c r="U20" s="75">
        <v>10.128939609924409</v>
      </c>
      <c r="V20" s="75">
        <v>-0.45104916298304948</v>
      </c>
      <c r="W20" s="75">
        <v>3.3056710512307044</v>
      </c>
      <c r="X20" s="75">
        <f t="shared" si="8"/>
        <v>2.8546218882476548</v>
      </c>
      <c r="Y20" s="72" t="str">
        <f t="shared" si="0"/>
        <v>Information technology</v>
      </c>
      <c r="Z20" s="30">
        <f t="shared" si="9"/>
        <v>2.8552821094793401</v>
      </c>
      <c r="AA20" s="11">
        <v>13.953182859548033</v>
      </c>
      <c r="AB20" s="75">
        <v>-1.67980428374619</v>
      </c>
      <c r="AC20" s="75">
        <v>4.5369181113981396</v>
      </c>
      <c r="AD20" s="75">
        <f t="shared" si="10"/>
        <v>2.8571138276519497</v>
      </c>
      <c r="AE20" s="75"/>
      <c r="AF20" s="30">
        <f t="shared" si="11"/>
        <v>2.798663449076022</v>
      </c>
      <c r="AG20" s="75">
        <v>1.2847958755225881</v>
      </c>
      <c r="AH20" s="75">
        <v>-0.12384047360641834</v>
      </c>
      <c r="AI20" s="75">
        <v>0.40840629030865233</v>
      </c>
      <c r="AJ20" s="75">
        <f t="shared" si="12"/>
        <v>0.28456581670223402</v>
      </c>
      <c r="AL20" s="30">
        <f t="shared" si="13"/>
        <v>2.7559320611477256</v>
      </c>
      <c r="AM20" s="75">
        <v>4.8268191334861674</v>
      </c>
      <c r="AN20" s="75">
        <v>-0.57107107367591969</v>
      </c>
      <c r="AO20" s="75">
        <v>1.5079392492593697</v>
      </c>
      <c r="AP20" s="75">
        <f t="shared" si="14"/>
        <v>0.93686817558345004</v>
      </c>
      <c r="AQ20" s="88"/>
      <c r="AR20" s="30">
        <f t="shared" si="15"/>
        <v>2.9252105333952505</v>
      </c>
      <c r="AS20" s="75">
        <v>7.8415678505392767</v>
      </c>
      <c r="AT20" s="75">
        <v>-0.98489273646385189</v>
      </c>
      <c r="AU20" s="75">
        <v>2.6205725718301167</v>
      </c>
      <c r="AV20" s="75">
        <f t="shared" si="16"/>
        <v>1.6356798353662647</v>
      </c>
      <c r="AW20" s="72" t="str">
        <f t="shared" si="17"/>
        <v>Information technology</v>
      </c>
      <c r="AX20" s="30">
        <f t="shared" si="18"/>
        <v>2.6748514920266198</v>
      </c>
      <c r="AY20" s="11">
        <v>4.2099312351777032</v>
      </c>
      <c r="AZ20" s="75">
        <v>-0.56161412539516631</v>
      </c>
      <c r="BA20" s="75">
        <v>1.2717759825285015</v>
      </c>
      <c r="BB20" s="75">
        <f t="shared" si="19"/>
        <v>0.71016185713333524</v>
      </c>
      <c r="BC20" s="75"/>
      <c r="BD20" s="30">
        <f t="shared" si="20"/>
        <v>2.5994582145060452</v>
      </c>
      <c r="BE20" s="75">
        <v>0.53565838194452042</v>
      </c>
      <c r="BF20" s="75">
        <v>-7.8618004194655866E-2</v>
      </c>
      <c r="BG20" s="75">
        <v>0.15671215650903289</v>
      </c>
      <c r="BH20" s="75">
        <f t="shared" si="21"/>
        <v>7.8094152314377024E-2</v>
      </c>
      <c r="BJ20" s="30">
        <f t="shared" si="22"/>
        <v>2.6483527756445246</v>
      </c>
      <c r="BK20" s="75">
        <v>2.2560634885597532</v>
      </c>
      <c r="BL20" s="75">
        <v>-0.30542322205299727</v>
      </c>
      <c r="BM20" s="75">
        <v>0.67396040804007895</v>
      </c>
      <c r="BN20" s="75">
        <f t="shared" si="23"/>
        <v>0.36853718598708168</v>
      </c>
      <c r="BO20" s="88"/>
      <c r="BP20" s="30">
        <f t="shared" si="24"/>
        <v>2.7451216362557762</v>
      </c>
      <c r="BQ20" s="75">
        <v>1.4182093646734297</v>
      </c>
      <c r="BR20" s="75">
        <v>-0.17757289914751315</v>
      </c>
      <c r="BS20" s="75">
        <v>0.44110341797938962</v>
      </c>
      <c r="BT20" s="75">
        <f t="shared" si="25"/>
        <v>0.2635305188318765</v>
      </c>
      <c r="BU20" s="72" t="str">
        <f t="shared" si="26"/>
        <v>Information technology</v>
      </c>
      <c r="BV20" s="30">
        <f t="shared" si="27"/>
        <v>2.4242377604531073</v>
      </c>
      <c r="BW20" s="11">
        <v>15.223628532016798</v>
      </c>
      <c r="BX20" s="75">
        <v>-1.9724996964398605</v>
      </c>
      <c r="BY20" s="75">
        <v>4.1203403348407761</v>
      </c>
      <c r="BZ20" s="75">
        <f t="shared" si="28"/>
        <v>2.1478406384009157</v>
      </c>
      <c r="CA20" s="75"/>
      <c r="CB20" s="30">
        <f t="shared" si="29"/>
        <v>2.4043230891266143</v>
      </c>
      <c r="CC20" s="75">
        <v>4.0549670831540263</v>
      </c>
      <c r="CD20" s="75">
        <v>-0.87521384736118646</v>
      </c>
      <c r="CE20" s="75">
        <v>1.0874848929554206</v>
      </c>
      <c r="CF20" s="75">
        <f t="shared" si="30"/>
        <v>0.21227104559423415</v>
      </c>
      <c r="CH20" s="30">
        <f t="shared" si="31"/>
        <v>2.4287404250380895</v>
      </c>
      <c r="CI20" s="75">
        <v>10.383652468950638</v>
      </c>
      <c r="CJ20" s="75">
        <v>-1.3016002996443403</v>
      </c>
      <c r="CK20" s="75">
        <v>2.8161814283025186</v>
      </c>
      <c r="CL20" s="75">
        <f t="shared" si="32"/>
        <v>1.5145811286581783</v>
      </c>
      <c r="CM20" s="88"/>
      <c r="CN20" s="30">
        <f t="shared" si="33"/>
        <v>2.4673648385086233</v>
      </c>
      <c r="CO20" s="75">
        <v>0.78500897991213381</v>
      </c>
      <c r="CP20" s="75">
        <v>0.20431445056566661</v>
      </c>
      <c r="CQ20" s="75">
        <v>0.21667401358283661</v>
      </c>
      <c r="CR20" s="75">
        <f t="shared" si="34"/>
        <v>0.42098846414850322</v>
      </c>
      <c r="CS20" s="72" t="str">
        <f t="shared" si="35"/>
        <v>Information technology</v>
      </c>
      <c r="CT20" s="30">
        <f t="shared" si="36"/>
        <v>2.4144541847002987</v>
      </c>
      <c r="CU20" s="11">
        <v>1.2152573732573435</v>
      </c>
      <c r="CV20" s="75">
        <v>0.35891810558126896</v>
      </c>
      <c r="CW20" s="75">
        <v>0.32744025746600702</v>
      </c>
      <c r="CX20" s="75">
        <f t="shared" si="37"/>
        <v>0.68635836304727604</v>
      </c>
      <c r="CY20" s="75"/>
      <c r="CZ20" s="30">
        <f t="shared" si="38"/>
        <v>2.2573250871402939</v>
      </c>
      <c r="DA20" s="75">
        <v>0.50883097659310417</v>
      </c>
      <c r="DB20" s="75">
        <v>-0.22507471822353237</v>
      </c>
      <c r="DC20" s="75">
        <v>0.12725793105558686</v>
      </c>
      <c r="DD20" s="75">
        <f t="shared" si="39"/>
        <v>-9.7816787167945507E-2</v>
      </c>
      <c r="DF20" s="30">
        <f t="shared" si="40"/>
        <v>2.4816129596337833</v>
      </c>
      <c r="DG20" s="75">
        <v>0.62227298186467062</v>
      </c>
      <c r="DH20" s="75">
        <v>7.6890801742152348E-2</v>
      </c>
      <c r="DI20" s="75">
        <v>0.1728612785720591</v>
      </c>
      <c r="DJ20" s="75">
        <f t="shared" si="41"/>
        <v>0.24975208031421145</v>
      </c>
      <c r="DK20" s="88"/>
      <c r="DL20" s="30">
        <f t="shared" si="42"/>
        <v>2.8514371248256065</v>
      </c>
      <c r="DM20" s="75">
        <v>8.4153414799568824E-2</v>
      </c>
      <c r="DN20" s="75">
        <v>0.50710202206264898</v>
      </c>
      <c r="DO20" s="75">
        <v>2.7321047838361107E-2</v>
      </c>
      <c r="DP20" s="75">
        <f t="shared" si="43"/>
        <v>0.53442306990101007</v>
      </c>
    </row>
    <row r="21" spans="1:120">
      <c r="A21" s="72" t="str">
        <f>name!B17</f>
        <v>Finance and insurance</v>
      </c>
      <c r="B21" s="30">
        <f t="shared" si="1"/>
        <v>2.4812804219719098</v>
      </c>
      <c r="C21" s="11">
        <v>33.322999999999901</v>
      </c>
      <c r="D21" s="75">
        <v>-3.4569999999999741</v>
      </c>
      <c r="E21" s="75">
        <v>9.2554181233713848</v>
      </c>
      <c r="F21" s="75">
        <f t="shared" si="2"/>
        <v>5.7984181233714107</v>
      </c>
      <c r="G21" s="75"/>
      <c r="H21" s="30">
        <f t="shared" si="3"/>
        <v>2.3436986854765918</v>
      </c>
      <c r="I21" s="75">
        <v>7.7779668974735596</v>
      </c>
      <c r="J21" s="75">
        <v>-2.1913610207501648</v>
      </c>
      <c r="K21" s="75">
        <v>2.0277008362964004</v>
      </c>
      <c r="L21" s="75">
        <f t="shared" si="4"/>
        <v>-0.1636601844537644</v>
      </c>
      <c r="N21" s="30">
        <f t="shared" si="5"/>
        <v>2.3961637037624106</v>
      </c>
      <c r="O21" s="75">
        <v>18.946833896500934</v>
      </c>
      <c r="P21" s="75">
        <v>-1.9125527829377933</v>
      </c>
      <c r="Q21" s="75">
        <v>5.0621349318084921</v>
      </c>
      <c r="R21" s="75">
        <f t="shared" si="6"/>
        <v>3.1495821488706985</v>
      </c>
      <c r="S21" s="88"/>
      <c r="T21" s="30">
        <f t="shared" si="7"/>
        <v>2.878971077935244</v>
      </c>
      <c r="U21" s="75">
        <v>6.5981992060254084</v>
      </c>
      <c r="V21" s="75">
        <v>0.64691380368798412</v>
      </c>
      <c r="W21" s="75">
        <v>2.1655823552664915</v>
      </c>
      <c r="X21" s="75">
        <f t="shared" si="8"/>
        <v>2.8124961589544757</v>
      </c>
      <c r="Y21" s="72" t="str">
        <f t="shared" si="0"/>
        <v>Finance and insurance</v>
      </c>
      <c r="Z21" s="30">
        <f t="shared" si="9"/>
        <v>2.798959749955654</v>
      </c>
      <c r="AA21" s="11">
        <v>12.270868694716109</v>
      </c>
      <c r="AB21" s="75">
        <v>2.9764862885854111</v>
      </c>
      <c r="AC21" s="75">
        <v>3.9010857145843958</v>
      </c>
      <c r="AD21" s="75">
        <f t="shared" si="10"/>
        <v>6.8775720031698064</v>
      </c>
      <c r="AE21" s="75"/>
      <c r="AF21" s="30">
        <f t="shared" si="11"/>
        <v>2.7178804906447418</v>
      </c>
      <c r="AG21" s="75">
        <v>1.4082979674661906</v>
      </c>
      <c r="AH21" s="75">
        <v>5.2896058974020416E-2</v>
      </c>
      <c r="AI21" s="75">
        <v>0.43313132387053488</v>
      </c>
      <c r="AJ21" s="75">
        <f t="shared" si="12"/>
        <v>0.48602738284455527</v>
      </c>
      <c r="AL21" s="30">
        <f t="shared" si="13"/>
        <v>2.6905674486324749</v>
      </c>
      <c r="AM21" s="75">
        <v>5.7129298402976092</v>
      </c>
      <c r="AN21" s="75">
        <v>2.2476050941027323</v>
      </c>
      <c r="AO21" s="75">
        <v>1.737210049999393</v>
      </c>
      <c r="AP21" s="75">
        <f t="shared" si="14"/>
        <v>3.9848151441021251</v>
      </c>
      <c r="AQ21" s="88"/>
      <c r="AR21" s="30">
        <f t="shared" si="15"/>
        <v>2.939861842779945</v>
      </c>
      <c r="AS21" s="75">
        <v>5.1496408869523096</v>
      </c>
      <c r="AT21" s="75">
        <v>0.67598513550865802</v>
      </c>
      <c r="AU21" s="75">
        <v>1.7307443407144678</v>
      </c>
      <c r="AV21" s="75">
        <f t="shared" si="16"/>
        <v>2.4067294762231257</v>
      </c>
      <c r="AW21" s="72" t="str">
        <f t="shared" si="17"/>
        <v>Finance and insurance</v>
      </c>
      <c r="AX21" s="30">
        <f t="shared" si="18"/>
        <v>2.6672196716569507</v>
      </c>
      <c r="AY21" s="11">
        <v>3.1291828896233556</v>
      </c>
      <c r="AZ21" s="75">
        <v>4.7662543576286416E-2</v>
      </c>
      <c r="BA21" s="75">
        <v>0.94226572050611046</v>
      </c>
      <c r="BB21" s="75">
        <f t="shared" si="19"/>
        <v>0.98992826408239687</v>
      </c>
      <c r="BC21" s="75"/>
      <c r="BD21" s="30">
        <f t="shared" si="20"/>
        <v>2.6037899995889902</v>
      </c>
      <c r="BE21" s="75">
        <v>0.61592438154919227</v>
      </c>
      <c r="BF21" s="75">
        <v>-3.7382232284277769E-2</v>
      </c>
      <c r="BG21" s="75">
        <v>0.18053095656887813</v>
      </c>
      <c r="BH21" s="75">
        <f t="shared" si="21"/>
        <v>0.14314872428460035</v>
      </c>
      <c r="BJ21" s="30">
        <f t="shared" si="22"/>
        <v>2.6401755891724665</v>
      </c>
      <c r="BK21" s="75">
        <v>1.812577752323878</v>
      </c>
      <c r="BL21" s="75">
        <v>-1.6849737964863366E-2</v>
      </c>
      <c r="BM21" s="75">
        <v>0.53960200635034938</v>
      </c>
      <c r="BN21" s="75">
        <f t="shared" si="23"/>
        <v>0.52275226838548605</v>
      </c>
      <c r="BO21" s="88"/>
      <c r="BP21" s="30">
        <f t="shared" si="24"/>
        <v>2.7920140765933743</v>
      </c>
      <c r="BQ21" s="75">
        <v>0.70068075575028521</v>
      </c>
      <c r="BR21" s="75">
        <v>0.10189451382542755</v>
      </c>
      <c r="BS21" s="75">
        <v>0.22213275758688292</v>
      </c>
      <c r="BT21" s="75">
        <f t="shared" si="25"/>
        <v>0.32402727141231047</v>
      </c>
      <c r="BU21" s="72" t="str">
        <f t="shared" si="26"/>
        <v>Finance and insurance</v>
      </c>
      <c r="BV21" s="30">
        <f t="shared" si="27"/>
        <v>2.2225807612637372</v>
      </c>
      <c r="BW21" s="11">
        <v>17.010496310706994</v>
      </c>
      <c r="BX21" s="75">
        <v>-6.2268929517639569</v>
      </c>
      <c r="BY21" s="75">
        <v>4.1821600833902677</v>
      </c>
      <c r="BZ21" s="75">
        <f t="shared" si="28"/>
        <v>-2.0447328683736892</v>
      </c>
      <c r="CA21" s="75"/>
      <c r="CB21" s="30">
        <f t="shared" si="29"/>
        <v>2.2178133748506523</v>
      </c>
      <c r="CC21" s="75">
        <v>5.361386794682045</v>
      </c>
      <c r="CD21" s="75">
        <v>-2.3999699747148724</v>
      </c>
      <c r="CE21" s="75">
        <v>1.3150232829970165</v>
      </c>
      <c r="CF21" s="75">
        <f t="shared" si="30"/>
        <v>-1.0849466917178558</v>
      </c>
      <c r="CH21" s="30">
        <f t="shared" si="31"/>
        <v>2.2046166739490669</v>
      </c>
      <c r="CI21" s="75">
        <v>10.966559197882978</v>
      </c>
      <c r="CJ21" s="75">
        <v>-3.7501749723874718</v>
      </c>
      <c r="CK21" s="75">
        <v>2.6722208134635381</v>
      </c>
      <c r="CL21" s="75">
        <f t="shared" si="32"/>
        <v>-1.0779541589239336</v>
      </c>
      <c r="CM21" s="88"/>
      <c r="CN21" s="30">
        <f t="shared" si="33"/>
        <v>2.5438402112385017</v>
      </c>
      <c r="CO21" s="75">
        <v>0.68255031814196876</v>
      </c>
      <c r="CP21" s="75">
        <v>-7.6748004661612662E-2</v>
      </c>
      <c r="CQ21" s="75">
        <v>0.19491598692971274</v>
      </c>
      <c r="CR21" s="75">
        <f t="shared" si="34"/>
        <v>0.11816798226810007</v>
      </c>
      <c r="CS21" s="72" t="str">
        <f t="shared" si="35"/>
        <v>Finance and insurance</v>
      </c>
      <c r="CT21" s="30">
        <f t="shared" si="36"/>
        <v>2.2725870846393104</v>
      </c>
      <c r="CU21" s="11">
        <v>0.91245210495344775</v>
      </c>
      <c r="CV21" s="75">
        <v>-0.25425588039771407</v>
      </c>
      <c r="CW21" s="75">
        <v>0.22990660489061099</v>
      </c>
      <c r="CX21" s="75">
        <f t="shared" si="37"/>
        <v>-2.4349275507103085E-2</v>
      </c>
      <c r="CY21" s="75"/>
      <c r="CZ21" s="30">
        <f t="shared" si="38"/>
        <v>2.2758052007650242</v>
      </c>
      <c r="DA21" s="75">
        <v>0.3923577537761323</v>
      </c>
      <c r="DB21" s="75">
        <v>0.19309512727496547</v>
      </c>
      <c r="DC21" s="75">
        <v>9.9015272859970554E-2</v>
      </c>
      <c r="DD21" s="75">
        <f t="shared" si="39"/>
        <v>0.29211040013493605</v>
      </c>
      <c r="DF21" s="30">
        <f t="shared" si="40"/>
        <v>2.2459052950809522</v>
      </c>
      <c r="DG21" s="75">
        <v>0.4547671059964703</v>
      </c>
      <c r="DH21" s="75">
        <v>-0.3931331666881907</v>
      </c>
      <c r="DI21" s="75">
        <v>0.11310206199521274</v>
      </c>
      <c r="DJ21" s="75">
        <f t="shared" si="41"/>
        <v>-0.28003110469297798</v>
      </c>
      <c r="DK21" s="88"/>
      <c r="DL21" s="30">
        <f t="shared" si="42"/>
        <v>2.4375771949586511</v>
      </c>
      <c r="DM21" s="75">
        <v>6.5327245180845164E-2</v>
      </c>
      <c r="DN21" s="75">
        <v>-5.4217840984488806E-2</v>
      </c>
      <c r="DO21" s="75">
        <v>1.7789270035427705E-2</v>
      </c>
      <c r="DP21" s="75">
        <f t="shared" si="43"/>
        <v>-3.6428570949061101E-2</v>
      </c>
    </row>
    <row r="22" spans="1:120">
      <c r="A22" s="72" t="str">
        <f>name!B18</f>
        <v>Real estate</v>
      </c>
      <c r="B22" s="30">
        <f t="shared" si="1"/>
        <v>2.6116897758494684</v>
      </c>
      <c r="C22" s="11">
        <v>6.1683349428474763</v>
      </c>
      <c r="D22" s="75">
        <v>0.196627540592925</v>
      </c>
      <c r="E22" s="75">
        <v>1.8141175570326864</v>
      </c>
      <c r="F22" s="75">
        <f t="shared" si="2"/>
        <v>2.0107450976256116</v>
      </c>
      <c r="G22" s="75"/>
      <c r="H22" s="30">
        <f t="shared" si="3"/>
        <v>2.514226030268718</v>
      </c>
      <c r="I22" s="75">
        <v>1.4414399971181822</v>
      </c>
      <c r="J22" s="75">
        <v>-0.35250015246161959</v>
      </c>
      <c r="K22" s="75">
        <v>0.40628757914793828</v>
      </c>
      <c r="L22" s="75">
        <f t="shared" si="4"/>
        <v>5.3787426686318696E-2</v>
      </c>
      <c r="N22" s="30">
        <f t="shared" si="5"/>
        <v>2.6214470082087438</v>
      </c>
      <c r="O22" s="75">
        <v>2.3753843717507803</v>
      </c>
      <c r="P22" s="75">
        <v>0.12579529520222252</v>
      </c>
      <c r="Q22" s="75">
        <v>0.701528764239294</v>
      </c>
      <c r="R22" s="75">
        <f t="shared" si="6"/>
        <v>0.82732405944151655</v>
      </c>
      <c r="S22" s="88"/>
      <c r="T22" s="30">
        <f t="shared" si="7"/>
        <v>2.6612106513108635</v>
      </c>
      <c r="U22" s="75">
        <v>2.3515105739785147</v>
      </c>
      <c r="V22" s="75">
        <v>0.42333239785232213</v>
      </c>
      <c r="W22" s="75">
        <v>0.70630121364545417</v>
      </c>
      <c r="X22" s="75">
        <f t="shared" si="8"/>
        <v>1.1296336114977763</v>
      </c>
      <c r="Y22" s="72" t="str">
        <f t="shared" si="0"/>
        <v>Real estate</v>
      </c>
      <c r="Z22" s="30">
        <f t="shared" si="9"/>
        <v>2.7183631629002836</v>
      </c>
      <c r="AA22" s="11">
        <v>3.1732901245624543</v>
      </c>
      <c r="AB22" s="75">
        <v>0.6841817025054634</v>
      </c>
      <c r="AC22" s="75">
        <v>0.97616127527036756</v>
      </c>
      <c r="AD22" s="75">
        <f t="shared" si="10"/>
        <v>1.660342977775831</v>
      </c>
      <c r="AE22" s="75"/>
      <c r="AF22" s="30">
        <f t="shared" si="11"/>
        <v>2.6131607505413434</v>
      </c>
      <c r="AG22" s="75">
        <v>0.19250680994422617</v>
      </c>
      <c r="AH22" s="75">
        <v>0.16401414967811412</v>
      </c>
      <c r="AI22" s="75">
        <v>5.6652287723932618E-2</v>
      </c>
      <c r="AJ22" s="75">
        <f t="shared" si="12"/>
        <v>0.22066643740204672</v>
      </c>
      <c r="AL22" s="30">
        <f t="shared" si="13"/>
        <v>2.8445633977957741</v>
      </c>
      <c r="AM22" s="75">
        <v>0.85860730100895899</v>
      </c>
      <c r="AN22" s="75">
        <v>4.2190547756578954E-2</v>
      </c>
      <c r="AO22" s="75">
        <v>0.27799351979985232</v>
      </c>
      <c r="AP22" s="75">
        <f t="shared" si="14"/>
        <v>0.32018406755643125</v>
      </c>
      <c r="AQ22" s="88"/>
      <c r="AR22" s="30">
        <f t="shared" si="15"/>
        <v>2.6764431790775811</v>
      </c>
      <c r="AS22" s="75">
        <v>2.1221760136092689</v>
      </c>
      <c r="AT22" s="75">
        <v>0.47797700507077023</v>
      </c>
      <c r="AU22" s="75">
        <v>0.64151546774658263</v>
      </c>
      <c r="AV22" s="75">
        <f t="shared" si="16"/>
        <v>1.119492472817353</v>
      </c>
      <c r="AW22" s="72" t="str">
        <f t="shared" si="17"/>
        <v>Real estate</v>
      </c>
      <c r="AX22" s="30">
        <f t="shared" si="18"/>
        <v>2.6817205379647824</v>
      </c>
      <c r="AY22" s="11">
        <v>0.48397528340046003</v>
      </c>
      <c r="AZ22" s="75">
        <v>-0.12994053725972496</v>
      </c>
      <c r="BA22" s="75">
        <v>0.14662556967400292</v>
      </c>
      <c r="BB22" s="75">
        <f t="shared" si="19"/>
        <v>1.6685032414277962E-2</v>
      </c>
      <c r="BC22" s="75"/>
      <c r="BD22" s="30">
        <f t="shared" si="20"/>
        <v>2.6291172026759568</v>
      </c>
      <c r="BE22" s="75">
        <v>9.4966037850212306E-2</v>
      </c>
      <c r="BF22" s="75">
        <v>-2.1192060628218386E-2</v>
      </c>
      <c r="BG22" s="75">
        <v>2.8138553500052236E-2</v>
      </c>
      <c r="BH22" s="75">
        <f t="shared" si="21"/>
        <v>6.9464928718338502E-3</v>
      </c>
      <c r="BJ22" s="30">
        <f t="shared" si="22"/>
        <v>2.6564659717416284</v>
      </c>
      <c r="BK22" s="75">
        <v>0.28934641044130943</v>
      </c>
      <c r="BL22" s="75">
        <v>-6.9725317303981571E-2</v>
      </c>
      <c r="BM22" s="75">
        <v>8.6734415154016753E-2</v>
      </c>
      <c r="BN22" s="75">
        <f t="shared" si="23"/>
        <v>1.7009097850035182E-2</v>
      </c>
      <c r="BO22" s="88"/>
      <c r="BP22" s="30">
        <f t="shared" si="24"/>
        <v>2.8043080569318812</v>
      </c>
      <c r="BQ22" s="75">
        <v>9.9662835108938322E-2</v>
      </c>
      <c r="BR22" s="75">
        <v>-3.9023159327524995E-2</v>
      </c>
      <c r="BS22" s="75">
        <v>3.1752601019933914E-2</v>
      </c>
      <c r="BT22" s="75">
        <f t="shared" si="25"/>
        <v>-7.270558307591081E-3</v>
      </c>
      <c r="BU22" s="72" t="str">
        <f t="shared" si="26"/>
        <v>Real estate</v>
      </c>
      <c r="BV22" s="30">
        <f t="shared" si="27"/>
        <v>2.4416221739186561</v>
      </c>
      <c r="BW22" s="11">
        <v>2.2997640416194169</v>
      </c>
      <c r="BX22" s="75">
        <v>-0.8033658212946152</v>
      </c>
      <c r="BY22" s="75">
        <v>0.6274046319250105</v>
      </c>
      <c r="BZ22" s="75">
        <f t="shared" si="28"/>
        <v>-0.1759611893696047</v>
      </c>
      <c r="CA22" s="75"/>
      <c r="CB22" s="30">
        <f t="shared" si="29"/>
        <v>2.4552545911513901</v>
      </c>
      <c r="CC22" s="75">
        <v>1.0388676866360598</v>
      </c>
      <c r="CD22" s="75">
        <v>-0.38022277882383149</v>
      </c>
      <c r="CE22" s="75">
        <v>0.285176888828165</v>
      </c>
      <c r="CF22" s="75">
        <f t="shared" si="30"/>
        <v>-9.5045889995666488E-2</v>
      </c>
      <c r="CH22" s="30">
        <f t="shared" si="31"/>
        <v>2.4368885305120269</v>
      </c>
      <c r="CI22" s="75">
        <v>1.1528693059881228</v>
      </c>
      <c r="CJ22" s="75">
        <v>-0.40179371550567344</v>
      </c>
      <c r="CK22" s="75">
        <v>0.31383937301156528</v>
      </c>
      <c r="CL22" s="75">
        <f t="shared" si="32"/>
        <v>-8.7954342494108162E-2</v>
      </c>
      <c r="CM22" s="88"/>
      <c r="CN22" s="30">
        <f t="shared" si="33"/>
        <v>2.3606641104796822</v>
      </c>
      <c r="CO22" s="75">
        <v>0.10802704899523392</v>
      </c>
      <c r="CP22" s="75">
        <v>-2.134932696511032E-2</v>
      </c>
      <c r="CQ22" s="75">
        <v>2.8388370085280102E-2</v>
      </c>
      <c r="CR22" s="75">
        <f t="shared" si="34"/>
        <v>7.0390431201697821E-3</v>
      </c>
      <c r="CS22" s="72" t="str">
        <f t="shared" si="35"/>
        <v>Real estate</v>
      </c>
      <c r="CT22" s="30">
        <f t="shared" si="36"/>
        <v>2.6783181831917302</v>
      </c>
      <c r="CU22" s="11">
        <v>0.21130549326514642</v>
      </c>
      <c r="CV22" s="75">
        <v>0.44575219664180188</v>
      </c>
      <c r="CW22" s="75">
        <v>6.3926080163305615E-2</v>
      </c>
      <c r="CX22" s="75">
        <f t="shared" si="37"/>
        <v>0.50967827680510747</v>
      </c>
      <c r="CY22" s="75"/>
      <c r="CZ22" s="30">
        <f t="shared" si="38"/>
        <v>2.7805168236047173</v>
      </c>
      <c r="DA22" s="75">
        <v>0.11509946268768383</v>
      </c>
      <c r="DB22" s="75">
        <v>-0.11509946268768383</v>
      </c>
      <c r="DC22" s="75">
        <v>3.6319849095788476E-2</v>
      </c>
      <c r="DD22" s="75">
        <f t="shared" si="39"/>
        <v>-7.8779613591895351E-2</v>
      </c>
      <c r="DF22" s="30">
        <f t="shared" si="40"/>
        <v>2.7210008218849335</v>
      </c>
      <c r="DG22" s="75">
        <v>7.4561354312388889E-2</v>
      </c>
      <c r="DH22" s="75">
        <v>0.55512378025529863</v>
      </c>
      <c r="DI22" s="75">
        <v>2.2961456273859673E-2</v>
      </c>
      <c r="DJ22" s="75">
        <f t="shared" si="41"/>
        <v>0.57808523652915833</v>
      </c>
      <c r="DK22" s="88"/>
      <c r="DL22" s="30">
        <f t="shared" si="42"/>
        <v>1.9631026785993377</v>
      </c>
      <c r="DM22" s="75">
        <v>2.1644676265073697E-2</v>
      </c>
      <c r="DN22" s="75">
        <v>5.7278790741871642E-3</v>
      </c>
      <c r="DO22" s="75">
        <v>4.64477479365746E-3</v>
      </c>
      <c r="DP22" s="75">
        <f t="shared" si="43"/>
        <v>1.0372653867844625E-2</v>
      </c>
    </row>
    <row r="23" spans="1:120">
      <c r="A23" s="72" t="str">
        <f>name!B19</f>
        <v>Professional services</v>
      </c>
      <c r="B23" s="30">
        <f t="shared" si="1"/>
        <v>2.6743157766083714</v>
      </c>
      <c r="C23" s="11">
        <v>38.965266386568921</v>
      </c>
      <c r="D23" s="75">
        <v>11.458986137276469</v>
      </c>
      <c r="E23" s="75">
        <v>11.768350327197798</v>
      </c>
      <c r="F23" s="75">
        <f t="shared" si="2"/>
        <v>23.227336464474266</v>
      </c>
      <c r="G23" s="75"/>
      <c r="H23" s="30">
        <f t="shared" si="3"/>
        <v>2.5161455631662166</v>
      </c>
      <c r="I23" s="75">
        <v>10.746753519096059</v>
      </c>
      <c r="J23" s="75">
        <v>0.60470899426028668</v>
      </c>
      <c r="K23" s="75">
        <v>3.0316842468873038</v>
      </c>
      <c r="L23" s="75">
        <f t="shared" si="4"/>
        <v>3.6363932411475903</v>
      </c>
      <c r="N23" s="30">
        <f t="shared" si="5"/>
        <v>2.6382849635641303</v>
      </c>
      <c r="O23" s="75">
        <v>19.377813500619759</v>
      </c>
      <c r="P23" s="75">
        <v>6.3961252707032488</v>
      </c>
      <c r="Q23" s="75">
        <v>5.7641179254827515</v>
      </c>
      <c r="R23" s="75">
        <f t="shared" si="6"/>
        <v>12.160243196186</v>
      </c>
      <c r="S23" s="88"/>
      <c r="T23" s="30">
        <f t="shared" si="7"/>
        <v>2.9409728215002984</v>
      </c>
      <c r="U23" s="75">
        <v>8.8406993668531033</v>
      </c>
      <c r="V23" s="75">
        <v>4.4581518723129312</v>
      </c>
      <c r="W23" s="75">
        <v>2.972548154827741</v>
      </c>
      <c r="X23" s="75">
        <f t="shared" si="8"/>
        <v>7.4307000271406718</v>
      </c>
      <c r="Y23" s="72" t="str">
        <f t="shared" si="0"/>
        <v>Professional services</v>
      </c>
      <c r="Z23" s="30">
        <f t="shared" si="9"/>
        <v>3.0111146972381153</v>
      </c>
      <c r="AA23" s="11">
        <v>12.983727410431358</v>
      </c>
      <c r="AB23" s="75">
        <v>7.3161535468635082</v>
      </c>
      <c r="AC23" s="75">
        <v>4.4841548751658866</v>
      </c>
      <c r="AD23" s="75">
        <f t="shared" si="10"/>
        <v>11.800308422029396</v>
      </c>
      <c r="AE23" s="75"/>
      <c r="AF23" s="30">
        <f t="shared" si="11"/>
        <v>2.8731628500449968</v>
      </c>
      <c r="AG23" s="75">
        <v>1.9378479390650463</v>
      </c>
      <c r="AH23" s="75">
        <v>1.549926671508655</v>
      </c>
      <c r="AI23" s="75">
        <v>0.63456461426776711</v>
      </c>
      <c r="AJ23" s="75">
        <f t="shared" si="12"/>
        <v>2.184491285776422</v>
      </c>
      <c r="AL23" s="30">
        <f t="shared" si="13"/>
        <v>3.0369546647093459</v>
      </c>
      <c r="AM23" s="75">
        <v>4.9791010176174728</v>
      </c>
      <c r="AN23" s="75">
        <v>2.6541784276946645</v>
      </c>
      <c r="AO23" s="75">
        <v>1.7364411510950009</v>
      </c>
      <c r="AP23" s="75">
        <f t="shared" si="14"/>
        <v>4.3906195787896651</v>
      </c>
      <c r="AQ23" s="88"/>
      <c r="AR23" s="30">
        <f t="shared" si="15"/>
        <v>3.0336611731275553</v>
      </c>
      <c r="AS23" s="75">
        <v>6.0667784537488378</v>
      </c>
      <c r="AT23" s="75">
        <v>3.1120484476601886</v>
      </c>
      <c r="AU23" s="75">
        <v>2.113149109803119</v>
      </c>
      <c r="AV23" s="75">
        <f t="shared" si="16"/>
        <v>5.2251975574633072</v>
      </c>
      <c r="AW23" s="72" t="str">
        <f t="shared" si="17"/>
        <v>Professional services</v>
      </c>
      <c r="AX23" s="30">
        <f t="shared" si="18"/>
        <v>2.6662390167296435</v>
      </c>
      <c r="AY23" s="11">
        <v>4.377709221482184</v>
      </c>
      <c r="AZ23" s="75">
        <v>0.80308463988107726</v>
      </c>
      <c r="BA23" s="75">
        <v>1.3176803910698349</v>
      </c>
      <c r="BB23" s="75">
        <f t="shared" si="19"/>
        <v>2.1207650309509121</v>
      </c>
      <c r="BC23" s="75"/>
      <c r="BD23" s="30">
        <f t="shared" si="20"/>
        <v>2.5700639379084178</v>
      </c>
      <c r="BE23" s="75">
        <v>0.73699369082515398</v>
      </c>
      <c r="BF23" s="75">
        <v>8.1502387714943961E-2</v>
      </c>
      <c r="BG23" s="75">
        <v>0.21288912804948243</v>
      </c>
      <c r="BH23" s="75">
        <f t="shared" si="21"/>
        <v>0.2943915157644264</v>
      </c>
      <c r="BJ23" s="30">
        <f t="shared" si="22"/>
        <v>2.6279165568233287</v>
      </c>
      <c r="BK23" s="75">
        <v>2.307013712695364</v>
      </c>
      <c r="BL23" s="75">
        <v>0.55219489458428639</v>
      </c>
      <c r="BM23" s="75">
        <v>0.6832211463125315</v>
      </c>
      <c r="BN23" s="75">
        <f t="shared" si="23"/>
        <v>1.2354160408968178</v>
      </c>
      <c r="BO23" s="88"/>
      <c r="BP23" s="30">
        <f t="shared" si="24"/>
        <v>2.784722232207959</v>
      </c>
      <c r="BQ23" s="75">
        <v>1.3337018179616666</v>
      </c>
      <c r="BR23" s="75">
        <v>0.16938735758184675</v>
      </c>
      <c r="BS23" s="75">
        <v>0.42157011670782107</v>
      </c>
      <c r="BT23" s="75">
        <f t="shared" si="25"/>
        <v>0.59095747428966783</v>
      </c>
      <c r="BU23" s="72" t="str">
        <f t="shared" si="26"/>
        <v>Professional services</v>
      </c>
      <c r="BV23" s="30">
        <f t="shared" si="27"/>
        <v>2.4703617034511627</v>
      </c>
      <c r="BW23" s="11">
        <v>20.365934087380882</v>
      </c>
      <c r="BX23" s="75">
        <v>2.1048678580900813</v>
      </c>
      <c r="BY23" s="75">
        <v>5.6288985612392128</v>
      </c>
      <c r="BZ23" s="75">
        <f t="shared" si="28"/>
        <v>7.7337664193292941</v>
      </c>
      <c r="CA23" s="75"/>
      <c r="CB23" s="30">
        <f t="shared" si="29"/>
        <v>2.4286762007679874</v>
      </c>
      <c r="CC23" s="75">
        <v>7.4477312798356223</v>
      </c>
      <c r="CD23" s="75">
        <v>-0.68225133953011141</v>
      </c>
      <c r="CE23" s="75">
        <v>2.0198621022347334</v>
      </c>
      <c r="CF23" s="75">
        <f t="shared" si="30"/>
        <v>1.3376107627046219</v>
      </c>
      <c r="CH23" s="30">
        <f t="shared" si="31"/>
        <v>2.4720591117074919</v>
      </c>
      <c r="CI23" s="75">
        <v>11.586627461599615</v>
      </c>
      <c r="CJ23" s="75">
        <v>1.943280535192967</v>
      </c>
      <c r="CK23" s="75">
        <v>3.2048540580010663</v>
      </c>
      <c r="CL23" s="75">
        <f t="shared" si="32"/>
        <v>5.1481345931940332</v>
      </c>
      <c r="CM23" s="88"/>
      <c r="CN23" s="30">
        <f t="shared" si="33"/>
        <v>2.6862600536722958</v>
      </c>
      <c r="CO23" s="75">
        <v>1.3315753459456456</v>
      </c>
      <c r="CP23" s="75">
        <v>0.84383866242722605</v>
      </c>
      <c r="CQ23" s="75">
        <v>0.40418240100341252</v>
      </c>
      <c r="CR23" s="75">
        <f t="shared" si="34"/>
        <v>1.2480210634306386</v>
      </c>
      <c r="CS23" s="72" t="str">
        <f t="shared" si="35"/>
        <v>Professional services</v>
      </c>
      <c r="CT23" s="30">
        <f t="shared" si="36"/>
        <v>2.4409911721383182</v>
      </c>
      <c r="CU23" s="11">
        <v>1.2378956672744925</v>
      </c>
      <c r="CV23" s="75">
        <v>1.2348800924418006</v>
      </c>
      <c r="CW23" s="75">
        <v>0.33761649972286273</v>
      </c>
      <c r="CX23" s="75">
        <f t="shared" si="37"/>
        <v>1.5724965921646634</v>
      </c>
      <c r="CY23" s="75"/>
      <c r="CZ23" s="30">
        <f t="shared" si="38"/>
        <v>2.365082760893733</v>
      </c>
      <c r="DA23" s="75">
        <v>0.62418060937023667</v>
      </c>
      <c r="DB23" s="75">
        <v>-0.34446872543320101</v>
      </c>
      <c r="DC23" s="75">
        <v>0.16436840233532063</v>
      </c>
      <c r="DD23" s="75">
        <f t="shared" si="39"/>
        <v>-0.18010032309788038</v>
      </c>
      <c r="DF23" s="30">
        <f t="shared" si="40"/>
        <v>2.4704563056764162</v>
      </c>
      <c r="DG23" s="75">
        <v>0.50507130870730466</v>
      </c>
      <c r="DH23" s="75">
        <v>1.2464714132313313</v>
      </c>
      <c r="DI23" s="75">
        <v>0.13960157007415316</v>
      </c>
      <c r="DJ23" s="75">
        <f t="shared" si="41"/>
        <v>1.3860729833054843</v>
      </c>
      <c r="DK23" s="88"/>
      <c r="DL23" s="30">
        <f t="shared" si="42"/>
        <v>2.7346741769566751</v>
      </c>
      <c r="DM23" s="75">
        <v>0.10864374919695106</v>
      </c>
      <c r="DN23" s="75">
        <v>0.33287740464367022</v>
      </c>
      <c r="DO23" s="75">
        <v>3.3646527313388873E-2</v>
      </c>
      <c r="DP23" s="75">
        <f t="shared" si="43"/>
        <v>0.36652393195705907</v>
      </c>
    </row>
    <row r="24" spans="1:120">
      <c r="A24" s="72" t="str">
        <f>name!B20</f>
        <v>Support services</v>
      </c>
      <c r="B24" s="30">
        <f t="shared" si="1"/>
        <v>2.784566936730104</v>
      </c>
      <c r="C24" s="11">
        <v>18.720999999999954</v>
      </c>
      <c r="D24" s="75">
        <v>-3.057999999999971</v>
      </c>
      <c r="E24" s="75">
        <v>5.9171529721011353</v>
      </c>
      <c r="F24" s="75">
        <f t="shared" si="2"/>
        <v>2.8591529721011644</v>
      </c>
      <c r="G24" s="75"/>
      <c r="H24" s="30">
        <f t="shared" si="3"/>
        <v>2.6966927781337358</v>
      </c>
      <c r="I24" s="75">
        <v>1.8191700717908714</v>
      </c>
      <c r="J24" s="75">
        <v>6.4644504245958259E-2</v>
      </c>
      <c r="K24" s="75">
        <v>0.55459579978511464</v>
      </c>
      <c r="L24" s="75">
        <f t="shared" si="4"/>
        <v>0.61924030403107289</v>
      </c>
      <c r="N24" s="30">
        <f t="shared" si="5"/>
        <v>2.6438542588397285</v>
      </c>
      <c r="O24" s="75">
        <v>7.3253420053436527</v>
      </c>
      <c r="P24" s="75">
        <v>-2.4007825753231029</v>
      </c>
      <c r="Q24" s="75">
        <v>2.1841522273672624</v>
      </c>
      <c r="R24" s="75">
        <f t="shared" si="6"/>
        <v>-0.21663034795584046</v>
      </c>
      <c r="S24" s="88"/>
      <c r="T24" s="30">
        <f t="shared" si="7"/>
        <v>2.9075064601009837</v>
      </c>
      <c r="U24" s="75">
        <v>9.5764879228654252</v>
      </c>
      <c r="V24" s="75">
        <v>-0.72186192892282663</v>
      </c>
      <c r="W24" s="75">
        <v>3.1784049449487575</v>
      </c>
      <c r="X24" s="75">
        <f t="shared" si="8"/>
        <v>2.4565430160259307</v>
      </c>
      <c r="Y24" s="72" t="str">
        <f t="shared" si="0"/>
        <v>Support services</v>
      </c>
      <c r="Z24" s="30">
        <f t="shared" si="9"/>
        <v>2.8851376822058405</v>
      </c>
      <c r="AA24" s="11">
        <v>10.861879630593116</v>
      </c>
      <c r="AB24" s="75">
        <v>-1.2989925832272919</v>
      </c>
      <c r="AC24" s="75">
        <v>3.5736065944117534</v>
      </c>
      <c r="AD24" s="75">
        <f t="shared" si="10"/>
        <v>2.2746140111844615</v>
      </c>
      <c r="AE24" s="75"/>
      <c r="AF24" s="30">
        <f t="shared" si="11"/>
        <v>2.8363041726111371</v>
      </c>
      <c r="AG24" s="75">
        <v>0.7258796023165236</v>
      </c>
      <c r="AH24" s="75">
        <v>0.20317213116103808</v>
      </c>
      <c r="AI24" s="75">
        <v>0.23424852857398526</v>
      </c>
      <c r="AJ24" s="75">
        <f t="shared" si="12"/>
        <v>0.43742065973502331</v>
      </c>
      <c r="AL24" s="30">
        <f t="shared" si="13"/>
        <v>2.7318188913306285</v>
      </c>
      <c r="AM24" s="75">
        <v>2.8702469151779071</v>
      </c>
      <c r="AN24" s="75">
        <v>-1.1155443530893807</v>
      </c>
      <c r="AO24" s="75">
        <v>0.88785915434127438</v>
      </c>
      <c r="AP24" s="75">
        <f t="shared" si="14"/>
        <v>-0.22768519874810633</v>
      </c>
      <c r="AQ24" s="88"/>
      <c r="AR24" s="30">
        <f t="shared" si="15"/>
        <v>2.949983891234198</v>
      </c>
      <c r="AS24" s="75">
        <v>7.2657531130986843</v>
      </c>
      <c r="AT24" s="75">
        <v>-0.38662036129894933</v>
      </c>
      <c r="AU24" s="75">
        <v>2.4514989114964938</v>
      </c>
      <c r="AV24" s="75">
        <f t="shared" si="16"/>
        <v>2.0648785501975446</v>
      </c>
      <c r="AW24" s="72" t="str">
        <f t="shared" si="17"/>
        <v>Support services</v>
      </c>
      <c r="AX24" s="30">
        <f t="shared" si="18"/>
        <v>2.6712682976482327</v>
      </c>
      <c r="AY24" s="11">
        <v>4.6040936604188767</v>
      </c>
      <c r="AZ24" s="75">
        <v>-0.6550004254648718</v>
      </c>
      <c r="BA24" s="75">
        <v>1.3887564948003865</v>
      </c>
      <c r="BB24" s="75">
        <f t="shared" si="19"/>
        <v>0.73375606933551474</v>
      </c>
      <c r="BC24" s="75"/>
      <c r="BD24" s="30">
        <f t="shared" si="20"/>
        <v>2.5535596624300272</v>
      </c>
      <c r="BE24" s="75">
        <v>0.37306162643140794</v>
      </c>
      <c r="BF24" s="75">
        <v>1.7209773799081063E-3</v>
      </c>
      <c r="BG24" s="75">
        <v>0.10699003130978606</v>
      </c>
      <c r="BH24" s="75">
        <f t="shared" si="21"/>
        <v>0.10871100868969416</v>
      </c>
      <c r="BJ24" s="30">
        <f t="shared" si="22"/>
        <v>2.6033003151062717</v>
      </c>
      <c r="BK24" s="75">
        <v>2.3193614224732308</v>
      </c>
      <c r="BL24" s="75">
        <v>-0.3840544144532913</v>
      </c>
      <c r="BM24" s="75">
        <v>0.67967495424035318</v>
      </c>
      <c r="BN24" s="75">
        <f t="shared" si="23"/>
        <v>0.29562053978706188</v>
      </c>
      <c r="BO24" s="88"/>
      <c r="BP24" s="30">
        <f t="shared" si="24"/>
        <v>2.7758580766296781</v>
      </c>
      <c r="BQ24" s="75">
        <v>1.9116706115142377</v>
      </c>
      <c r="BR24" s="75">
        <v>-0.27266698839148851</v>
      </c>
      <c r="BS24" s="75">
        <v>0.60209150925024713</v>
      </c>
      <c r="BT24" s="75">
        <f t="shared" si="25"/>
        <v>0.32942452085875862</v>
      </c>
      <c r="BU24" s="72" t="str">
        <f t="shared" si="26"/>
        <v>Support services</v>
      </c>
      <c r="BV24" s="30">
        <f t="shared" si="27"/>
        <v>2.5698479897015236</v>
      </c>
      <c r="BW24" s="11">
        <v>2.8786585131525628</v>
      </c>
      <c r="BX24" s="75">
        <v>-1.0291019906527104</v>
      </c>
      <c r="BY24" s="75">
        <v>0.83145560121971473</v>
      </c>
      <c r="BZ24" s="75">
        <f t="shared" si="28"/>
        <v>-0.19764638943299562</v>
      </c>
      <c r="CA24" s="75"/>
      <c r="CB24" s="30">
        <f t="shared" si="29"/>
        <v>2.5646022644531197</v>
      </c>
      <c r="CC24" s="75">
        <v>0.59910933522220677</v>
      </c>
      <c r="CD24" s="75">
        <v>-0.12449271037143683</v>
      </c>
      <c r="CE24" s="75">
        <v>0.17264857384459545</v>
      </c>
      <c r="CF24" s="75">
        <f t="shared" si="30"/>
        <v>4.8155863473158617E-2</v>
      </c>
      <c r="CH24" s="30">
        <f t="shared" si="31"/>
        <v>2.551043008047893</v>
      </c>
      <c r="CI24" s="75">
        <v>1.9475203609870202</v>
      </c>
      <c r="CJ24" s="75">
        <v>-0.84938831927492153</v>
      </c>
      <c r="CK24" s="75">
        <v>0.55791281892363431</v>
      </c>
      <c r="CL24" s="75">
        <f t="shared" si="32"/>
        <v>-0.29147550035128722</v>
      </c>
      <c r="CM24" s="88"/>
      <c r="CN24" s="30">
        <f t="shared" si="33"/>
        <v>2.6888973859664045</v>
      </c>
      <c r="CO24" s="75">
        <v>0.33202881694333602</v>
      </c>
      <c r="CP24" s="75">
        <v>-5.5220961006352098E-2</v>
      </c>
      <c r="CQ24" s="75">
        <v>0.10089420845148493</v>
      </c>
      <c r="CR24" s="75">
        <f t="shared" si="34"/>
        <v>4.5673247445132834E-2</v>
      </c>
      <c r="CS24" s="72" t="str">
        <f t="shared" si="35"/>
        <v>Support services</v>
      </c>
      <c r="CT24" s="30">
        <f t="shared" si="36"/>
        <v>2.8750024457964374</v>
      </c>
      <c r="CU24" s="11">
        <v>0.37636819583539599</v>
      </c>
      <c r="CV24" s="75">
        <v>-7.4905000655096768E-2</v>
      </c>
      <c r="CW24" s="75">
        <v>0.12333428166928057</v>
      </c>
      <c r="CX24" s="75">
        <f t="shared" si="37"/>
        <v>4.8429281014183798E-2</v>
      </c>
      <c r="CY24" s="75"/>
      <c r="CZ24" s="30">
        <f t="shared" si="38"/>
        <v>2.9399620026260287</v>
      </c>
      <c r="DA24" s="75">
        <v>0.12111950782073322</v>
      </c>
      <c r="DB24" s="75">
        <v>-1.5755893923551086E-2</v>
      </c>
      <c r="DC24" s="75">
        <v>4.0708666056747972E-2</v>
      </c>
      <c r="DD24" s="75">
        <f t="shared" si="39"/>
        <v>2.4952772133196886E-2</v>
      </c>
      <c r="DF24" s="30">
        <f t="shared" si="40"/>
        <v>2.7520154670829022</v>
      </c>
      <c r="DG24" s="75">
        <v>0.18821330670549469</v>
      </c>
      <c r="DH24" s="75">
        <v>-5.1795488505508955E-2</v>
      </c>
      <c r="DI24" s="75">
        <v>5.8705299862000827E-2</v>
      </c>
      <c r="DJ24" s="75">
        <f t="shared" si="41"/>
        <v>6.9098113564918726E-3</v>
      </c>
      <c r="DK24" s="88"/>
      <c r="DL24" s="30">
        <f t="shared" si="42"/>
        <v>3.0985559180604971</v>
      </c>
      <c r="DM24" s="75">
        <v>6.7035381309168043E-2</v>
      </c>
      <c r="DN24" s="75">
        <v>-7.3536182260367233E-3</v>
      </c>
      <c r="DO24" s="75">
        <v>2.3920315750531766E-2</v>
      </c>
      <c r="DP24" s="75">
        <f t="shared" si="43"/>
        <v>1.6566697524495043E-2</v>
      </c>
    </row>
    <row r="25" spans="1:120">
      <c r="A25" s="72" t="str">
        <f>name!B21</f>
        <v>Public admin. and defence</v>
      </c>
      <c r="B25" s="30">
        <f t="shared" si="1"/>
        <v>2.7845669367305037</v>
      </c>
      <c r="C25" s="11">
        <v>1.4539999999999971</v>
      </c>
      <c r="D25" s="75">
        <v>0.21500000000000094</v>
      </c>
      <c r="E25" s="75">
        <v>0.45956628499740532</v>
      </c>
      <c r="F25" s="75">
        <f t="shared" si="2"/>
        <v>0.67456628499740623</v>
      </c>
      <c r="G25" s="75"/>
      <c r="H25" s="30">
        <f t="shared" si="3"/>
        <v>2.6966927781336025</v>
      </c>
      <c r="I25" s="75">
        <v>0.14128910231210851</v>
      </c>
      <c r="J25" s="75">
        <v>5.9444251924195786E-2</v>
      </c>
      <c r="K25" s="75">
        <v>4.3073676239935618E-2</v>
      </c>
      <c r="L25" s="75">
        <f t="shared" si="4"/>
        <v>0.10251792816413141</v>
      </c>
      <c r="N25" s="30">
        <f t="shared" si="5"/>
        <v>2.6438542588399061</v>
      </c>
      <c r="O25" s="75">
        <v>0.56893580875873839</v>
      </c>
      <c r="P25" s="75">
        <v>-4.4190249880834614E-2</v>
      </c>
      <c r="Q25" s="75">
        <v>0.1696360952189005</v>
      </c>
      <c r="R25" s="75">
        <f t="shared" si="6"/>
        <v>0.12544584533806588</v>
      </c>
      <c r="S25" s="88"/>
      <c r="T25" s="30">
        <f t="shared" si="7"/>
        <v>2.9075064601016942</v>
      </c>
      <c r="U25" s="75">
        <v>0.74377508892915023</v>
      </c>
      <c r="V25" s="75">
        <v>0.1997459979566398</v>
      </c>
      <c r="W25" s="75">
        <v>0.24685651353856922</v>
      </c>
      <c r="X25" s="75">
        <f t="shared" si="8"/>
        <v>0.44660251149520902</v>
      </c>
      <c r="Y25" s="72" t="str">
        <f t="shared" si="0"/>
        <v>Public admin. and defence</v>
      </c>
      <c r="Z25" s="30">
        <f t="shared" si="9"/>
        <v>2.8851376822067953</v>
      </c>
      <c r="AA25" s="11">
        <v>0.84360733843630331</v>
      </c>
      <c r="AB25" s="75">
        <v>0.17538381792273638</v>
      </c>
      <c r="AC25" s="75">
        <v>0.27755055757017433</v>
      </c>
      <c r="AD25" s="75">
        <f t="shared" si="10"/>
        <v>0.45293437549291071</v>
      </c>
      <c r="AE25" s="75"/>
      <c r="AF25" s="30">
        <f t="shared" si="11"/>
        <v>2.8363041726107818</v>
      </c>
      <c r="AG25" s="75">
        <v>5.6376739584906382E-2</v>
      </c>
      <c r="AH25" s="75">
        <v>4.262009008845738E-2</v>
      </c>
      <c r="AI25" s="75">
        <v>1.819333158200891E-2</v>
      </c>
      <c r="AJ25" s="75">
        <f t="shared" si="12"/>
        <v>6.0813421670466286E-2</v>
      </c>
      <c r="AL25" s="30">
        <f t="shared" si="13"/>
        <v>2.7318188913314945</v>
      </c>
      <c r="AM25" s="75">
        <v>0.2229228681509284</v>
      </c>
      <c r="AN25" s="75">
        <v>-3.594728389981916E-2</v>
      </c>
      <c r="AO25" s="75">
        <v>6.895717164724055E-2</v>
      </c>
      <c r="AP25" s="75">
        <f t="shared" si="14"/>
        <v>3.300988774742139E-2</v>
      </c>
      <c r="AQ25" s="88"/>
      <c r="AR25" s="30">
        <f t="shared" si="15"/>
        <v>2.9499838912350862</v>
      </c>
      <c r="AS25" s="75">
        <v>0.56430773070046847</v>
      </c>
      <c r="AT25" s="75">
        <v>0.16871101173409817</v>
      </c>
      <c r="AU25" s="75">
        <v>0.1904000543409248</v>
      </c>
      <c r="AV25" s="75">
        <f t="shared" si="16"/>
        <v>0.35911106607502297</v>
      </c>
      <c r="AW25" s="72" t="str">
        <f t="shared" si="17"/>
        <v>Public admin. and defence</v>
      </c>
      <c r="AX25" s="30">
        <f t="shared" si="18"/>
        <v>2.6712682976481661</v>
      </c>
      <c r="AY25" s="11">
        <v>0.35758518146798612</v>
      </c>
      <c r="AZ25" s="75">
        <v>6.3217768742032318E-2</v>
      </c>
      <c r="BA25" s="75">
        <v>0.10786026085378261</v>
      </c>
      <c r="BB25" s="75">
        <f t="shared" si="19"/>
        <v>0.17107802959581492</v>
      </c>
      <c r="BC25" s="75"/>
      <c r="BD25" s="30">
        <f t="shared" si="20"/>
        <v>2.5535596624299828</v>
      </c>
      <c r="BE25" s="75">
        <v>2.8974499483491539E-2</v>
      </c>
      <c r="BF25" s="75">
        <v>1.0961155611916022E-2</v>
      </c>
      <c r="BG25" s="75">
        <v>8.3095724333202906E-3</v>
      </c>
      <c r="BH25" s="75">
        <f t="shared" si="21"/>
        <v>1.9270728045236312E-2</v>
      </c>
      <c r="BJ25" s="30">
        <f t="shared" si="22"/>
        <v>2.6033003151064049</v>
      </c>
      <c r="BK25" s="75">
        <v>0.18013735955834875</v>
      </c>
      <c r="BL25" s="75">
        <v>2.6082866221255052E-2</v>
      </c>
      <c r="BM25" s="75">
        <v>5.2788172825711882E-2</v>
      </c>
      <c r="BN25" s="75">
        <f t="shared" si="23"/>
        <v>7.8871039046966934E-2</v>
      </c>
      <c r="BO25" s="88"/>
      <c r="BP25" s="30">
        <f t="shared" si="24"/>
        <v>2.7758580766297891</v>
      </c>
      <c r="BQ25" s="75">
        <v>0.1484733224261458</v>
      </c>
      <c r="BR25" s="75">
        <v>2.6173746908861251E-2</v>
      </c>
      <c r="BS25" s="75">
        <v>4.6762515594750455E-2</v>
      </c>
      <c r="BT25" s="75">
        <f t="shared" si="25"/>
        <v>7.293626250361171E-2</v>
      </c>
      <c r="BU25" s="72" t="str">
        <f t="shared" si="26"/>
        <v>Public admin. and defence</v>
      </c>
      <c r="BV25" s="30">
        <f t="shared" si="27"/>
        <v>2.5698479897014792</v>
      </c>
      <c r="BW25" s="11">
        <v>0.22357616997639901</v>
      </c>
      <c r="BX25" s="75">
        <v>-2.6493246139725597E-2</v>
      </c>
      <c r="BY25" s="75">
        <v>6.4576488658442441E-2</v>
      </c>
      <c r="BZ25" s="75">
        <f t="shared" si="28"/>
        <v>3.8083242518716844E-2</v>
      </c>
      <c r="CA25" s="75"/>
      <c r="CB25" s="30">
        <f t="shared" si="29"/>
        <v>2.5646022644530531</v>
      </c>
      <c r="CC25" s="75">
        <v>4.6530899706966611E-2</v>
      </c>
      <c r="CD25" s="75">
        <v>4.0427545658888358E-3</v>
      </c>
      <c r="CE25" s="75">
        <v>1.3409060753716812E-2</v>
      </c>
      <c r="CF25" s="75">
        <f t="shared" si="30"/>
        <v>1.7451815319605646E-2</v>
      </c>
      <c r="CH25" s="30">
        <f t="shared" si="31"/>
        <v>2.5510430080478264</v>
      </c>
      <c r="CI25" s="75">
        <v>0.1512576574370198</v>
      </c>
      <c r="CJ25" s="75">
        <v>-3.4244162090111052E-2</v>
      </c>
      <c r="CK25" s="75">
        <v>4.3331298473152743E-2</v>
      </c>
      <c r="CL25" s="75">
        <f t="shared" si="32"/>
        <v>9.0871363830416912E-3</v>
      </c>
      <c r="CM25" s="88"/>
      <c r="CN25" s="30">
        <f t="shared" si="33"/>
        <v>2.6888973859667598</v>
      </c>
      <c r="CO25" s="75">
        <v>2.5787612832412595E-2</v>
      </c>
      <c r="CP25" s="75">
        <v>3.7081613844966248E-3</v>
      </c>
      <c r="CQ25" s="75">
        <v>7.836129431572891E-3</v>
      </c>
      <c r="CR25" s="75">
        <f t="shared" si="34"/>
        <v>1.1544290816069516E-2</v>
      </c>
      <c r="CS25" s="72" t="str">
        <f t="shared" si="35"/>
        <v>Public admin. and defence</v>
      </c>
      <c r="CT25" s="30">
        <f t="shared" si="36"/>
        <v>2.8750024457971257</v>
      </c>
      <c r="CU25" s="11">
        <v>2.9231310119308785E-2</v>
      </c>
      <c r="CV25" s="75">
        <v>2.8916594749578122E-3</v>
      </c>
      <c r="CW25" s="75">
        <v>9.578977915005971E-3</v>
      </c>
      <c r="CX25" s="75">
        <f t="shared" si="37"/>
        <v>1.2470637389963783E-2</v>
      </c>
      <c r="CY25" s="75"/>
      <c r="CZ25" s="30">
        <f t="shared" si="38"/>
        <v>2.9399620026260287</v>
      </c>
      <c r="DA25" s="75">
        <v>9.4069635367439817E-3</v>
      </c>
      <c r="DB25" s="75">
        <v>1.8202516579335466E-3</v>
      </c>
      <c r="DC25" s="75">
        <v>3.1617114708896062E-3</v>
      </c>
      <c r="DD25" s="75">
        <f t="shared" si="39"/>
        <v>4.9819631288231525E-3</v>
      </c>
      <c r="DF25" s="30">
        <f t="shared" si="40"/>
        <v>2.7520154670842789</v>
      </c>
      <c r="DG25" s="75">
        <v>1.4617923612441512E-2</v>
      </c>
      <c r="DH25" s="75">
        <v>-8.1670112159448079E-5</v>
      </c>
      <c r="DI25" s="75">
        <v>4.5594522727953144E-3</v>
      </c>
      <c r="DJ25" s="75">
        <f t="shared" si="41"/>
        <v>4.4777821606358662E-3</v>
      </c>
      <c r="DK25" s="88"/>
      <c r="DL25" s="30">
        <f t="shared" si="42"/>
        <v>3.0985559180585875</v>
      </c>
      <c r="DM25" s="75">
        <v>5.2064229701232886E-3</v>
      </c>
      <c r="DN25" s="75">
        <v>1.1530779291837137E-3</v>
      </c>
      <c r="DO25" s="75">
        <v>1.8578141713210513E-3</v>
      </c>
      <c r="DP25" s="75">
        <f t="shared" si="43"/>
        <v>3.0108921005047649E-3</v>
      </c>
    </row>
    <row r="26" spans="1:120">
      <c r="A26" s="72" t="str">
        <f>name!B22</f>
        <v>Education</v>
      </c>
      <c r="B26" s="30">
        <f t="shared" si="1"/>
        <v>2.7941946420653396</v>
      </c>
      <c r="C26" s="11">
        <v>27.519999999999932</v>
      </c>
      <c r="D26" s="75">
        <v>5.4400000000000306</v>
      </c>
      <c r="E26" s="75">
        <v>8.7321954612186001</v>
      </c>
      <c r="F26" s="75">
        <f t="shared" si="2"/>
        <v>14.172195461218632</v>
      </c>
      <c r="G26" s="75"/>
      <c r="H26" s="30">
        <f t="shared" si="3"/>
        <v>2.7029013910380817</v>
      </c>
      <c r="I26" s="75">
        <v>4.1940595367848887</v>
      </c>
      <c r="J26" s="75">
        <v>0.48827775119455635</v>
      </c>
      <c r="K26" s="75">
        <v>1.2819187642232284</v>
      </c>
      <c r="L26" s="75">
        <f t="shared" si="4"/>
        <v>1.7701965154177848</v>
      </c>
      <c r="N26" s="30">
        <f t="shared" si="5"/>
        <v>2.6641720196424856</v>
      </c>
      <c r="O26" s="75">
        <v>13.503625138933433</v>
      </c>
      <c r="P26" s="75">
        <v>0.84821921937760381</v>
      </c>
      <c r="Q26" s="75">
        <v>4.0610233469695309</v>
      </c>
      <c r="R26" s="75">
        <f t="shared" si="6"/>
        <v>4.9092425663471344</v>
      </c>
      <c r="S26" s="88"/>
      <c r="T26" s="30">
        <f t="shared" si="7"/>
        <v>3.008734431358584</v>
      </c>
      <c r="U26" s="75">
        <v>9.822315324281611</v>
      </c>
      <c r="V26" s="75">
        <v>4.1035030294278707</v>
      </c>
      <c r="W26" s="75">
        <v>3.3892533500258399</v>
      </c>
      <c r="X26" s="75">
        <f t="shared" si="8"/>
        <v>7.4927563794537111</v>
      </c>
      <c r="Y26" s="72" t="str">
        <f t="shared" si="0"/>
        <v>Education</v>
      </c>
      <c r="Z26" s="30">
        <f t="shared" si="9"/>
        <v>2.9117760664267189</v>
      </c>
      <c r="AA26" s="11">
        <v>12.395569669075353</v>
      </c>
      <c r="AB26" s="75">
        <v>5.0801062397678249</v>
      </c>
      <c r="AC26" s="75">
        <v>4.1209000120001473</v>
      </c>
      <c r="AD26" s="75">
        <f t="shared" si="10"/>
        <v>9.2010062517679714</v>
      </c>
      <c r="AE26" s="75"/>
      <c r="AF26" s="30">
        <f t="shared" si="11"/>
        <v>2.5937636321570645</v>
      </c>
      <c r="AG26" s="75">
        <v>0.81258397047140074</v>
      </c>
      <c r="AH26" s="75">
        <v>0.63966731573933144</v>
      </c>
      <c r="AI26" s="75">
        <v>0.23714666545277929</v>
      </c>
      <c r="AJ26" s="75">
        <f t="shared" si="12"/>
        <v>0.87681398119211074</v>
      </c>
      <c r="AL26" s="30">
        <f t="shared" si="13"/>
        <v>2.6939990649745837</v>
      </c>
      <c r="AM26" s="75">
        <v>4.0463139611233547</v>
      </c>
      <c r="AN26" s="75">
        <v>0.77655527040304539</v>
      </c>
      <c r="AO26" s="75">
        <v>1.2321825690004835</v>
      </c>
      <c r="AP26" s="75">
        <f t="shared" si="14"/>
        <v>2.0087378394035289</v>
      </c>
      <c r="AQ26" s="88"/>
      <c r="AR26" s="30">
        <f t="shared" si="15"/>
        <v>3.0604341026309489</v>
      </c>
      <c r="AS26" s="75">
        <v>7.5366717374805985</v>
      </c>
      <c r="AT26" s="75">
        <v>3.6638836536254487</v>
      </c>
      <c r="AU26" s="75">
        <v>2.6515707775468846</v>
      </c>
      <c r="AV26" s="75">
        <f t="shared" si="16"/>
        <v>6.3154544311723333</v>
      </c>
      <c r="AW26" s="72" t="str">
        <f t="shared" si="17"/>
        <v>Education</v>
      </c>
      <c r="AX26" s="30">
        <f t="shared" si="18"/>
        <v>2.6688337014858732</v>
      </c>
      <c r="AY26" s="11">
        <v>4.0745695684818486</v>
      </c>
      <c r="AZ26" s="75">
        <v>-0.65076923691411093</v>
      </c>
      <c r="BA26" s="75">
        <v>1.227775929825986</v>
      </c>
      <c r="BB26" s="75">
        <f t="shared" si="19"/>
        <v>0.57700669291187512</v>
      </c>
      <c r="BC26" s="75"/>
      <c r="BD26" s="30">
        <f t="shared" si="20"/>
        <v>2.5882032430875057</v>
      </c>
      <c r="BE26" s="75">
        <v>0.26691123725535981</v>
      </c>
      <c r="BF26" s="75">
        <v>-0.19380533282346687</v>
      </c>
      <c r="BG26" s="75">
        <v>7.7709251306618335E-2</v>
      </c>
      <c r="BH26" s="75">
        <f t="shared" si="21"/>
        <v>-0.11609608151684854</v>
      </c>
      <c r="BJ26" s="30">
        <f t="shared" si="22"/>
        <v>2.6104632834062169</v>
      </c>
      <c r="BK26" s="75">
        <v>2.4396136341847261</v>
      </c>
      <c r="BL26" s="75">
        <v>-0.51114595901616455</v>
      </c>
      <c r="BM26" s="75">
        <v>0.7171170827738349</v>
      </c>
      <c r="BN26" s="75">
        <f t="shared" si="23"/>
        <v>0.20597112375767035</v>
      </c>
      <c r="BO26" s="88"/>
      <c r="BP26" s="30">
        <f t="shared" si="24"/>
        <v>2.7877134101330858</v>
      </c>
      <c r="BQ26" s="75">
        <v>1.3680446970417623</v>
      </c>
      <c r="BR26" s="75">
        <v>5.4182054925520501E-2</v>
      </c>
      <c r="BS26" s="75">
        <v>0.43294959574553271</v>
      </c>
      <c r="BT26" s="75">
        <f t="shared" si="25"/>
        <v>0.48713165067105324</v>
      </c>
      <c r="BU26" s="72" t="str">
        <f t="shared" si="26"/>
        <v>Education</v>
      </c>
      <c r="BV26" s="30">
        <f t="shared" si="27"/>
        <v>2.5719174756100083</v>
      </c>
      <c r="BW26" s="11">
        <v>6.5723358416890418</v>
      </c>
      <c r="BX26" s="75">
        <v>-0.15751225654061013</v>
      </c>
      <c r="BY26" s="75">
        <v>1.9000258963583028</v>
      </c>
      <c r="BZ26" s="75">
        <f t="shared" si="28"/>
        <v>1.7425136398176926</v>
      </c>
      <c r="CA26" s="75"/>
      <c r="CB26" s="30">
        <f t="shared" si="29"/>
        <v>2.5863835000538682</v>
      </c>
      <c r="CC26" s="75">
        <v>1.6317851440554909</v>
      </c>
      <c r="CD26" s="75">
        <v>-0.43279551678413736</v>
      </c>
      <c r="CE26" s="75">
        <v>0.47470859686707906</v>
      </c>
      <c r="CF26" s="75">
        <f t="shared" si="30"/>
        <v>4.1913080082941701E-2</v>
      </c>
      <c r="CH26" s="30">
        <f t="shared" si="31"/>
        <v>2.542118825536166</v>
      </c>
      <c r="CI26" s="75">
        <v>4.3810752206434573</v>
      </c>
      <c r="CJ26" s="75">
        <v>2.5793305536142896E-2</v>
      </c>
      <c r="CK26" s="75">
        <v>1.250158852183944</v>
      </c>
      <c r="CL26" s="75">
        <f t="shared" si="32"/>
        <v>1.275952157720087</v>
      </c>
      <c r="CM26" s="88"/>
      <c r="CN26" s="30">
        <f t="shared" si="33"/>
        <v>2.7611586651374198</v>
      </c>
      <c r="CO26" s="75">
        <v>0.55947547699009315</v>
      </c>
      <c r="CP26" s="75">
        <v>0.24948995470738433</v>
      </c>
      <c r="CQ26" s="75">
        <v>0.17515844730727984</v>
      </c>
      <c r="CR26" s="75">
        <f t="shared" si="34"/>
        <v>0.42464840201466414</v>
      </c>
      <c r="CS26" s="72" t="str">
        <f t="shared" si="35"/>
        <v>Education</v>
      </c>
      <c r="CT26" s="30">
        <f t="shared" si="36"/>
        <v>2.9030497321535176</v>
      </c>
      <c r="CU26" s="11">
        <v>4.4775249207536891</v>
      </c>
      <c r="CV26" s="75">
        <v>1.168175253686927</v>
      </c>
      <c r="CW26" s="75">
        <v>1.4834936230341631</v>
      </c>
      <c r="CX26" s="75">
        <f t="shared" si="37"/>
        <v>2.6516688767210903</v>
      </c>
      <c r="CY26" s="75"/>
      <c r="CZ26" s="30">
        <f t="shared" si="38"/>
        <v>2.9086772572280095</v>
      </c>
      <c r="DA26" s="75">
        <v>1.4827791850026377</v>
      </c>
      <c r="DB26" s="75">
        <v>0.47521128506282911</v>
      </c>
      <c r="DC26" s="75">
        <v>0.4923542505967517</v>
      </c>
      <c r="DD26" s="75">
        <f t="shared" si="39"/>
        <v>0.96756553565958081</v>
      </c>
      <c r="DF26" s="30">
        <f t="shared" si="40"/>
        <v>2.8678141931647749</v>
      </c>
      <c r="DG26" s="75">
        <v>2.6366223229818955</v>
      </c>
      <c r="DH26" s="75">
        <v>0.55701660245458018</v>
      </c>
      <c r="DI26" s="75">
        <v>0.86156484301126879</v>
      </c>
      <c r="DJ26" s="75">
        <f t="shared" si="41"/>
        <v>1.418581445465849</v>
      </c>
      <c r="DK26" s="88"/>
      <c r="DL26" s="30">
        <f t="shared" si="42"/>
        <v>3.1363650139041965</v>
      </c>
      <c r="DM26" s="75">
        <v>0.35812341276915594</v>
      </c>
      <c r="DN26" s="75">
        <v>0.13594736616951764</v>
      </c>
      <c r="DO26" s="75">
        <v>0.12957452942614286</v>
      </c>
      <c r="DP26" s="75">
        <f t="shared" si="43"/>
        <v>0.26552189559566053</v>
      </c>
    </row>
    <row r="27" spans="1:120">
      <c r="A27" s="72" t="str">
        <f>name!B23</f>
        <v>Health and social work</v>
      </c>
      <c r="B27" s="30">
        <f t="shared" si="1"/>
        <v>2.5950961839178666</v>
      </c>
      <c r="C27" s="11">
        <v>275.60199999999969</v>
      </c>
      <c r="D27" s="75">
        <v>-1.6730000000003524</v>
      </c>
      <c r="E27" s="75">
        <v>80.47866678861341</v>
      </c>
      <c r="F27" s="75">
        <f t="shared" si="2"/>
        <v>78.805666788613053</v>
      </c>
      <c r="G27" s="75"/>
      <c r="H27" s="30">
        <f t="shared" si="3"/>
        <v>2.4695756737683316</v>
      </c>
      <c r="I27" s="75">
        <v>81.511675089783012</v>
      </c>
      <c r="J27" s="75">
        <v>-19.797720579312639</v>
      </c>
      <c r="K27" s="75">
        <v>22.520863469623457</v>
      </c>
      <c r="L27" s="75">
        <f t="shared" si="4"/>
        <v>2.7231428903108181</v>
      </c>
      <c r="N27" s="30">
        <f t="shared" si="5"/>
        <v>2.5552337751491017</v>
      </c>
      <c r="O27" s="75">
        <v>150.28991841904894</v>
      </c>
      <c r="P27" s="75">
        <v>8.7057795230669974</v>
      </c>
      <c r="Q27" s="75">
        <v>43.133091870505552</v>
      </c>
      <c r="R27" s="75">
        <f t="shared" si="6"/>
        <v>51.838871393572546</v>
      </c>
      <c r="S27" s="88"/>
      <c r="T27" s="30">
        <f t="shared" si="7"/>
        <v>2.9581093378684198</v>
      </c>
      <c r="U27" s="75">
        <v>43.800406491167763</v>
      </c>
      <c r="V27" s="75">
        <v>9.418941056245286</v>
      </c>
      <c r="W27" s="75">
        <v>14.824711448484381</v>
      </c>
      <c r="X27" s="75">
        <f t="shared" si="8"/>
        <v>24.243652504729667</v>
      </c>
      <c r="Y27" s="72" t="str">
        <f t="shared" si="0"/>
        <v>Health and social work</v>
      </c>
      <c r="Z27" s="30">
        <f t="shared" si="9"/>
        <v>3.1186773432537507</v>
      </c>
      <c r="AA27" s="11">
        <v>64.293915126009693</v>
      </c>
      <c r="AB27" s="75">
        <v>17.722549991381833</v>
      </c>
      <c r="AC27" s="75">
        <v>23.112480454512202</v>
      </c>
      <c r="AD27" s="75">
        <f t="shared" si="10"/>
        <v>40.835030445894034</v>
      </c>
      <c r="AE27" s="75"/>
      <c r="AF27" s="30">
        <f t="shared" si="11"/>
        <v>3.0783063740929206</v>
      </c>
      <c r="AG27" s="75">
        <v>9.9195473983854772</v>
      </c>
      <c r="AH27" s="75">
        <v>1.4973424642898829</v>
      </c>
      <c r="AI27" s="75">
        <v>3.5131923201060649</v>
      </c>
      <c r="AJ27" s="75">
        <f t="shared" si="12"/>
        <v>5.010534784395948</v>
      </c>
      <c r="AL27" s="30">
        <f t="shared" si="13"/>
        <v>3.1315372831501653</v>
      </c>
      <c r="AM27" s="75">
        <v>25.525698517196087</v>
      </c>
      <c r="AN27" s="75">
        <v>10.147584573449684</v>
      </c>
      <c r="AO27" s="75">
        <v>9.2193201705336563</v>
      </c>
      <c r="AP27" s="75">
        <f t="shared" si="14"/>
        <v>19.366904743983341</v>
      </c>
      <c r="AQ27" s="88"/>
      <c r="AR27" s="30">
        <f t="shared" si="15"/>
        <v>3.121149070624285</v>
      </c>
      <c r="AS27" s="75">
        <v>28.848669210428131</v>
      </c>
      <c r="AT27" s="75">
        <v>6.0776229536422628</v>
      </c>
      <c r="AU27" s="75">
        <v>10.379967963872479</v>
      </c>
      <c r="AV27" s="75">
        <f t="shared" si="16"/>
        <v>16.457590917514743</v>
      </c>
      <c r="AW27" s="72" t="str">
        <f t="shared" si="17"/>
        <v>Health and social work</v>
      </c>
      <c r="AX27" s="30">
        <f t="shared" si="18"/>
        <v>2.6759668403012915</v>
      </c>
      <c r="AY27" s="11">
        <v>16.521747365931887</v>
      </c>
      <c r="AZ27" s="75">
        <v>-0.90533997621618789</v>
      </c>
      <c r="BA27" s="75">
        <v>4.9933832774217386</v>
      </c>
      <c r="BB27" s="75">
        <f t="shared" si="19"/>
        <v>4.088043301205551</v>
      </c>
      <c r="BC27" s="75"/>
      <c r="BD27" s="30">
        <f t="shared" si="20"/>
        <v>2.5787165892088737</v>
      </c>
      <c r="BE27" s="75">
        <v>2.1756544236878499</v>
      </c>
      <c r="BF27" s="75">
        <v>-0.17162265131127769</v>
      </c>
      <c r="BG27" s="75">
        <v>0.63082928217437373</v>
      </c>
      <c r="BH27" s="75">
        <f t="shared" si="21"/>
        <v>0.45920663086309604</v>
      </c>
      <c r="BJ27" s="30">
        <f t="shared" si="22"/>
        <v>2.6312555462310261</v>
      </c>
      <c r="BK27" s="75">
        <v>8.5774116106248197</v>
      </c>
      <c r="BL27" s="75">
        <v>-1.3110321038488253</v>
      </c>
      <c r="BM27" s="75">
        <v>2.5438144946044696</v>
      </c>
      <c r="BN27" s="75">
        <f t="shared" si="23"/>
        <v>1.2327823907556443</v>
      </c>
      <c r="BO27" s="88"/>
      <c r="BP27" s="30">
        <f t="shared" si="24"/>
        <v>2.7783786676990552</v>
      </c>
      <c r="BQ27" s="75">
        <v>5.7686813316192156</v>
      </c>
      <c r="BR27" s="75">
        <v>0.57731477894391503</v>
      </c>
      <c r="BS27" s="75">
        <v>1.8187395006428966</v>
      </c>
      <c r="BT27" s="75">
        <f t="shared" si="25"/>
        <v>2.3960542795868118</v>
      </c>
      <c r="BU27" s="72" t="str">
        <f t="shared" si="26"/>
        <v>Health and social work</v>
      </c>
      <c r="BV27" s="30">
        <f t="shared" si="27"/>
        <v>2.4185311777933372</v>
      </c>
      <c r="BW27" s="11">
        <v>185.64731569674743</v>
      </c>
      <c r="BX27" s="75">
        <v>-20.042065793695048</v>
      </c>
      <c r="BY27" s="75">
        <v>50.114846449207548</v>
      </c>
      <c r="BZ27" s="75">
        <f t="shared" si="28"/>
        <v>30.072780655512499</v>
      </c>
      <c r="CA27" s="75"/>
      <c r="CB27" s="30">
        <f t="shared" si="29"/>
        <v>2.3870453919311752</v>
      </c>
      <c r="CC27" s="75">
        <v>65.07948365464064</v>
      </c>
      <c r="CD27" s="75">
        <v>-20.422001047817911</v>
      </c>
      <c r="CE27" s="75">
        <v>17.314254108560334</v>
      </c>
      <c r="CF27" s="75">
        <f t="shared" si="30"/>
        <v>-3.1077469392575772</v>
      </c>
      <c r="CH27" s="30">
        <f t="shared" si="31"/>
        <v>2.4258065702267961</v>
      </c>
      <c r="CI27" s="75">
        <v>111.69445579336453</v>
      </c>
      <c r="CJ27" s="75">
        <v>-1.7999732059359685</v>
      </c>
      <c r="CK27" s="75">
        <v>30.252323208272195</v>
      </c>
      <c r="CL27" s="75">
        <f t="shared" si="32"/>
        <v>28.452350002336225</v>
      </c>
      <c r="CM27" s="88"/>
      <c r="CN27" s="30">
        <f t="shared" si="33"/>
        <v>2.5566857264312626</v>
      </c>
      <c r="CO27" s="75">
        <v>8.8733762487422378</v>
      </c>
      <c r="CP27" s="75">
        <v>2.1799084600588299</v>
      </c>
      <c r="CQ27" s="75">
        <v>2.5482691323750268</v>
      </c>
      <c r="CR27" s="75">
        <f t="shared" si="34"/>
        <v>4.7281775924338572</v>
      </c>
      <c r="CS27" s="72" t="str">
        <f t="shared" si="35"/>
        <v>Health and social work</v>
      </c>
      <c r="CT27" s="30">
        <f t="shared" si="36"/>
        <v>2.2325047123997521</v>
      </c>
      <c r="CU27" s="11">
        <v>9.139021811310748</v>
      </c>
      <c r="CV27" s="75">
        <v>1.5518557785290545</v>
      </c>
      <c r="CW27" s="75">
        <v>2.2579566074718973</v>
      </c>
      <c r="CX27" s="75">
        <f t="shared" si="37"/>
        <v>3.8098123860009521</v>
      </c>
      <c r="CY27" s="75"/>
      <c r="CZ27" s="30">
        <f t="shared" si="38"/>
        <v>2.2155897378276945</v>
      </c>
      <c r="DA27" s="75">
        <v>4.3369896130690391</v>
      </c>
      <c r="DB27" s="75">
        <v>-0.70143934447333278</v>
      </c>
      <c r="DC27" s="75">
        <v>1.0625877587826875</v>
      </c>
      <c r="DD27" s="75">
        <f t="shared" si="39"/>
        <v>0.36114841430935474</v>
      </c>
      <c r="DF27" s="30">
        <f t="shared" si="40"/>
        <v>2.2465820104417666</v>
      </c>
      <c r="DG27" s="75">
        <v>4.4923524978635268</v>
      </c>
      <c r="DH27" s="75">
        <v>1.6692002594021076</v>
      </c>
      <c r="DI27" s="75">
        <v>1.1176339970952323</v>
      </c>
      <c r="DJ27" s="75">
        <f t="shared" si="41"/>
        <v>2.7868342564973396</v>
      </c>
      <c r="DK27" s="88"/>
      <c r="DL27" s="30">
        <f t="shared" si="42"/>
        <v>2.2648343335861076</v>
      </c>
      <c r="DM27" s="75">
        <v>0.30967970037818215</v>
      </c>
      <c r="DN27" s="75">
        <v>0.58409486360027985</v>
      </c>
      <c r="DO27" s="75">
        <v>7.7734851593977319E-2</v>
      </c>
      <c r="DP27" s="75">
        <f t="shared" si="43"/>
        <v>0.66182971519425715</v>
      </c>
    </row>
    <row r="28" spans="1:120">
      <c r="A28" s="72" t="str">
        <f>name!B24</f>
        <v>Arts and entertainment</v>
      </c>
      <c r="B28" s="30">
        <f t="shared" si="1"/>
        <v>2.6894345447805668</v>
      </c>
      <c r="C28" s="11">
        <v>583.99199872311158</v>
      </c>
      <c r="D28" s="75">
        <v>22.974992839555728</v>
      </c>
      <c r="E28" s="75">
        <v>177.49855672479771</v>
      </c>
      <c r="F28" s="75">
        <f t="shared" si="2"/>
        <v>200.47354956435345</v>
      </c>
      <c r="G28" s="75"/>
      <c r="H28" s="30">
        <f t="shared" si="3"/>
        <v>2.5241340757117703</v>
      </c>
      <c r="I28" s="75">
        <v>112.61142831364945</v>
      </c>
      <c r="J28" s="75">
        <v>-19.950461975362895</v>
      </c>
      <c r="K28" s="75">
        <v>31.880492992433172</v>
      </c>
      <c r="L28" s="75">
        <f t="shared" si="4"/>
        <v>11.930031017070277</v>
      </c>
      <c r="N28" s="30">
        <f t="shared" si="5"/>
        <v>2.5965813402446081</v>
      </c>
      <c r="O28" s="75">
        <v>322.09728549501801</v>
      </c>
      <c r="P28" s="75">
        <v>22.98072850143604</v>
      </c>
      <c r="Q28" s="75">
        <v>94.116022316887069</v>
      </c>
      <c r="R28" s="75">
        <f t="shared" si="6"/>
        <v>117.0967508183231</v>
      </c>
      <c r="S28" s="88"/>
      <c r="T28" s="30">
        <f t="shared" si="7"/>
        <v>3.0082665428908584</v>
      </c>
      <c r="U28" s="75">
        <v>149.28328491444404</v>
      </c>
      <c r="V28" s="75">
        <v>19.94472631348258</v>
      </c>
      <c r="W28" s="75">
        <v>51.5020414154775</v>
      </c>
      <c r="X28" s="75">
        <f t="shared" si="8"/>
        <v>71.446767728960083</v>
      </c>
      <c r="Y28" s="72" t="str">
        <f t="shared" si="0"/>
        <v>Arts and entertainment</v>
      </c>
      <c r="Z28" s="30">
        <f t="shared" si="9"/>
        <v>3.2588943559272998</v>
      </c>
      <c r="AA28" s="11">
        <v>161.66137310285907</v>
      </c>
      <c r="AB28" s="75">
        <v>1.3326548882882316</v>
      </c>
      <c r="AC28" s="75">
        <v>61.121073231490051</v>
      </c>
      <c r="AD28" s="75">
        <f t="shared" si="10"/>
        <v>62.453728119778283</v>
      </c>
      <c r="AE28" s="75"/>
      <c r="AF28" s="30">
        <f t="shared" si="11"/>
        <v>3.2768095159466437</v>
      </c>
      <c r="AG28" s="75">
        <v>13.303128548274954</v>
      </c>
      <c r="AH28" s="75">
        <v>-1.9338514027227476</v>
      </c>
      <c r="AI28" s="75">
        <v>5.0614902397360089</v>
      </c>
      <c r="AJ28" s="75">
        <f t="shared" si="12"/>
        <v>3.1276388370132615</v>
      </c>
      <c r="AL28" s="30">
        <f t="shared" si="13"/>
        <v>3.2222682296140004</v>
      </c>
      <c r="AM28" s="75">
        <v>61.167755464113846</v>
      </c>
      <c r="AN28" s="75">
        <v>-4.1267654969595462</v>
      </c>
      <c r="AO28" s="75">
        <v>22.827842408062001</v>
      </c>
      <c r="AP28" s="75">
        <f t="shared" si="14"/>
        <v>18.701076911102454</v>
      </c>
      <c r="AQ28" s="88"/>
      <c r="AR28" s="30">
        <f t="shared" si="15"/>
        <v>3.2817897264484586</v>
      </c>
      <c r="AS28" s="75">
        <v>87.190489090470265</v>
      </c>
      <c r="AT28" s="75">
        <v>7.3932717879705248</v>
      </c>
      <c r="AU28" s="75">
        <v>33.231740583692044</v>
      </c>
      <c r="AV28" s="75">
        <f t="shared" si="16"/>
        <v>40.625012371662571</v>
      </c>
      <c r="AW28" s="72" t="str">
        <f t="shared" si="17"/>
        <v>Arts and entertainment</v>
      </c>
      <c r="AX28" s="30">
        <f t="shared" si="18"/>
        <v>2.4581982255185597</v>
      </c>
      <c r="AY28" s="11">
        <v>274.12096692663408</v>
      </c>
      <c r="AZ28" s="75">
        <v>19.909375624336565</v>
      </c>
      <c r="BA28" s="75">
        <v>75.348629505054475</v>
      </c>
      <c r="BB28" s="75">
        <f t="shared" si="19"/>
        <v>95.258005129391037</v>
      </c>
      <c r="BC28" s="75"/>
      <c r="BD28" s="30">
        <f t="shared" si="20"/>
        <v>2.3965751535212299</v>
      </c>
      <c r="BE28" s="75">
        <v>52.434042602494252</v>
      </c>
      <c r="BF28" s="75">
        <v>-10.478560037555006</v>
      </c>
      <c r="BG28" s="75">
        <v>14.01177557326081</v>
      </c>
      <c r="BH28" s="75">
        <f t="shared" si="21"/>
        <v>3.5332155357058035</v>
      </c>
      <c r="BJ28" s="30">
        <f t="shared" si="22"/>
        <v>2.4303568044377055</v>
      </c>
      <c r="BK28" s="75">
        <v>169.82026195600062</v>
      </c>
      <c r="BL28" s="75">
        <v>22.045877770222617</v>
      </c>
      <c r="BM28" s="75">
        <v>46.091529986569107</v>
      </c>
      <c r="BN28" s="75">
        <f t="shared" si="23"/>
        <v>68.137407756791731</v>
      </c>
      <c r="BO28" s="88"/>
      <c r="BP28" s="30">
        <f t="shared" si="24"/>
        <v>2.6103523894776215</v>
      </c>
      <c r="BQ28" s="75">
        <v>51.866662368139195</v>
      </c>
      <c r="BR28" s="75">
        <v>8.3420578916689543</v>
      </c>
      <c r="BS28" s="75">
        <v>15.245323945224559</v>
      </c>
      <c r="BT28" s="75">
        <f t="shared" si="25"/>
        <v>23.587381836893513</v>
      </c>
      <c r="BU28" s="72" t="str">
        <f t="shared" si="26"/>
        <v>Arts and entertainment</v>
      </c>
      <c r="BV28" s="30">
        <f t="shared" si="27"/>
        <v>2.5546872517099084</v>
      </c>
      <c r="BW28" s="11">
        <v>107.2598983032326</v>
      </c>
      <c r="BX28" s="75">
        <v>-4.6347125764802879</v>
      </c>
      <c r="BY28" s="75">
        <v>30.776152696349076</v>
      </c>
      <c r="BZ28" s="75">
        <f t="shared" si="28"/>
        <v>26.14144011986879</v>
      </c>
      <c r="CA28" s="75"/>
      <c r="CB28" s="30">
        <f t="shared" si="29"/>
        <v>2.4937117735407188</v>
      </c>
      <c r="CC28" s="75">
        <v>30.58519142119675</v>
      </c>
      <c r="CD28" s="75">
        <v>-4.9664708583329622</v>
      </c>
      <c r="CE28" s="75">
        <v>8.5424270700257328</v>
      </c>
      <c r="CF28" s="75">
        <f t="shared" si="30"/>
        <v>3.5759562116927706</v>
      </c>
      <c r="CH28" s="30">
        <f t="shared" si="31"/>
        <v>2.5657893609980054</v>
      </c>
      <c r="CI28" s="75">
        <v>68.527793794387208</v>
      </c>
      <c r="CJ28" s="75">
        <v>-2.6111534978573356</v>
      </c>
      <c r="CK28" s="75">
        <v>19.75824225652681</v>
      </c>
      <c r="CL28" s="75">
        <f t="shared" si="32"/>
        <v>17.147088758669476</v>
      </c>
      <c r="CM28" s="88"/>
      <c r="CN28" s="30">
        <f t="shared" si="33"/>
        <v>2.6887677275016175</v>
      </c>
      <c r="CO28" s="75">
        <v>8.1469130876486417</v>
      </c>
      <c r="CP28" s="75">
        <v>2.9429117797100104</v>
      </c>
      <c r="CQ28" s="75">
        <v>2.4754833697965344</v>
      </c>
      <c r="CR28" s="75">
        <f t="shared" si="34"/>
        <v>5.4183951495065443</v>
      </c>
      <c r="CS28" s="72" t="str">
        <f t="shared" si="35"/>
        <v>Arts and entertainment</v>
      </c>
      <c r="CT28" s="30">
        <f t="shared" si="36"/>
        <v>2.2595665716523383</v>
      </c>
      <c r="CU28" s="11">
        <v>40.949760390385762</v>
      </c>
      <c r="CV28" s="75">
        <v>6.3676749034112179</v>
      </c>
      <c r="CW28" s="75">
        <v>10.252701291904129</v>
      </c>
      <c r="CX28" s="75">
        <f t="shared" si="37"/>
        <v>16.620376195315348</v>
      </c>
      <c r="CY28" s="75"/>
      <c r="CZ28" s="30">
        <f t="shared" si="38"/>
        <v>2.3528014807572273</v>
      </c>
      <c r="DA28" s="75">
        <v>16.289065741683487</v>
      </c>
      <c r="DB28" s="75">
        <v>-2.5715796767521768</v>
      </c>
      <c r="DC28" s="75">
        <v>4.264800109410622</v>
      </c>
      <c r="DD28" s="75">
        <f t="shared" si="39"/>
        <v>1.6932204326584452</v>
      </c>
      <c r="DF28" s="30">
        <f t="shared" si="40"/>
        <v>2.1812946342883111</v>
      </c>
      <c r="DG28" s="75">
        <v>22.581474280516332</v>
      </c>
      <c r="DH28" s="75">
        <v>7.6727697260303049</v>
      </c>
      <c r="DI28" s="75">
        <v>5.438407665729156</v>
      </c>
      <c r="DJ28" s="75">
        <f t="shared" si="41"/>
        <v>13.111177391759462</v>
      </c>
      <c r="DK28" s="88"/>
      <c r="DL28" s="30">
        <f t="shared" si="42"/>
        <v>2.372728806531299</v>
      </c>
      <c r="DM28" s="75">
        <v>2.0792203681859425</v>
      </c>
      <c r="DN28" s="75">
        <v>1.2664848541330906</v>
      </c>
      <c r="DO28" s="75">
        <v>0.54949351676435321</v>
      </c>
      <c r="DP28" s="75">
        <f t="shared" si="43"/>
        <v>1.8159783708974437</v>
      </c>
    </row>
    <row r="29" spans="1:120">
      <c r="A29" s="72" t="str">
        <f>name!B25</f>
        <v>Other services</v>
      </c>
      <c r="B29" s="30">
        <f t="shared" si="1"/>
        <v>2.7838069142694266</v>
      </c>
      <c r="C29" s="11">
        <v>108.16125170522943</v>
      </c>
      <c r="D29" s="75">
        <v>8.1774730396989117</v>
      </c>
      <c r="E29" s="75">
        <v>34.176039083117807</v>
      </c>
      <c r="F29" s="75">
        <f t="shared" si="2"/>
        <v>42.353512122816717</v>
      </c>
      <c r="G29" s="75"/>
      <c r="H29" s="30">
        <f t="shared" si="3"/>
        <v>2.6834266880037649</v>
      </c>
      <c r="I29" s="75">
        <v>32.326959698464499</v>
      </c>
      <c r="J29" s="75">
        <v>-6.1167969801013387</v>
      </c>
      <c r="K29" s="75">
        <v>9.8008028887364027</v>
      </c>
      <c r="L29" s="75">
        <f t="shared" si="4"/>
        <v>3.6840059086350641</v>
      </c>
      <c r="N29" s="30">
        <f t="shared" si="5"/>
        <v>2.7760834170330817</v>
      </c>
      <c r="O29" s="75">
        <v>57.398886868822629</v>
      </c>
      <c r="P29" s="75">
        <v>7.6406602287910461</v>
      </c>
      <c r="Q29" s="75">
        <v>18.079760081959783</v>
      </c>
      <c r="R29" s="75">
        <f t="shared" si="6"/>
        <v>25.720420310750828</v>
      </c>
      <c r="S29" s="88"/>
      <c r="T29" s="30">
        <f t="shared" si="7"/>
        <v>2.981376043016648</v>
      </c>
      <c r="U29" s="75">
        <v>18.435405137942325</v>
      </c>
      <c r="V29" s="75">
        <v>6.6536097910092034</v>
      </c>
      <c r="W29" s="75">
        <v>6.2954761124216301</v>
      </c>
      <c r="X29" s="75">
        <f t="shared" si="8"/>
        <v>12.949085903430834</v>
      </c>
      <c r="Y29" s="72" t="str">
        <f t="shared" si="0"/>
        <v>Other services</v>
      </c>
      <c r="Z29" s="30">
        <f t="shared" si="9"/>
        <v>3.3946693153821483</v>
      </c>
      <c r="AA29" s="11">
        <v>18.73707769261355</v>
      </c>
      <c r="AB29" s="75">
        <v>3.9696712217231607</v>
      </c>
      <c r="AC29" s="75">
        <v>7.4256694078981278</v>
      </c>
      <c r="AD29" s="75">
        <f t="shared" si="10"/>
        <v>11.395340629621288</v>
      </c>
      <c r="AE29" s="75"/>
      <c r="AF29" s="30">
        <f t="shared" si="11"/>
        <v>3.6016336348735356</v>
      </c>
      <c r="AG29" s="75">
        <v>2.3415431027696858</v>
      </c>
      <c r="AH29" s="75">
        <v>0.24514900613498003</v>
      </c>
      <c r="AI29" s="75">
        <v>0.99401256180311637</v>
      </c>
      <c r="AJ29" s="75">
        <f t="shared" si="12"/>
        <v>1.2391615679380963</v>
      </c>
      <c r="AL29" s="30">
        <f t="shared" si="13"/>
        <v>3.5014338519299582</v>
      </c>
      <c r="AM29" s="75">
        <v>8.1965364975682427</v>
      </c>
      <c r="AN29" s="75">
        <v>1.8824630168780692</v>
      </c>
      <c r="AO29" s="75">
        <v>3.3670895885720658</v>
      </c>
      <c r="AP29" s="75">
        <f t="shared" si="14"/>
        <v>5.2495526054501349</v>
      </c>
      <c r="AQ29" s="88"/>
      <c r="AR29" s="30">
        <f t="shared" si="15"/>
        <v>3.2265730612790922</v>
      </c>
      <c r="AS29" s="75">
        <v>8.1989980922756232</v>
      </c>
      <c r="AT29" s="75">
        <v>1.8420591987101114</v>
      </c>
      <c r="AU29" s="75">
        <v>3.0645672575229463</v>
      </c>
      <c r="AV29" s="75">
        <f t="shared" si="16"/>
        <v>4.9066264562330577</v>
      </c>
      <c r="AW29" s="72" t="str">
        <f t="shared" si="17"/>
        <v>Other services</v>
      </c>
      <c r="AX29" s="30">
        <f t="shared" si="18"/>
        <v>2.6483238273837584</v>
      </c>
      <c r="AY29" s="11">
        <v>19.032176889267678</v>
      </c>
      <c r="AZ29" s="75">
        <v>1.0956652491419592</v>
      </c>
      <c r="BA29" s="75">
        <v>5.685467852803928</v>
      </c>
      <c r="BB29" s="75">
        <f t="shared" si="19"/>
        <v>6.7811331019458869</v>
      </c>
      <c r="BC29" s="75"/>
      <c r="BD29" s="30">
        <f t="shared" si="20"/>
        <v>2.5698311582555533</v>
      </c>
      <c r="BE29" s="75">
        <v>3.4123327833961343</v>
      </c>
      <c r="BF29" s="75">
        <v>-0.44962292514756064</v>
      </c>
      <c r="BG29" s="75">
        <v>0.9855918713750732</v>
      </c>
      <c r="BH29" s="75">
        <f t="shared" si="21"/>
        <v>0.53596894622751257</v>
      </c>
      <c r="BJ29" s="30">
        <f t="shared" si="22"/>
        <v>2.6113519594407553</v>
      </c>
      <c r="BK29" s="75">
        <v>10.441678809376455</v>
      </c>
      <c r="BL29" s="75">
        <v>0.67813132541245391</v>
      </c>
      <c r="BM29" s="75">
        <v>3.0704702368243959</v>
      </c>
      <c r="BN29" s="75">
        <f t="shared" si="23"/>
        <v>3.7486015622368498</v>
      </c>
      <c r="BO29" s="88"/>
      <c r="BP29" s="30">
        <f t="shared" si="24"/>
        <v>2.7736136732418482</v>
      </c>
      <c r="BQ29" s="75">
        <v>5.1781652964950879</v>
      </c>
      <c r="BR29" s="75">
        <v>0.86715684887706568</v>
      </c>
      <c r="BS29" s="75">
        <v>1.6294057446044583</v>
      </c>
      <c r="BT29" s="75">
        <f t="shared" si="25"/>
        <v>2.4965625934815239</v>
      </c>
      <c r="BU29" s="72" t="str">
        <f t="shared" si="26"/>
        <v>Other services</v>
      </c>
      <c r="BV29" s="30">
        <f t="shared" si="27"/>
        <v>2.6772484709001398</v>
      </c>
      <c r="BW29" s="11">
        <v>66.201397878138252</v>
      </c>
      <c r="BX29" s="75">
        <v>1.2456325163985658</v>
      </c>
      <c r="BY29" s="75">
        <v>20.01887239295467</v>
      </c>
      <c r="BZ29" s="75">
        <f t="shared" si="28"/>
        <v>21.264504909353235</v>
      </c>
      <c r="CA29" s="75"/>
      <c r="CB29" s="30">
        <f t="shared" si="29"/>
        <v>2.6461497895164943</v>
      </c>
      <c r="CC29" s="75">
        <v>24.360601420401576</v>
      </c>
      <c r="CD29" s="75">
        <v>-5.6900213912272246</v>
      </c>
      <c r="CE29" s="75">
        <v>7.2705240080694988</v>
      </c>
      <c r="CF29" s="75">
        <f t="shared" si="30"/>
        <v>1.5805026168422742</v>
      </c>
      <c r="CH29" s="30">
        <f t="shared" si="31"/>
        <v>2.6783758996457463</v>
      </c>
      <c r="CI29" s="75">
        <v>37.050128855405674</v>
      </c>
      <c r="CJ29" s="75">
        <v>3.896536363658667</v>
      </c>
      <c r="CK29" s="75">
        <v>11.209016818125267</v>
      </c>
      <c r="CL29" s="75">
        <f t="shared" si="32"/>
        <v>15.105553181783934</v>
      </c>
      <c r="CM29" s="88"/>
      <c r="CN29" s="30">
        <f t="shared" si="33"/>
        <v>2.8254837692558654</v>
      </c>
      <c r="CO29" s="75">
        <v>4.7906676023310046</v>
      </c>
      <c r="CP29" s="75">
        <v>3.0391175439671234</v>
      </c>
      <c r="CQ29" s="75">
        <v>1.5393315667599037</v>
      </c>
      <c r="CR29" s="75">
        <f t="shared" si="34"/>
        <v>4.5784491107270266</v>
      </c>
      <c r="CS29" s="72" t="str">
        <f t="shared" si="35"/>
        <v>Other services</v>
      </c>
      <c r="CT29" s="30">
        <f t="shared" si="36"/>
        <v>2.2533546481934286</v>
      </c>
      <c r="CU29" s="11">
        <v>4.1905992452099587</v>
      </c>
      <c r="CV29" s="75">
        <v>1.8665040524352257</v>
      </c>
      <c r="CW29" s="75">
        <v>1.046029429461087</v>
      </c>
      <c r="CX29" s="75">
        <f t="shared" si="37"/>
        <v>2.9125334818963129</v>
      </c>
      <c r="CY29" s="75"/>
      <c r="CZ29" s="30">
        <f t="shared" si="38"/>
        <v>2.2474701591650437</v>
      </c>
      <c r="DA29" s="75">
        <v>2.2124823918971015</v>
      </c>
      <c r="DB29" s="75">
        <v>-0.22230166986153393</v>
      </c>
      <c r="DC29" s="75">
        <v>0.55067444748871397</v>
      </c>
      <c r="DD29" s="75">
        <f t="shared" si="39"/>
        <v>0.32837277762718003</v>
      </c>
      <c r="DF29" s="30">
        <f t="shared" si="40"/>
        <v>2.2830190168655617</v>
      </c>
      <c r="DG29" s="75">
        <v>1.7105427064722503</v>
      </c>
      <c r="DH29" s="75">
        <v>1.1835295228418568</v>
      </c>
      <c r="DI29" s="75">
        <v>0.43318343843805091</v>
      </c>
      <c r="DJ29" s="75">
        <f t="shared" si="41"/>
        <v>1.6167129612799076</v>
      </c>
      <c r="DK29" s="88"/>
      <c r="DL29" s="30">
        <f t="shared" si="42"/>
        <v>2.1112277164391235</v>
      </c>
      <c r="DM29" s="75">
        <v>0.26757414684060715</v>
      </c>
      <c r="DN29" s="75">
        <v>0.90527619945490279</v>
      </c>
      <c r="DO29" s="75">
        <v>6.2171543534321853E-2</v>
      </c>
      <c r="DP29" s="75">
        <f t="shared" si="43"/>
        <v>0.96744774298922465</v>
      </c>
    </row>
    <row r="30" spans="1:120">
      <c r="A30" s="72">
        <f>name!B26</f>
        <v>0</v>
      </c>
      <c r="B30" s="30">
        <f t="shared" si="1"/>
        <v>2.81853341281606</v>
      </c>
      <c r="C30" s="11">
        <v>3.6239999999999957</v>
      </c>
      <c r="D30" s="75">
        <v>0.24699999999999425</v>
      </c>
      <c r="E30" s="75">
        <v>1.161223619177874</v>
      </c>
      <c r="F30" s="75">
        <f t="shared" si="2"/>
        <v>1.4082236191778683</v>
      </c>
      <c r="G30" s="75"/>
      <c r="H30" s="30">
        <f t="shared" si="3"/>
        <v>2.6181998345442992</v>
      </c>
      <c r="I30" s="75">
        <v>0.8854137576985297</v>
      </c>
      <c r="J30" s="75">
        <v>-0.37920842251297887</v>
      </c>
      <c r="K30" s="75">
        <v>0.26112881202833382</v>
      </c>
      <c r="L30" s="75">
        <f t="shared" si="4"/>
        <v>-0.11807961048464505</v>
      </c>
      <c r="N30" s="30">
        <f t="shared" si="5"/>
        <v>2.6529788153066836</v>
      </c>
      <c r="O30" s="75">
        <v>1.3832584282800451</v>
      </c>
      <c r="P30" s="75">
        <v>0.23337200314420425</v>
      </c>
      <c r="Q30" s="75">
        <v>0.41403459662136033</v>
      </c>
      <c r="R30" s="75">
        <f t="shared" si="6"/>
        <v>0.64740659976556458</v>
      </c>
      <c r="S30" s="88"/>
      <c r="T30" s="30">
        <f t="shared" si="7"/>
        <v>3.1122102767148885</v>
      </c>
      <c r="U30" s="75">
        <v>1.3553278140214204</v>
      </c>
      <c r="V30" s="75">
        <v>0.39283641936876895</v>
      </c>
      <c r="W30" s="75">
        <v>0.48606021052817994</v>
      </c>
      <c r="X30" s="75">
        <f t="shared" si="8"/>
        <v>0.87889662989694894</v>
      </c>
      <c r="Y30" s="72">
        <f t="shared" si="0"/>
        <v>0</v>
      </c>
      <c r="Z30" s="30">
        <f t="shared" si="9"/>
        <v>2.9443653428279148</v>
      </c>
      <c r="AA30" s="11">
        <v>1.8811280324430137</v>
      </c>
      <c r="AB30" s="75">
        <v>0.12648602226143923</v>
      </c>
      <c r="AC30" s="75">
        <v>0.63332866226922047</v>
      </c>
      <c r="AD30" s="75">
        <f t="shared" si="10"/>
        <v>0.7598146845306597</v>
      </c>
      <c r="AE30" s="75"/>
      <c r="AF30" s="30">
        <f t="shared" si="11"/>
        <v>2.5616056481945648</v>
      </c>
      <c r="AG30" s="75">
        <v>0.39195326978431944</v>
      </c>
      <c r="AH30" s="75">
        <v>-0.20952388317933862</v>
      </c>
      <c r="AI30" s="75">
        <v>0.11280379340146277</v>
      </c>
      <c r="AJ30" s="75">
        <f t="shared" si="12"/>
        <v>-9.6720089777875856E-2</v>
      </c>
      <c r="AL30" s="30">
        <f t="shared" si="13"/>
        <v>2.6346340495356335</v>
      </c>
      <c r="AM30" s="75">
        <v>0.4129117991411031</v>
      </c>
      <c r="AN30" s="75">
        <v>-1.2440580648808345E-2</v>
      </c>
      <c r="AO30" s="75">
        <v>0.1226340711227917</v>
      </c>
      <c r="AP30" s="75">
        <f t="shared" si="14"/>
        <v>0.11019349047398336</v>
      </c>
      <c r="AQ30" s="88"/>
      <c r="AR30" s="30">
        <f t="shared" si="15"/>
        <v>3.1958990333170068</v>
      </c>
      <c r="AS30" s="75">
        <v>1.0762629635175913</v>
      </c>
      <c r="AT30" s="75">
        <v>0.34845048608958623</v>
      </c>
      <c r="AU30" s="75">
        <v>0.39789079774496594</v>
      </c>
      <c r="AV30" s="75">
        <f t="shared" si="16"/>
        <v>0.74634128383455223</v>
      </c>
      <c r="AW30" s="72">
        <f t="shared" si="17"/>
        <v>0</v>
      </c>
      <c r="AX30" s="30">
        <f t="shared" si="18"/>
        <v>2.6556901882889949</v>
      </c>
      <c r="AY30" s="11">
        <v>0.79016052016002847</v>
      </c>
      <c r="AZ30" s="75">
        <v>-5.5512159780558507E-3</v>
      </c>
      <c r="BA30" s="75">
        <v>0.23678073042517134</v>
      </c>
      <c r="BB30" s="75">
        <f t="shared" si="19"/>
        <v>0.23122951444711548</v>
      </c>
      <c r="BC30" s="75"/>
      <c r="BD30" s="30">
        <f t="shared" si="20"/>
        <v>2.6320188411371737</v>
      </c>
      <c r="BE30" s="75">
        <v>0.10890628043772764</v>
      </c>
      <c r="BF30" s="75">
        <v>-3.6714040606319942E-2</v>
      </c>
      <c r="BG30" s="75">
        <v>3.2308984136424024E-2</v>
      </c>
      <c r="BH30" s="75">
        <f t="shared" si="21"/>
        <v>-4.4050564698959183E-3</v>
      </c>
      <c r="BJ30" s="30">
        <f t="shared" si="22"/>
        <v>2.632798184440821</v>
      </c>
      <c r="BK30" s="75">
        <v>0.54343409949213617</v>
      </c>
      <c r="BL30" s="75">
        <v>6.5977065103502874E-2</v>
      </c>
      <c r="BM30" s="75">
        <v>0.16127289650651028</v>
      </c>
      <c r="BN30" s="75">
        <f t="shared" si="23"/>
        <v>0.22724996161001315</v>
      </c>
      <c r="BO30" s="88"/>
      <c r="BP30" s="30">
        <f t="shared" si="24"/>
        <v>2.7640342004974006</v>
      </c>
      <c r="BQ30" s="75">
        <v>0.13782014023016467</v>
      </c>
      <c r="BR30" s="75">
        <v>-3.4814240475238789E-2</v>
      </c>
      <c r="BS30" s="75">
        <v>4.319884978223705E-2</v>
      </c>
      <c r="BT30" s="75">
        <f t="shared" si="25"/>
        <v>8.3846093069982613E-3</v>
      </c>
      <c r="BU30" s="72">
        <f t="shared" si="26"/>
        <v>0</v>
      </c>
      <c r="BV30" s="30">
        <f t="shared" si="27"/>
        <v>2.7443857826882523</v>
      </c>
      <c r="BW30" s="11">
        <v>0.71149816309577474</v>
      </c>
      <c r="BX30" s="75">
        <v>0.24504437900903087</v>
      </c>
      <c r="BY30" s="75">
        <v>0.22122934558787391</v>
      </c>
      <c r="BZ30" s="75">
        <f t="shared" si="28"/>
        <v>0.46627372459690475</v>
      </c>
      <c r="CA30" s="75"/>
      <c r="CB30" s="30">
        <f t="shared" si="29"/>
        <v>2.6198589066564582</v>
      </c>
      <c r="CC30" s="75">
        <v>0.18443335988879814</v>
      </c>
      <c r="CD30" s="75">
        <v>-4.0323210155314967E-2</v>
      </c>
      <c r="CE30" s="75">
        <v>5.4432240278174497E-2</v>
      </c>
      <c r="CF30" s="75">
        <f t="shared" si="30"/>
        <v>1.410903012285953E-2</v>
      </c>
      <c r="CH30" s="30">
        <f t="shared" si="31"/>
        <v>2.782142672137855</v>
      </c>
      <c r="CI30" s="75">
        <v>0.38582009293331226</v>
      </c>
      <c r="CJ30" s="75">
        <v>0.20616741540992439</v>
      </c>
      <c r="CK30" s="75">
        <v>0.12182654230872253</v>
      </c>
      <c r="CL30" s="75">
        <f t="shared" si="32"/>
        <v>0.32799395771864692</v>
      </c>
      <c r="CM30" s="88"/>
      <c r="CN30" s="30">
        <f t="shared" si="33"/>
        <v>2.802650191366185</v>
      </c>
      <c r="CO30" s="75">
        <v>0.14124471027366434</v>
      </c>
      <c r="CP30" s="75">
        <v>7.9200173754421455E-2</v>
      </c>
      <c r="CQ30" s="75">
        <v>4.4970563000976925E-2</v>
      </c>
      <c r="CR30" s="75">
        <f t="shared" si="34"/>
        <v>0.12417073675539839</v>
      </c>
      <c r="CS30" s="72">
        <f t="shared" si="35"/>
        <v>0</v>
      </c>
      <c r="CT30" s="30">
        <f t="shared" si="36"/>
        <v>2.5769124618272299</v>
      </c>
      <c r="CU30" s="11">
        <v>0.24121328430117833</v>
      </c>
      <c r="CV30" s="75">
        <v>-0.11897918529242003</v>
      </c>
      <c r="CW30" s="75">
        <v>6.9884880895608265E-2</v>
      </c>
      <c r="CX30" s="75">
        <f t="shared" si="37"/>
        <v>-4.9094304396811769E-2</v>
      </c>
      <c r="CY30" s="75"/>
      <c r="CZ30" s="30">
        <f t="shared" si="38"/>
        <v>2.7192664271063816</v>
      </c>
      <c r="DA30" s="75">
        <v>0.20012084758768453</v>
      </c>
      <c r="DB30" s="75">
        <v>-9.2647288572005396E-2</v>
      </c>
      <c r="DC30" s="75">
        <v>6.1583794212272509E-2</v>
      </c>
      <c r="DD30" s="75">
        <f t="shared" si="39"/>
        <v>-3.1063494359732886E-2</v>
      </c>
      <c r="DF30" s="30">
        <f t="shared" si="40"/>
        <v>1.8569836908540527</v>
      </c>
      <c r="DG30" s="75">
        <v>4.1092436713493816E-2</v>
      </c>
      <c r="DH30" s="75">
        <v>-2.6331896720414642E-2</v>
      </c>
      <c r="DI30" s="75">
        <v>8.3010866833357552E-3</v>
      </c>
      <c r="DJ30" s="75">
        <f t="shared" si="41"/>
        <v>-1.8030810037078886E-2</v>
      </c>
      <c r="DK30" s="88"/>
      <c r="DL30" s="30">
        <f t="shared" si="42"/>
        <v>0</v>
      </c>
      <c r="DM30" s="75">
        <v>0</v>
      </c>
      <c r="DN30" s="75">
        <v>0</v>
      </c>
      <c r="DO30" s="75">
        <v>0</v>
      </c>
      <c r="DP30" s="75">
        <f t="shared" si="43"/>
        <v>0</v>
      </c>
    </row>
    <row r="31" spans="1:120">
      <c r="A31" s="72">
        <f>name!B27</f>
        <v>0</v>
      </c>
      <c r="B31" s="30">
        <f t="shared" si="1"/>
        <v>2.6734729787020628</v>
      </c>
      <c r="C31" s="11">
        <v>5.3973840679838156</v>
      </c>
      <c r="D31" s="75">
        <v>1.1408021816129781</v>
      </c>
      <c r="E31" s="75">
        <v>1.6295494976716494</v>
      </c>
      <c r="F31" s="75">
        <f t="shared" si="2"/>
        <v>2.7703516792846274</v>
      </c>
      <c r="G31" s="75"/>
      <c r="H31" s="30">
        <f t="shared" si="3"/>
        <v>2.4242144760953321</v>
      </c>
      <c r="I31" s="75">
        <v>0.66792410715744144</v>
      </c>
      <c r="J31" s="75">
        <v>8.7081733597755159E-2</v>
      </c>
      <c r="K31" s="75">
        <v>0.18077459401533136</v>
      </c>
      <c r="L31" s="75">
        <f t="shared" si="4"/>
        <v>0.26785632761308653</v>
      </c>
      <c r="N31" s="30">
        <f t="shared" si="5"/>
        <v>2.609263332573919</v>
      </c>
      <c r="O31" s="75">
        <v>2.0775695012091084</v>
      </c>
      <c r="P31" s="75">
        <v>0.2544737074116219</v>
      </c>
      <c r="Q31" s="75">
        <v>0.6103809444492555</v>
      </c>
      <c r="R31" s="75">
        <f t="shared" si="6"/>
        <v>0.8648546518608774</v>
      </c>
      <c r="S31" s="88"/>
      <c r="T31" s="30">
        <f t="shared" si="7"/>
        <v>2.7851854419137734</v>
      </c>
      <c r="U31" s="75">
        <v>2.6518904596172663</v>
      </c>
      <c r="V31" s="75">
        <v>0.79924674060360146</v>
      </c>
      <c r="W31" s="75">
        <v>0.83839395920706195</v>
      </c>
      <c r="X31" s="75">
        <f t="shared" si="8"/>
        <v>1.6376406998106634</v>
      </c>
      <c r="Y31" s="72">
        <f t="shared" si="0"/>
        <v>0</v>
      </c>
      <c r="Z31" s="30">
        <f t="shared" si="9"/>
        <v>2.8165513572584899</v>
      </c>
      <c r="AA31" s="11">
        <v>2.214362158393115</v>
      </c>
      <c r="AB31" s="75">
        <v>0.76697330164247091</v>
      </c>
      <c r="AC31" s="75">
        <v>0.7089754858112105</v>
      </c>
      <c r="AD31" s="75">
        <f t="shared" si="10"/>
        <v>1.4759487874536814</v>
      </c>
      <c r="AE31" s="75"/>
      <c r="AF31" s="30">
        <f t="shared" si="11"/>
        <v>2.4947991741868014</v>
      </c>
      <c r="AG31" s="75">
        <v>9.3295900311954727E-2</v>
      </c>
      <c r="AH31" s="75">
        <v>7.3611029159494539E-3</v>
      </c>
      <c r="AI31" s="75">
        <v>2.6070156753053058E-2</v>
      </c>
      <c r="AJ31" s="75">
        <f t="shared" si="12"/>
        <v>3.3431259669002511E-2</v>
      </c>
      <c r="AL31" s="30">
        <f t="shared" si="13"/>
        <v>2.7753358006801676</v>
      </c>
      <c r="AM31" s="75">
        <v>0.4972447918516455</v>
      </c>
      <c r="AN31" s="75">
        <v>9.6394295735497987E-2</v>
      </c>
      <c r="AO31" s="75">
        <v>0.15657684325353696</v>
      </c>
      <c r="AP31" s="75">
        <f t="shared" si="14"/>
        <v>0.25297113898903495</v>
      </c>
      <c r="AQ31" s="88"/>
      <c r="AR31" s="30">
        <f t="shared" si="15"/>
        <v>2.8473360407721415</v>
      </c>
      <c r="AS31" s="75">
        <v>1.6238214662295147</v>
      </c>
      <c r="AT31" s="75">
        <v>0.66321790299102346</v>
      </c>
      <c r="AU31" s="75">
        <v>0.52632848580462055</v>
      </c>
      <c r="AV31" s="75">
        <f t="shared" si="16"/>
        <v>1.1895463887956441</v>
      </c>
      <c r="AW31" s="72">
        <f t="shared" si="17"/>
        <v>0</v>
      </c>
      <c r="AX31" s="30">
        <f t="shared" si="18"/>
        <v>2.6299606183572521</v>
      </c>
      <c r="AY31" s="11">
        <v>2.2783095768098032</v>
      </c>
      <c r="AZ31" s="75">
        <v>0.28087299486229567</v>
      </c>
      <c r="BA31" s="75">
        <v>0.67530864231188981</v>
      </c>
      <c r="BB31" s="75">
        <f t="shared" si="19"/>
        <v>0.95618163717418547</v>
      </c>
      <c r="BC31" s="75"/>
      <c r="BD31" s="30">
        <f t="shared" si="20"/>
        <v>2.5631080985660804</v>
      </c>
      <c r="BE31" s="75">
        <v>0.22101247964060855</v>
      </c>
      <c r="BF31" s="75">
        <v>-1.6947941898083588E-2</v>
      </c>
      <c r="BG31" s="75">
        <v>6.3648887364331108E-2</v>
      </c>
      <c r="BH31" s="75">
        <f t="shared" si="21"/>
        <v>4.670094546624752E-2</v>
      </c>
      <c r="BJ31" s="30">
        <f t="shared" si="22"/>
        <v>2.5856877347969265</v>
      </c>
      <c r="BK31" s="75">
        <v>1.1148096584511451</v>
      </c>
      <c r="BL31" s="75">
        <v>0.19268434666122614</v>
      </c>
      <c r="BM31" s="75">
        <v>0.32421576182958223</v>
      </c>
      <c r="BN31" s="75">
        <f t="shared" si="23"/>
        <v>0.51690010849080836</v>
      </c>
      <c r="BO31" s="88"/>
      <c r="BP31" s="30">
        <f t="shared" si="24"/>
        <v>2.6976564051442775</v>
      </c>
      <c r="BQ31" s="75">
        <v>0.94248743871804974</v>
      </c>
      <c r="BR31" s="75">
        <v>0.10513659009915316</v>
      </c>
      <c r="BS31" s="75">
        <v>0.28744399311797653</v>
      </c>
      <c r="BT31" s="75">
        <f t="shared" si="25"/>
        <v>0.39258058321712969</v>
      </c>
      <c r="BU31" s="72">
        <f t="shared" si="26"/>
        <v>0</v>
      </c>
      <c r="BV31" s="30">
        <f t="shared" si="27"/>
        <v>2.6073314286228833</v>
      </c>
      <c r="BW31" s="11">
        <v>0.44551231145339021</v>
      </c>
      <c r="BX31" s="75">
        <v>-8.3373030656131442E-3</v>
      </c>
      <c r="BY31" s="75">
        <v>0.13078107806231981</v>
      </c>
      <c r="BZ31" s="75">
        <f t="shared" si="28"/>
        <v>0.12244377499670667</v>
      </c>
      <c r="CA31" s="75"/>
      <c r="CB31" s="30">
        <f t="shared" si="29"/>
        <v>2.4365291604826034</v>
      </c>
      <c r="CC31" s="75">
        <v>8.6276945213152031E-2</v>
      </c>
      <c r="CD31" s="75">
        <v>-4.2074055456051036E-2</v>
      </c>
      <c r="CE31" s="75">
        <v>2.3482855274529982E-2</v>
      </c>
      <c r="CF31" s="75">
        <f t="shared" si="30"/>
        <v>-1.8591200181521054E-2</v>
      </c>
      <c r="CH31" s="30">
        <f t="shared" si="31"/>
        <v>2.6262299218310803</v>
      </c>
      <c r="CI31" s="75">
        <v>0.29498731949520918</v>
      </c>
      <c r="CJ31" s="75">
        <v>2.0855293533474064E-2</v>
      </c>
      <c r="CK31" s="75">
        <v>8.7297539162572352E-2</v>
      </c>
      <c r="CL31" s="75">
        <f t="shared" si="32"/>
        <v>0.10815283269604642</v>
      </c>
      <c r="CM31" s="88"/>
      <c r="CN31" s="30">
        <f t="shared" si="33"/>
        <v>2.7472823291570414</v>
      </c>
      <c r="CO31" s="75">
        <v>6.4248046745029E-2</v>
      </c>
      <c r="CP31" s="75">
        <v>1.2881458856963826E-2</v>
      </c>
      <c r="CQ31" s="75">
        <v>2.000068362521747E-2</v>
      </c>
      <c r="CR31" s="75">
        <f t="shared" si="34"/>
        <v>3.2882142482181298E-2</v>
      </c>
      <c r="CS31" s="72">
        <f t="shared" si="35"/>
        <v>0</v>
      </c>
      <c r="CT31" s="30">
        <f t="shared" si="36"/>
        <v>2.2508925088840614</v>
      </c>
      <c r="CU31" s="11">
        <v>0.45920002132750753</v>
      </c>
      <c r="CV31" s="75">
        <v>0.10129318817382489</v>
      </c>
      <c r="CW31" s="75">
        <v>0.11448429148622874</v>
      </c>
      <c r="CX31" s="75">
        <f t="shared" si="37"/>
        <v>0.21577747966005362</v>
      </c>
      <c r="CY31" s="75"/>
      <c r="CZ31" s="30">
        <f t="shared" si="38"/>
        <v>2.2790784934704211</v>
      </c>
      <c r="DA31" s="75">
        <v>0.26733878199172612</v>
      </c>
      <c r="DB31" s="75">
        <v>0.13874262803594034</v>
      </c>
      <c r="DC31" s="75">
        <v>6.7572694623417223E-2</v>
      </c>
      <c r="DD31" s="75">
        <f t="shared" si="39"/>
        <v>0.20631532265935756</v>
      </c>
      <c r="DF31" s="30">
        <f t="shared" si="40"/>
        <v>2.2401417134240154</v>
      </c>
      <c r="DG31" s="75">
        <v>0.17052773141110822</v>
      </c>
      <c r="DH31" s="75">
        <v>-5.5460228518576328E-2</v>
      </c>
      <c r="DI31" s="75">
        <v>4.2290800203563968E-2</v>
      </c>
      <c r="DJ31" s="75">
        <f t="shared" si="41"/>
        <v>-1.316942831501236E-2</v>
      </c>
      <c r="DK31" s="88"/>
      <c r="DL31" s="30">
        <f t="shared" si="42"/>
        <v>1.9799306613629053</v>
      </c>
      <c r="DM31" s="75">
        <v>2.1333507924673225E-2</v>
      </c>
      <c r="DN31" s="75">
        <v>1.8010788656460896E-2</v>
      </c>
      <c r="DO31" s="75">
        <v>4.6207966592475454E-3</v>
      </c>
      <c r="DP31" s="75">
        <f t="shared" si="43"/>
        <v>2.2631585315708441E-2</v>
      </c>
    </row>
    <row r="32" spans="1:120">
      <c r="A32" s="72">
        <f>name!B28</f>
        <v>0</v>
      </c>
      <c r="B32" s="30">
        <f t="shared" si="1"/>
        <v>2.7212419765566098</v>
      </c>
      <c r="C32" s="11">
        <v>123.7608458367669</v>
      </c>
      <c r="D32" s="75">
        <v>13.119074771958418</v>
      </c>
      <c r="E32" s="75">
        <v>38.116429497024313</v>
      </c>
      <c r="F32" s="75">
        <f t="shared" si="2"/>
        <v>51.23550426898273</v>
      </c>
      <c r="G32" s="75"/>
      <c r="H32" s="30">
        <f t="shared" si="3"/>
        <v>2.5243885852895165</v>
      </c>
      <c r="I32" s="75">
        <v>26.847077802333636</v>
      </c>
      <c r="J32" s="75">
        <v>-7.8031435741815161</v>
      </c>
      <c r="K32" s="75">
        <v>7.6013099907891046</v>
      </c>
      <c r="L32" s="75">
        <f t="shared" si="4"/>
        <v>-0.20183358339241142</v>
      </c>
      <c r="N32" s="30">
        <f t="shared" si="5"/>
        <v>2.6624455318525975</v>
      </c>
      <c r="O32" s="75">
        <v>63.941359181744446</v>
      </c>
      <c r="P32" s="75">
        <v>7.8349731558739144</v>
      </c>
      <c r="Q32" s="75">
        <v>19.215469387990549</v>
      </c>
      <c r="R32" s="75">
        <f t="shared" si="6"/>
        <v>27.050442543864463</v>
      </c>
      <c r="S32" s="88"/>
      <c r="T32" s="30">
        <f t="shared" si="7"/>
        <v>2.9906749697417023</v>
      </c>
      <c r="U32" s="75">
        <v>32.972408852688829</v>
      </c>
      <c r="V32" s="75">
        <v>13.087245190266019</v>
      </c>
      <c r="W32" s="75">
        <v>11.299650118244649</v>
      </c>
      <c r="X32" s="75">
        <f t="shared" si="8"/>
        <v>24.386895308510667</v>
      </c>
      <c r="Y32" s="72">
        <f t="shared" si="0"/>
        <v>0</v>
      </c>
      <c r="Z32" s="30">
        <f t="shared" si="9"/>
        <v>3.0765850108950499</v>
      </c>
      <c r="AA32" s="11">
        <v>38.83635765848959</v>
      </c>
      <c r="AB32" s="75">
        <v>9.7986800365741935</v>
      </c>
      <c r="AC32" s="75">
        <v>13.745837027625093</v>
      </c>
      <c r="AD32" s="75">
        <f t="shared" si="10"/>
        <v>23.544517064199287</v>
      </c>
      <c r="AE32" s="75"/>
      <c r="AF32" s="30">
        <f t="shared" si="11"/>
        <v>3.0191901547181432</v>
      </c>
      <c r="AG32" s="75">
        <v>2.7303033528832836</v>
      </c>
      <c r="AH32" s="75">
        <v>7.5430584829441968E-2</v>
      </c>
      <c r="AI32" s="75">
        <v>0.94583812987341553</v>
      </c>
      <c r="AJ32" s="75">
        <f t="shared" si="12"/>
        <v>1.0212687147028574</v>
      </c>
      <c r="AL32" s="30">
        <f t="shared" si="13"/>
        <v>3.0173281094963533</v>
      </c>
      <c r="AM32" s="75">
        <v>15.834000720976697</v>
      </c>
      <c r="AN32" s="75">
        <v>4.2727073292572078</v>
      </c>
      <c r="AO32" s="75">
        <v>5.4813988049700901</v>
      </c>
      <c r="AP32" s="75">
        <f t="shared" si="14"/>
        <v>9.7541061342272979</v>
      </c>
      <c r="AQ32" s="88"/>
      <c r="AR32" s="30">
        <f t="shared" si="15"/>
        <v>3.1303340410858471</v>
      </c>
      <c r="AS32" s="75">
        <v>20.272053584629607</v>
      </c>
      <c r="AT32" s="75">
        <v>5.4505421224875432</v>
      </c>
      <c r="AU32" s="75">
        <v>7.3186000927815886</v>
      </c>
      <c r="AV32" s="75">
        <f t="shared" si="16"/>
        <v>12.769142215269131</v>
      </c>
      <c r="AW32" s="72">
        <f t="shared" si="17"/>
        <v>0</v>
      </c>
      <c r="AX32" s="30">
        <f t="shared" si="18"/>
        <v>2.6584881857450782</v>
      </c>
      <c r="AY32" s="11">
        <v>47.806403154901318</v>
      </c>
      <c r="AZ32" s="75">
        <v>-7.0421609841178725</v>
      </c>
      <c r="BA32" s="75">
        <v>14.342678022761262</v>
      </c>
      <c r="BB32" s="75">
        <f t="shared" si="19"/>
        <v>7.30051703864339</v>
      </c>
      <c r="BC32" s="75"/>
      <c r="BD32" s="30">
        <f t="shared" si="20"/>
        <v>2.6161806421257428</v>
      </c>
      <c r="BE32" s="75">
        <v>10.847301910693686</v>
      </c>
      <c r="BF32" s="75">
        <v>-4.5098176413100948</v>
      </c>
      <c r="BG32" s="75">
        <v>3.196354334448817</v>
      </c>
      <c r="BH32" s="75">
        <f t="shared" si="21"/>
        <v>-1.3134633068612778</v>
      </c>
      <c r="BJ32" s="30">
        <f t="shared" si="22"/>
        <v>2.6374751567947108</v>
      </c>
      <c r="BK32" s="75">
        <v>28.371369231702417</v>
      </c>
      <c r="BL32" s="75">
        <v>-3.0931884379730161</v>
      </c>
      <c r="BM32" s="75">
        <v>8.4364337781793513</v>
      </c>
      <c r="BN32" s="75">
        <f t="shared" si="23"/>
        <v>5.3432453402063356</v>
      </c>
      <c r="BO32" s="88"/>
      <c r="BP32" s="30">
        <f t="shared" si="24"/>
        <v>2.7805305911498435</v>
      </c>
      <c r="BQ32" s="75">
        <v>8.5877320125052172</v>
      </c>
      <c r="BR32" s="75">
        <v>0.56084509516523873</v>
      </c>
      <c r="BS32" s="75">
        <v>2.7098899101330933</v>
      </c>
      <c r="BT32" s="75">
        <f t="shared" si="25"/>
        <v>3.2707350052983322</v>
      </c>
      <c r="BU32" s="72">
        <f t="shared" si="26"/>
        <v>0</v>
      </c>
      <c r="BV32" s="30">
        <f t="shared" si="27"/>
        <v>2.6565095608896083</v>
      </c>
      <c r="BW32" s="11">
        <v>19.849533341962385</v>
      </c>
      <c r="BX32" s="75">
        <v>1.9836189361300114</v>
      </c>
      <c r="BY32" s="75">
        <v>5.9502012149531671</v>
      </c>
      <c r="BZ32" s="75">
        <f t="shared" si="28"/>
        <v>7.9338201510831787</v>
      </c>
      <c r="CA32" s="75"/>
      <c r="CB32" s="30">
        <f t="shared" si="29"/>
        <v>2.6205599538537738</v>
      </c>
      <c r="CC32" s="75">
        <v>6.8203543745401731</v>
      </c>
      <c r="CD32" s="75">
        <v>-1.6267924145713057</v>
      </c>
      <c r="CE32" s="75">
        <v>2.0135102832400635</v>
      </c>
      <c r="CF32" s="75">
        <f t="shared" si="30"/>
        <v>0.38671786866875779</v>
      </c>
      <c r="CH32" s="30">
        <f t="shared" si="31"/>
        <v>2.6438862721386736</v>
      </c>
      <c r="CI32" s="75">
        <v>10.586487257709154</v>
      </c>
      <c r="CJ32" s="75">
        <v>1.7602610215326151</v>
      </c>
      <c r="CK32" s="75">
        <v>3.1565507372840993</v>
      </c>
      <c r="CL32" s="75">
        <f t="shared" si="32"/>
        <v>4.9168117588167144</v>
      </c>
      <c r="CM32" s="88"/>
      <c r="CN32" s="30">
        <f t="shared" si="33"/>
        <v>2.8103646649090264</v>
      </c>
      <c r="CO32" s="75">
        <v>2.4426917097130554</v>
      </c>
      <c r="CP32" s="75">
        <v>1.850150329168702</v>
      </c>
      <c r="CQ32" s="75">
        <v>0.78014019442900417</v>
      </c>
      <c r="CR32" s="75">
        <f t="shared" si="34"/>
        <v>2.6302905235977061</v>
      </c>
      <c r="CS32" s="72">
        <f t="shared" si="35"/>
        <v>0</v>
      </c>
      <c r="CT32" s="30">
        <f t="shared" si="36"/>
        <v>2.1425269866725216</v>
      </c>
      <c r="CU32" s="11">
        <v>17.268551681413616</v>
      </c>
      <c r="CV32" s="75">
        <v>8.3789367833720867</v>
      </c>
      <c r="CW32" s="75">
        <v>4.0777132316847844</v>
      </c>
      <c r="CX32" s="75">
        <f t="shared" si="37"/>
        <v>12.456650015056871</v>
      </c>
      <c r="CY32" s="75"/>
      <c r="CZ32" s="30">
        <f t="shared" si="38"/>
        <v>2.0431060525095246</v>
      </c>
      <c r="DA32" s="75">
        <v>6.4491181642164932</v>
      </c>
      <c r="DB32" s="75">
        <v>-1.7419641031295572</v>
      </c>
      <c r="DC32" s="75">
        <v>1.4456072432268086</v>
      </c>
      <c r="DD32" s="75">
        <f t="shared" si="39"/>
        <v>-0.29635685990274863</v>
      </c>
      <c r="DF32" s="30">
        <f t="shared" si="40"/>
        <v>2.1249626362792373</v>
      </c>
      <c r="DG32" s="75">
        <v>9.1495019713561767</v>
      </c>
      <c r="DH32" s="75">
        <v>4.8951932430571077</v>
      </c>
      <c r="DI32" s="75">
        <v>2.1410860675570116</v>
      </c>
      <c r="DJ32" s="75">
        <f t="shared" si="41"/>
        <v>7.0362793106141197</v>
      </c>
      <c r="DK32" s="88"/>
      <c r="DL32" s="30">
        <f t="shared" si="42"/>
        <v>2.6111687821135154</v>
      </c>
      <c r="DM32" s="75">
        <v>1.6699315458409487</v>
      </c>
      <c r="DN32" s="75">
        <v>5.2257076434445349</v>
      </c>
      <c r="DO32" s="75">
        <v>0.49101992090096452</v>
      </c>
      <c r="DP32" s="75">
        <f t="shared" si="43"/>
        <v>5.7167275643454998</v>
      </c>
    </row>
    <row r="33" spans="1:120">
      <c r="A33" s="72">
        <f>name!B29</f>
        <v>0</v>
      </c>
      <c r="B33" s="30">
        <f t="shared" si="1"/>
        <v>3.0653273318685947</v>
      </c>
      <c r="C33" s="11">
        <v>154.97099999999972</v>
      </c>
      <c r="D33" s="75">
        <v>3.3030000000000879</v>
      </c>
      <c r="E33" s="75">
        <v>54.621773436017577</v>
      </c>
      <c r="F33" s="75">
        <f t="shared" si="2"/>
        <v>57.924773436017666</v>
      </c>
      <c r="G33" s="75"/>
      <c r="H33" s="30">
        <f t="shared" si="3"/>
        <v>2.9436319407800893</v>
      </c>
      <c r="I33" s="75">
        <v>50.957790570188273</v>
      </c>
      <c r="J33" s="75">
        <v>-5.207332958391917</v>
      </c>
      <c r="K33" s="75">
        <v>17.151358481765701</v>
      </c>
      <c r="L33" s="75">
        <f t="shared" si="4"/>
        <v>11.944025523373785</v>
      </c>
      <c r="N33" s="30">
        <f t="shared" si="5"/>
        <v>3.080091904459592</v>
      </c>
      <c r="O33" s="75">
        <v>82.75191339584687</v>
      </c>
      <c r="P33" s="75">
        <v>5.6365125249630674</v>
      </c>
      <c r="Q33" s="75">
        <v>29.327542834156286</v>
      </c>
      <c r="R33" s="75">
        <f t="shared" si="6"/>
        <v>34.964055359119357</v>
      </c>
      <c r="S33" s="88"/>
      <c r="T33" s="30">
        <f t="shared" si="7"/>
        <v>3.2956222869682472</v>
      </c>
      <c r="U33" s="75">
        <v>21.261296033964598</v>
      </c>
      <c r="V33" s="75">
        <v>2.873820433428937</v>
      </c>
      <c r="W33" s="75">
        <v>8.1428721200955785</v>
      </c>
      <c r="X33" s="75">
        <f t="shared" si="8"/>
        <v>11.016692553524516</v>
      </c>
      <c r="Y33" s="72">
        <f t="shared" si="0"/>
        <v>0</v>
      </c>
      <c r="Z33" s="30">
        <f t="shared" si="9"/>
        <v>4.0504340600003408</v>
      </c>
      <c r="AA33" s="11">
        <v>43.296648877844632</v>
      </c>
      <c r="AB33" s="75">
        <v>-7.3473712231151156</v>
      </c>
      <c r="AC33" s="75">
        <v>21.104445332065058</v>
      </c>
      <c r="AD33" s="75">
        <f t="shared" si="10"/>
        <v>13.757074108949944</v>
      </c>
      <c r="AE33" s="75"/>
      <c r="AF33" s="30">
        <f t="shared" si="11"/>
        <v>4.0754800931313673</v>
      </c>
      <c r="AG33" s="75">
        <v>10.106732188154798</v>
      </c>
      <c r="AH33" s="75">
        <v>-4.7657768055697005</v>
      </c>
      <c r="AI33" s="75">
        <v>4.9626340231866539</v>
      </c>
      <c r="AJ33" s="75">
        <f t="shared" si="12"/>
        <v>0.19685721761695341</v>
      </c>
      <c r="AL33" s="30">
        <f t="shared" si="13"/>
        <v>4.032928627335286</v>
      </c>
      <c r="AM33" s="75">
        <v>24.904995907126381</v>
      </c>
      <c r="AN33" s="75">
        <v>-2.8493267756162344</v>
      </c>
      <c r="AO33" s="75">
        <v>12.077372396997415</v>
      </c>
      <c r="AP33" s="75">
        <f t="shared" si="14"/>
        <v>9.228045621381181</v>
      </c>
      <c r="AQ33" s="88"/>
      <c r="AR33" s="30">
        <f t="shared" si="15"/>
        <v>4.0724091362593917</v>
      </c>
      <c r="AS33" s="75">
        <v>8.2849207825634537</v>
      </c>
      <c r="AT33" s="75">
        <v>0.26773235807081874</v>
      </c>
      <c r="AU33" s="75">
        <v>4.0644389118809876</v>
      </c>
      <c r="AV33" s="75">
        <f t="shared" si="16"/>
        <v>4.3321712699518065</v>
      </c>
      <c r="AW33" s="72">
        <f t="shared" si="17"/>
        <v>0</v>
      </c>
      <c r="AX33" s="30">
        <f t="shared" si="18"/>
        <v>2.5547598396461035</v>
      </c>
      <c r="AY33" s="11">
        <v>78.997845710276223</v>
      </c>
      <c r="AZ33" s="75">
        <v>9.7021663700437788</v>
      </c>
      <c r="BA33" s="75">
        <v>22.667623064076533</v>
      </c>
      <c r="BB33" s="75">
        <f t="shared" si="19"/>
        <v>32.369789434120314</v>
      </c>
      <c r="BC33" s="75"/>
      <c r="BD33" s="30">
        <f t="shared" si="20"/>
        <v>2.5174195387168252</v>
      </c>
      <c r="BE33" s="75">
        <v>26.37395315468379</v>
      </c>
      <c r="BF33" s="75">
        <v>1.6686028083983007</v>
      </c>
      <c r="BG33" s="75">
        <v>7.4443560709851919</v>
      </c>
      <c r="BH33" s="75">
        <f t="shared" si="21"/>
        <v>9.112958879383493</v>
      </c>
      <c r="BJ33" s="30">
        <f t="shared" si="22"/>
        <v>2.5486671581746334</v>
      </c>
      <c r="BK33" s="75">
        <v>42.663657472306795</v>
      </c>
      <c r="BL33" s="75">
        <v>6.2773062085895344</v>
      </c>
      <c r="BM33" s="75">
        <v>12.209289576322305</v>
      </c>
      <c r="BN33" s="75">
        <f t="shared" si="23"/>
        <v>18.486595784911842</v>
      </c>
      <c r="BO33" s="88"/>
      <c r="BP33" s="30">
        <f t="shared" si="24"/>
        <v>2.6788844840362147</v>
      </c>
      <c r="BQ33" s="75">
        <v>9.9602350832856388</v>
      </c>
      <c r="BR33" s="75">
        <v>1.7562573530559429</v>
      </c>
      <c r="BS33" s="75">
        <v>3.0139774167690323</v>
      </c>
      <c r="BT33" s="75">
        <f t="shared" si="25"/>
        <v>4.7702347698249756</v>
      </c>
      <c r="BU33" s="72">
        <f t="shared" si="26"/>
        <v>0</v>
      </c>
      <c r="BV33" s="30">
        <f t="shared" si="27"/>
        <v>2.6173395636761576</v>
      </c>
      <c r="BW33" s="11">
        <v>3.1913404184740064</v>
      </c>
      <c r="BX33" s="75">
        <v>1.1226335486044625</v>
      </c>
      <c r="BY33" s="75">
        <v>0.94085301244670572</v>
      </c>
      <c r="BZ33" s="75">
        <f t="shared" si="28"/>
        <v>2.0634865610511683</v>
      </c>
      <c r="CA33" s="75"/>
      <c r="CB33" s="30">
        <f t="shared" si="29"/>
        <v>2.5929383707474774</v>
      </c>
      <c r="CC33" s="75">
        <v>1.3470262007787908</v>
      </c>
      <c r="CD33" s="75">
        <v>-0.26599294418410591</v>
      </c>
      <c r="CE33" s="75">
        <v>0.39297973448013812</v>
      </c>
      <c r="CF33" s="75">
        <f t="shared" si="30"/>
        <v>0.12698679029603221</v>
      </c>
      <c r="CH33" s="30">
        <f t="shared" si="31"/>
        <v>2.6512654768499289</v>
      </c>
      <c r="CI33" s="75">
        <v>1.6842985207880887</v>
      </c>
      <c r="CJ33" s="75">
        <v>1.2839192112138034</v>
      </c>
      <c r="CK33" s="75">
        <v>0.50377617701394806</v>
      </c>
      <c r="CL33" s="75">
        <f t="shared" si="32"/>
        <v>1.7876953882277515</v>
      </c>
      <c r="CM33" s="88"/>
      <c r="CN33" s="30">
        <f t="shared" si="33"/>
        <v>2.4638723480357561</v>
      </c>
      <c r="CO33" s="75">
        <v>0.16001569690712689</v>
      </c>
      <c r="CP33" s="75">
        <v>0.10470728157476483</v>
      </c>
      <c r="CQ33" s="75">
        <v>4.4097100952619553E-2</v>
      </c>
      <c r="CR33" s="75">
        <f t="shared" si="34"/>
        <v>0.14880438252738437</v>
      </c>
      <c r="CS33" s="72">
        <f t="shared" si="35"/>
        <v>0</v>
      </c>
      <c r="CT33" s="30">
        <f t="shared" si="36"/>
        <v>2.939646040038868</v>
      </c>
      <c r="CU33" s="11">
        <v>29.485164993404876</v>
      </c>
      <c r="CV33" s="75">
        <v>-0.17442869553303728</v>
      </c>
      <c r="CW33" s="75">
        <v>9.9088520274292744</v>
      </c>
      <c r="CX33" s="75">
        <f t="shared" si="37"/>
        <v>9.7344233318962363</v>
      </c>
      <c r="CY33" s="75"/>
      <c r="CZ33" s="30">
        <f t="shared" si="38"/>
        <v>2.9037153176336705</v>
      </c>
      <c r="DA33" s="75">
        <v>13.13007902657089</v>
      </c>
      <c r="DB33" s="75">
        <v>-1.8441660170364109</v>
      </c>
      <c r="DC33" s="75">
        <v>4.3513886531137187</v>
      </c>
      <c r="DD33" s="75">
        <f t="shared" si="39"/>
        <v>2.5072226360773078</v>
      </c>
      <c r="DF33" s="30">
        <f t="shared" si="40"/>
        <v>2.9399957923162523</v>
      </c>
      <c r="DG33" s="75">
        <v>13.498961495625606</v>
      </c>
      <c r="DH33" s="75">
        <v>0.92461388077596329</v>
      </c>
      <c r="DI33" s="75">
        <v>4.5371046838226157</v>
      </c>
      <c r="DJ33" s="75">
        <f t="shared" si="41"/>
        <v>5.4617185645985789</v>
      </c>
      <c r="DK33" s="88"/>
      <c r="DL33" s="30">
        <f t="shared" si="42"/>
        <v>3.1017595685842725</v>
      </c>
      <c r="DM33" s="75">
        <v>2.856124471208378</v>
      </c>
      <c r="DN33" s="75">
        <v>0.74512344072741044</v>
      </c>
      <c r="DO33" s="75">
        <v>1.0203586904929389</v>
      </c>
      <c r="DP33" s="75">
        <f t="shared" si="43"/>
        <v>1.7654821312203492</v>
      </c>
    </row>
    <row r="34" spans="1:120">
      <c r="A34" s="72">
        <f>name!B30</f>
        <v>0</v>
      </c>
      <c r="B34" s="30">
        <f t="shared" si="1"/>
        <v>2.9160956930703641</v>
      </c>
      <c r="C34" s="11">
        <v>23.473999999999943</v>
      </c>
      <c r="D34" s="75">
        <v>1.4800000000000508</v>
      </c>
      <c r="E34" s="75">
        <v>7.8170489049169243</v>
      </c>
      <c r="F34" s="75">
        <f t="shared" si="2"/>
        <v>9.2970489049169753</v>
      </c>
      <c r="G34" s="75"/>
      <c r="H34" s="30">
        <f t="shared" si="3"/>
        <v>2.8413998152179376</v>
      </c>
      <c r="I34" s="75">
        <v>1.0959429864268337</v>
      </c>
      <c r="J34" s="75">
        <v>-0.1037259015403591</v>
      </c>
      <c r="K34" s="75">
        <v>0.35439010241011099</v>
      </c>
      <c r="L34" s="75">
        <f t="shared" si="4"/>
        <v>0.25066420086975189</v>
      </c>
      <c r="N34" s="30">
        <f t="shared" si="5"/>
        <v>2.7368083593868553</v>
      </c>
      <c r="O34" s="75">
        <v>5.7095877901633001</v>
      </c>
      <c r="P34" s="75">
        <v>-0.37327834266091714</v>
      </c>
      <c r="Q34" s="75">
        <v>1.7697896880944277</v>
      </c>
      <c r="R34" s="75">
        <f t="shared" si="6"/>
        <v>1.3965113454335105</v>
      </c>
      <c r="S34" s="88"/>
      <c r="T34" s="30">
        <f t="shared" si="7"/>
        <v>2.9817357423914226</v>
      </c>
      <c r="U34" s="75">
        <v>16.668469223409804</v>
      </c>
      <c r="V34" s="75">
        <v>1.9570042442013271</v>
      </c>
      <c r="W34" s="75">
        <v>5.6928691144123853</v>
      </c>
      <c r="X34" s="75">
        <f t="shared" si="8"/>
        <v>7.6498733586137124</v>
      </c>
      <c r="Y34" s="72">
        <f t="shared" si="0"/>
        <v>0</v>
      </c>
      <c r="Z34" s="30">
        <f t="shared" si="9"/>
        <v>2.9622047611067126</v>
      </c>
      <c r="AA34" s="11">
        <v>19.751750114413298</v>
      </c>
      <c r="AB34" s="75">
        <v>1.9847428369989049</v>
      </c>
      <c r="AC34" s="75">
        <v>6.6957068627363743</v>
      </c>
      <c r="AD34" s="75">
        <f t="shared" si="10"/>
        <v>8.6804496997352789</v>
      </c>
      <c r="AE34" s="75"/>
      <c r="AF34" s="30">
        <f t="shared" si="11"/>
        <v>2.8503434562277441</v>
      </c>
      <c r="AG34" s="75">
        <v>0.53141404120681335</v>
      </c>
      <c r="AH34" s="75">
        <v>5.7773207866578854E-3</v>
      </c>
      <c r="AI34" s="75">
        <v>0.17245277094298822</v>
      </c>
      <c r="AJ34" s="75">
        <f t="shared" si="12"/>
        <v>0.1782300917296461</v>
      </c>
      <c r="AL34" s="30">
        <f t="shared" si="13"/>
        <v>2.8052118952712313</v>
      </c>
      <c r="AM34" s="75">
        <v>3.8176590294715562</v>
      </c>
      <c r="AN34" s="75">
        <v>-9.3651610208796005E-2</v>
      </c>
      <c r="AO34" s="75">
        <v>1.2167495955135688</v>
      </c>
      <c r="AP34" s="75">
        <f t="shared" si="14"/>
        <v>1.1230979853047727</v>
      </c>
      <c r="AQ34" s="88"/>
      <c r="AR34" s="30">
        <f t="shared" si="15"/>
        <v>3.0046124829515852</v>
      </c>
      <c r="AS34" s="75">
        <v>15.402677043734929</v>
      </c>
      <c r="AT34" s="75">
        <v>2.0726171264210431</v>
      </c>
      <c r="AU34" s="75">
        <v>5.3065044962798176</v>
      </c>
      <c r="AV34" s="75">
        <f t="shared" si="16"/>
        <v>7.3791216227008611</v>
      </c>
      <c r="AW34" s="72">
        <f t="shared" si="17"/>
        <v>0</v>
      </c>
      <c r="AX34" s="30">
        <f t="shared" si="18"/>
        <v>2.6373612310459427</v>
      </c>
      <c r="AY34" s="11">
        <v>2.374731535280187</v>
      </c>
      <c r="AZ34" s="75">
        <v>-0.52610301968475415</v>
      </c>
      <c r="BA34" s="75">
        <v>0.70610956275344761</v>
      </c>
      <c r="BB34" s="75">
        <f t="shared" si="19"/>
        <v>0.18000654306869346</v>
      </c>
      <c r="BC34" s="75"/>
      <c r="BD34" s="30">
        <f t="shared" si="20"/>
        <v>2.6142974667533903</v>
      </c>
      <c r="BE34" s="75">
        <v>0.19374258077031151</v>
      </c>
      <c r="BF34" s="75">
        <v>-6.9067346278153099E-2</v>
      </c>
      <c r="BG34" s="75">
        <v>5.7043738869553398E-2</v>
      </c>
      <c r="BH34" s="75">
        <f t="shared" si="21"/>
        <v>-1.2023607408599701E-2</v>
      </c>
      <c r="BJ34" s="30">
        <f t="shared" si="22"/>
        <v>2.5779959595980673</v>
      </c>
      <c r="BK34" s="75">
        <v>1.3032102618231316</v>
      </c>
      <c r="BL34" s="75">
        <v>-0.29057782168208351</v>
      </c>
      <c r="BM34" s="75">
        <v>0.37774669225068269</v>
      </c>
      <c r="BN34" s="75">
        <f t="shared" si="23"/>
        <v>8.7168870568599177E-2</v>
      </c>
      <c r="BO34" s="88"/>
      <c r="BP34" s="30">
        <f t="shared" si="24"/>
        <v>2.7299783965388569</v>
      </c>
      <c r="BQ34" s="75">
        <v>0.87777869268674391</v>
      </c>
      <c r="BR34" s="75">
        <v>-0.16645785172451752</v>
      </c>
      <c r="BS34" s="75">
        <v>0.27131913163321136</v>
      </c>
      <c r="BT34" s="75">
        <f t="shared" si="25"/>
        <v>0.10486127990869384</v>
      </c>
      <c r="BU34" s="72">
        <f t="shared" si="26"/>
        <v>0</v>
      </c>
      <c r="BV34" s="30">
        <f t="shared" si="27"/>
        <v>2.6468617353205159</v>
      </c>
      <c r="BW34" s="11">
        <v>1.0085113638560528</v>
      </c>
      <c r="BX34" s="75">
        <v>-2.6892226884003306E-2</v>
      </c>
      <c r="BY34" s="75">
        <v>0.30108528970707676</v>
      </c>
      <c r="BZ34" s="75">
        <f t="shared" si="28"/>
        <v>0.27419306282307343</v>
      </c>
      <c r="CA34" s="75"/>
      <c r="CB34" s="30">
        <f t="shared" si="29"/>
        <v>2.9715317472071456</v>
      </c>
      <c r="CC34" s="75">
        <v>0.11005468485323042</v>
      </c>
      <c r="CD34" s="75">
        <v>-1.7792453645316623E-2</v>
      </c>
      <c r="CE34" s="75">
        <v>3.7441322944962968E-2</v>
      </c>
      <c r="CF34" s="75">
        <f t="shared" si="30"/>
        <v>1.9648869299646345E-2</v>
      </c>
      <c r="CH34" s="30">
        <f t="shared" si="31"/>
        <v>2.6078916675794428</v>
      </c>
      <c r="CI34" s="75">
        <v>0.53681981591731076</v>
      </c>
      <c r="CJ34" s="75">
        <v>-2.205025681449153E-2</v>
      </c>
      <c r="CK34" s="75">
        <v>0.1576225040625937</v>
      </c>
      <c r="CL34" s="75">
        <f t="shared" si="32"/>
        <v>0.13557224724810218</v>
      </c>
      <c r="CM34" s="88"/>
      <c r="CN34" s="30">
        <f t="shared" si="33"/>
        <v>2.604308479860018</v>
      </c>
      <c r="CO34" s="75">
        <v>0.36163686308551168</v>
      </c>
      <c r="CP34" s="75">
        <v>1.2950483575804845E-2</v>
      </c>
      <c r="CQ34" s="75">
        <v>0.10602146269952011</v>
      </c>
      <c r="CR34" s="75">
        <f t="shared" si="34"/>
        <v>0.11897194627532495</v>
      </c>
      <c r="CS34" s="72">
        <f t="shared" si="35"/>
        <v>0</v>
      </c>
      <c r="CT34" s="30">
        <f t="shared" si="36"/>
        <v>2.9446387229132842</v>
      </c>
      <c r="CU34" s="11">
        <v>0.33900698645039778</v>
      </c>
      <c r="CV34" s="75">
        <v>4.8252409569903426E-2</v>
      </c>
      <c r="CW34" s="75">
        <v>0.11414718972002513</v>
      </c>
      <c r="CX34" s="75">
        <f t="shared" si="37"/>
        <v>0.16239959928992856</v>
      </c>
      <c r="CY34" s="75"/>
      <c r="CZ34" s="30">
        <f t="shared" si="38"/>
        <v>2.9346268426516664</v>
      </c>
      <c r="DA34" s="75">
        <v>0.26073167959647875</v>
      </c>
      <c r="DB34" s="75">
        <v>-2.2643422403547261E-2</v>
      </c>
      <c r="DC34" s="75">
        <v>8.7452269652606385E-2</v>
      </c>
      <c r="DD34" s="75">
        <f t="shared" si="39"/>
        <v>6.4808847249059123E-2</v>
      </c>
      <c r="DF34" s="30">
        <f t="shared" si="40"/>
        <v>2.9736967059325492</v>
      </c>
      <c r="DG34" s="75">
        <v>5.1898682951301692E-2</v>
      </c>
      <c r="DH34" s="75">
        <v>3.3001346044453983E-2</v>
      </c>
      <c r="DI34" s="75">
        <v>1.7670896267582607E-2</v>
      </c>
      <c r="DJ34" s="75">
        <f t="shared" si="41"/>
        <v>5.067224231203659E-2</v>
      </c>
      <c r="DK34" s="88"/>
      <c r="DL34" s="30">
        <f t="shared" si="42"/>
        <v>2.986239445321015</v>
      </c>
      <c r="DM34" s="75">
        <v>2.637662390261741E-2</v>
      </c>
      <c r="DN34" s="75">
        <v>3.7894485928996711E-2</v>
      </c>
      <c r="DO34" s="75">
        <v>9.0240237998361478E-3</v>
      </c>
      <c r="DP34" s="75">
        <f t="shared" si="43"/>
        <v>4.6918509728832859E-2</v>
      </c>
    </row>
    <row r="35" spans="1:120">
      <c r="A35" s="72">
        <f>name!B31</f>
        <v>0</v>
      </c>
      <c r="B35" s="30">
        <f t="shared" si="1"/>
        <v>2.8621080323697479</v>
      </c>
      <c r="C35" s="11">
        <v>28.894999999999936</v>
      </c>
      <c r="D35" s="75">
        <v>1.6460000000000381</v>
      </c>
      <c r="E35" s="75">
        <v>9.420712233917067</v>
      </c>
      <c r="F35" s="75">
        <f t="shared" si="2"/>
        <v>11.066712233917105</v>
      </c>
      <c r="G35" s="75"/>
      <c r="H35" s="30">
        <f t="shared" si="3"/>
        <v>2.6633825373017173</v>
      </c>
      <c r="I35" s="75">
        <v>1.9794220652335754</v>
      </c>
      <c r="J35" s="75">
        <v>-0.35248216003289656</v>
      </c>
      <c r="K35" s="75">
        <v>0.59508506788336712</v>
      </c>
      <c r="L35" s="75">
        <f t="shared" si="4"/>
        <v>0.24260290785047056</v>
      </c>
      <c r="N35" s="30">
        <f t="shared" si="5"/>
        <v>2.6696771260062091</v>
      </c>
      <c r="O35" s="75">
        <v>10.289648262531291</v>
      </c>
      <c r="P35" s="75">
        <v>0.71798490602012099</v>
      </c>
      <c r="Q35" s="75">
        <v>3.1016441026996522</v>
      </c>
      <c r="R35" s="75">
        <f t="shared" si="6"/>
        <v>3.8196290087197733</v>
      </c>
      <c r="S35" s="88"/>
      <c r="T35" s="30">
        <f t="shared" si="7"/>
        <v>3.0027901952621061</v>
      </c>
      <c r="U35" s="75">
        <v>16.625929672235067</v>
      </c>
      <c r="V35" s="75">
        <v>1.2804972540128137</v>
      </c>
      <c r="W35" s="75">
        <v>5.7239830633340478</v>
      </c>
      <c r="X35" s="75">
        <f t="shared" si="8"/>
        <v>7.0044803173468617</v>
      </c>
      <c r="Y35" s="72">
        <f t="shared" si="0"/>
        <v>0</v>
      </c>
      <c r="Z35" s="30">
        <f t="shared" si="9"/>
        <v>3.0215443790052143</v>
      </c>
      <c r="AA35" s="11">
        <v>17.580481963655998</v>
      </c>
      <c r="AB35" s="75">
        <v>2.8098087008328023</v>
      </c>
      <c r="AC35" s="75">
        <v>6.095681909765899</v>
      </c>
      <c r="AD35" s="75">
        <f t="shared" si="10"/>
        <v>8.9054906105987008</v>
      </c>
      <c r="AE35" s="75"/>
      <c r="AF35" s="30">
        <f t="shared" si="11"/>
        <v>2.9707695648767851</v>
      </c>
      <c r="AG35" s="75">
        <v>0.5967101275394916</v>
      </c>
      <c r="AH35" s="75">
        <v>0.21095192443473093</v>
      </c>
      <c r="AI35" s="75">
        <v>0.20294549270816775</v>
      </c>
      <c r="AJ35" s="75">
        <f t="shared" si="12"/>
        <v>0.41389741714289868</v>
      </c>
      <c r="AL35" s="30">
        <f t="shared" si="13"/>
        <v>2.828445336027241</v>
      </c>
      <c r="AM35" s="75">
        <v>4.2778021615675197</v>
      </c>
      <c r="AN35" s="75">
        <v>1.1605153808737563</v>
      </c>
      <c r="AO35" s="75">
        <v>1.3761664496642632</v>
      </c>
      <c r="AP35" s="75">
        <f t="shared" si="14"/>
        <v>2.5366818305380194</v>
      </c>
      <c r="AQ35" s="88"/>
      <c r="AR35" s="30">
        <f t="shared" si="15"/>
        <v>3.0881955582803711</v>
      </c>
      <c r="AS35" s="75">
        <v>12.705969674548985</v>
      </c>
      <c r="AT35" s="75">
        <v>1.4383413955243152</v>
      </c>
      <c r="AU35" s="75">
        <v>4.5165699673934689</v>
      </c>
      <c r="AV35" s="75">
        <f t="shared" si="16"/>
        <v>5.9549113629177839</v>
      </c>
      <c r="AW35" s="72">
        <f t="shared" si="17"/>
        <v>0</v>
      </c>
      <c r="AX35" s="30">
        <f t="shared" si="18"/>
        <v>2.6020134806948869</v>
      </c>
      <c r="AY35" s="11">
        <v>7.0600510279774715</v>
      </c>
      <c r="AZ35" s="75">
        <v>-0.82070299664328927</v>
      </c>
      <c r="BA35" s="75">
        <v>2.067760735617695</v>
      </c>
      <c r="BB35" s="75">
        <f t="shared" si="19"/>
        <v>1.2470577389744057</v>
      </c>
      <c r="BC35" s="75"/>
      <c r="BD35" s="30">
        <f t="shared" si="20"/>
        <v>2.5053318006841074</v>
      </c>
      <c r="BE35" s="75">
        <v>0.58242692656334427</v>
      </c>
      <c r="BF35" s="75">
        <v>-0.32828833435573068</v>
      </c>
      <c r="BG35" s="75">
        <v>0.16351669099146005</v>
      </c>
      <c r="BH35" s="75">
        <f t="shared" si="21"/>
        <v>-0.16477164336427064</v>
      </c>
      <c r="BJ35" s="30">
        <f t="shared" si="22"/>
        <v>2.528922957277846</v>
      </c>
      <c r="BK35" s="75">
        <v>3.4980513979754475</v>
      </c>
      <c r="BL35" s="75">
        <v>-0.21403758136916518</v>
      </c>
      <c r="BM35" s="75">
        <v>0.99240143264883662</v>
      </c>
      <c r="BN35" s="75">
        <f t="shared" si="23"/>
        <v>0.77836385127967145</v>
      </c>
      <c r="BO35" s="88"/>
      <c r="BP35" s="30">
        <f t="shared" si="24"/>
        <v>2.7058922134773455</v>
      </c>
      <c r="BQ35" s="75">
        <v>2.9795727034386803</v>
      </c>
      <c r="BR35" s="75">
        <v>-0.27837708091839342</v>
      </c>
      <c r="BS35" s="75">
        <v>0.91184261197739835</v>
      </c>
      <c r="BT35" s="75">
        <f t="shared" si="25"/>
        <v>0.63346553105900494</v>
      </c>
      <c r="BU35" s="72">
        <f t="shared" si="26"/>
        <v>0</v>
      </c>
      <c r="BV35" s="30">
        <f t="shared" si="27"/>
        <v>2.6025333799874595</v>
      </c>
      <c r="BW35" s="11">
        <v>3.9916086369088277</v>
      </c>
      <c r="BX35" s="75">
        <v>-0.36860749517507152</v>
      </c>
      <c r="BY35" s="75">
        <v>1.1693311871886336</v>
      </c>
      <c r="BZ35" s="75">
        <f t="shared" si="28"/>
        <v>0.80072369201356208</v>
      </c>
      <c r="CA35" s="75"/>
      <c r="CB35" s="30">
        <f t="shared" si="29"/>
        <v>2.5262794249925946</v>
      </c>
      <c r="CC35" s="75">
        <v>0.76479151317239202</v>
      </c>
      <c r="CD35" s="75">
        <v>-0.20773686960970486</v>
      </c>
      <c r="CE35" s="75">
        <v>0.21671918013294533</v>
      </c>
      <c r="CF35" s="75">
        <f t="shared" si="30"/>
        <v>8.9823105232404721E-3</v>
      </c>
      <c r="CH35" s="30">
        <f t="shared" si="31"/>
        <v>2.5896950806788999</v>
      </c>
      <c r="CI35" s="75">
        <v>2.4153471822787229</v>
      </c>
      <c r="CJ35" s="75">
        <v>-0.2502303844660983</v>
      </c>
      <c r="CK35" s="75">
        <v>0.70366416736616388</v>
      </c>
      <c r="CL35" s="75">
        <f t="shared" si="32"/>
        <v>0.45343378290006559</v>
      </c>
      <c r="CM35" s="88"/>
      <c r="CN35" s="30">
        <f t="shared" si="33"/>
        <v>2.7118274856430702</v>
      </c>
      <c r="CO35" s="75">
        <v>0.81146994145771245</v>
      </c>
      <c r="CP35" s="75">
        <v>8.9359758900731598E-2</v>
      </c>
      <c r="CQ35" s="75">
        <v>0.24894783968952428</v>
      </c>
      <c r="CR35" s="75">
        <f t="shared" si="34"/>
        <v>0.33830759859025589</v>
      </c>
      <c r="CS35" s="72">
        <f t="shared" si="35"/>
        <v>0</v>
      </c>
      <c r="CT35" s="30">
        <f t="shared" si="36"/>
        <v>2.9279629310322131</v>
      </c>
      <c r="CU35" s="11">
        <v>0.26285837145763702</v>
      </c>
      <c r="CV35" s="75">
        <v>2.5501790985596576E-2</v>
      </c>
      <c r="CW35" s="75">
        <v>8.7938401344838837E-2</v>
      </c>
      <c r="CX35" s="75">
        <f t="shared" si="37"/>
        <v>0.11344019233043541</v>
      </c>
      <c r="CY35" s="75"/>
      <c r="CZ35" s="30">
        <f t="shared" si="38"/>
        <v>2.9343651326463327</v>
      </c>
      <c r="DA35" s="75">
        <v>3.5493497958347456E-2</v>
      </c>
      <c r="DB35" s="75">
        <v>-2.740888050219192E-2</v>
      </c>
      <c r="DC35" s="75">
        <v>1.1903704050793999E-2</v>
      </c>
      <c r="DD35" s="75">
        <f t="shared" si="39"/>
        <v>-1.5505176451397921E-2</v>
      </c>
      <c r="DF35" s="30">
        <f t="shared" si="40"/>
        <v>2.6485565988142667</v>
      </c>
      <c r="DG35" s="75">
        <v>9.8447520709600847E-2</v>
      </c>
      <c r="DH35" s="75">
        <v>2.1737490981628024E-2</v>
      </c>
      <c r="DI35" s="75">
        <v>2.941205302038874E-2</v>
      </c>
      <c r="DJ35" s="75">
        <f t="shared" si="41"/>
        <v>5.1149544002016767E-2</v>
      </c>
      <c r="DK35" s="88"/>
      <c r="DL35" s="30">
        <f t="shared" si="42"/>
        <v>3.1350944801386671</v>
      </c>
      <c r="DM35" s="75">
        <v>0.12891735278968872</v>
      </c>
      <c r="DN35" s="75">
        <v>3.1173180506160469E-2</v>
      </c>
      <c r="DO35" s="75">
        <v>4.6622644273656109E-2</v>
      </c>
      <c r="DP35" s="75">
        <f t="shared" si="43"/>
        <v>7.7795824779816586E-2</v>
      </c>
    </row>
    <row r="36" spans="1:120">
      <c r="A36" s="72">
        <f>name!B32</f>
        <v>0</v>
      </c>
      <c r="B36" s="30">
        <f t="shared" si="1"/>
        <v>2.9945367077332863</v>
      </c>
      <c r="C36" s="11">
        <v>56.486999999999881</v>
      </c>
      <c r="D36" s="75">
        <v>9.4270000000000458</v>
      </c>
      <c r="E36" s="75">
        <v>19.386548178062384</v>
      </c>
      <c r="F36" s="75">
        <f t="shared" si="2"/>
        <v>28.81354817806243</v>
      </c>
      <c r="G36" s="75"/>
      <c r="H36" s="30">
        <f t="shared" si="3"/>
        <v>2.6683655064911882</v>
      </c>
      <c r="I36" s="75">
        <v>3.0739661220094856</v>
      </c>
      <c r="J36" s="75">
        <v>1.6985913874363638</v>
      </c>
      <c r="K36" s="75">
        <v>0.92608514366015537</v>
      </c>
      <c r="L36" s="75">
        <f t="shared" si="4"/>
        <v>2.6246765310965192</v>
      </c>
      <c r="N36" s="30">
        <f t="shared" si="5"/>
        <v>2.7983270973520824</v>
      </c>
      <c r="O36" s="75">
        <v>10.80483185043264</v>
      </c>
      <c r="P36" s="75">
        <v>0.32429358730751345</v>
      </c>
      <c r="Q36" s="75">
        <v>3.4341351738504251</v>
      </c>
      <c r="R36" s="75">
        <f t="shared" si="6"/>
        <v>3.7584287611579388</v>
      </c>
      <c r="S36" s="88"/>
      <c r="T36" s="30">
        <f t="shared" si="7"/>
        <v>3.0668385216106264</v>
      </c>
      <c r="U36" s="75">
        <v>42.608202027557752</v>
      </c>
      <c r="V36" s="75">
        <v>7.4041150252561669</v>
      </c>
      <c r="W36" s="75">
        <v>15.026327860551801</v>
      </c>
      <c r="X36" s="75">
        <f t="shared" si="8"/>
        <v>22.430442885807967</v>
      </c>
      <c r="Y36" s="72">
        <f t="shared" si="0"/>
        <v>0</v>
      </c>
      <c r="Z36" s="30">
        <f t="shared" si="9"/>
        <v>3.0309771831799281</v>
      </c>
      <c r="AA36" s="11">
        <v>51.021735996170101</v>
      </c>
      <c r="AB36" s="75">
        <v>9.5647099325395999</v>
      </c>
      <c r="AC36" s="75">
        <v>17.753710691282151</v>
      </c>
      <c r="AD36" s="75">
        <f t="shared" si="10"/>
        <v>27.318420623821751</v>
      </c>
      <c r="AE36" s="75"/>
      <c r="AF36" s="30">
        <f t="shared" si="11"/>
        <v>2.7156970530987756</v>
      </c>
      <c r="AG36" s="75">
        <v>1.8966772091595998</v>
      </c>
      <c r="AH36" s="75">
        <v>1.1084660999032749</v>
      </c>
      <c r="AI36" s="75">
        <v>0.58280846211724435</v>
      </c>
      <c r="AJ36" s="75">
        <f t="shared" si="12"/>
        <v>1.6912745620205194</v>
      </c>
      <c r="AL36" s="30">
        <f t="shared" si="13"/>
        <v>2.8544377950161515</v>
      </c>
      <c r="AM36" s="75">
        <v>8.7151787782400429</v>
      </c>
      <c r="AN36" s="75">
        <v>0.37231764916359472</v>
      </c>
      <c r="AO36" s="75">
        <v>2.8328178136294691</v>
      </c>
      <c r="AP36" s="75">
        <f t="shared" si="14"/>
        <v>3.2051354627930637</v>
      </c>
      <c r="AQ36" s="88"/>
      <c r="AR36" s="30">
        <f t="shared" si="15"/>
        <v>3.0832355344662776</v>
      </c>
      <c r="AS36" s="75">
        <v>40.409880008770457</v>
      </c>
      <c r="AT36" s="75">
        <v>8.0839261834727303</v>
      </c>
      <c r="AU36" s="75">
        <v>14.338084415535439</v>
      </c>
      <c r="AV36" s="75">
        <f t="shared" si="16"/>
        <v>22.422010599008168</v>
      </c>
      <c r="AW36" s="72">
        <f t="shared" si="17"/>
        <v>0</v>
      </c>
      <c r="AX36" s="30">
        <f t="shared" si="18"/>
        <v>2.6442828612915692</v>
      </c>
      <c r="AY36" s="11">
        <v>4.1117223502687619</v>
      </c>
      <c r="AZ36" s="75">
        <v>-1.2602457015033561</v>
      </c>
      <c r="BA36" s="75">
        <v>1.2261898817352725</v>
      </c>
      <c r="BB36" s="75">
        <f t="shared" si="19"/>
        <v>-3.4055819768083584E-2</v>
      </c>
      <c r="BC36" s="75"/>
      <c r="BD36" s="30">
        <f t="shared" si="20"/>
        <v>2.5250973136344612</v>
      </c>
      <c r="BE36" s="75">
        <v>0.59212142104784216</v>
      </c>
      <c r="BF36" s="75">
        <v>5.5003227893673415E-2</v>
      </c>
      <c r="BG36" s="75">
        <v>0.1677019969682341</v>
      </c>
      <c r="BH36" s="75">
        <f t="shared" si="21"/>
        <v>0.22270522486190752</v>
      </c>
      <c r="BJ36" s="30">
        <f t="shared" si="22"/>
        <v>2.5953522288273634</v>
      </c>
      <c r="BK36" s="75">
        <v>1.6781048923637909</v>
      </c>
      <c r="BL36" s="75">
        <v>-0.50299398657548378</v>
      </c>
      <c r="BM36" s="75">
        <v>0.49007829174845352</v>
      </c>
      <c r="BN36" s="75">
        <f t="shared" si="23"/>
        <v>-1.2915694827030255E-2</v>
      </c>
      <c r="BO36" s="88"/>
      <c r="BP36" s="30">
        <f t="shared" si="24"/>
        <v>2.7266024857339533</v>
      </c>
      <c r="BQ36" s="75">
        <v>1.8414960368571291</v>
      </c>
      <c r="BR36" s="75">
        <v>-0.81225494282154564</v>
      </c>
      <c r="BS36" s="75">
        <v>0.56840959301858496</v>
      </c>
      <c r="BT36" s="75">
        <f t="shared" si="25"/>
        <v>-0.24384534980296069</v>
      </c>
      <c r="BU36" s="72">
        <f t="shared" si="26"/>
        <v>0</v>
      </c>
      <c r="BV36" s="30">
        <f t="shared" si="27"/>
        <v>2.6699286086445007</v>
      </c>
      <c r="BW36" s="11">
        <v>0.94096087042845011</v>
      </c>
      <c r="BX36" s="75">
        <v>1.0673588590067584</v>
      </c>
      <c r="BY36" s="75">
        <v>0.28366707092484866</v>
      </c>
      <c r="BZ36" s="75">
        <f t="shared" si="28"/>
        <v>1.3510259299316072</v>
      </c>
      <c r="CA36" s="75"/>
      <c r="CB36" s="30">
        <f t="shared" si="29"/>
        <v>2.4755931087015126</v>
      </c>
      <c r="CC36" s="75">
        <v>0.24637925552867021</v>
      </c>
      <c r="CD36" s="75">
        <v>0.45294770729803285</v>
      </c>
      <c r="CE36" s="75">
        <v>6.8256840443345096E-2</v>
      </c>
      <c r="CF36" s="75">
        <f t="shared" si="30"/>
        <v>0.52120454774137792</v>
      </c>
      <c r="CH36" s="30">
        <f t="shared" si="31"/>
        <v>2.5317857369329788</v>
      </c>
      <c r="CI36" s="75">
        <v>0.34250238229029917</v>
      </c>
      <c r="CJ36" s="75">
        <v>0.47722061778305425</v>
      </c>
      <c r="CK36" s="75">
        <v>9.7291120958866453E-2</v>
      </c>
      <c r="CL36" s="75">
        <f t="shared" si="32"/>
        <v>0.57451173874192074</v>
      </c>
      <c r="CM36" s="88"/>
      <c r="CN36" s="30">
        <f t="shared" si="33"/>
        <v>2.9352369214464158</v>
      </c>
      <c r="CO36" s="75">
        <v>0.35207923260948076</v>
      </c>
      <c r="CP36" s="75">
        <v>0.13719053392567115</v>
      </c>
      <c r="CQ36" s="75">
        <v>0.1181191095226371</v>
      </c>
      <c r="CR36" s="75">
        <f t="shared" si="34"/>
        <v>0.25530964344830825</v>
      </c>
      <c r="CS36" s="72">
        <f t="shared" si="35"/>
        <v>0</v>
      </c>
      <c r="CT36" s="30">
        <f t="shared" si="36"/>
        <v>2.6431615692057875</v>
      </c>
      <c r="CU36" s="11">
        <v>0.41258078313257079</v>
      </c>
      <c r="CV36" s="75">
        <v>5.5176909957042726E-2</v>
      </c>
      <c r="CW36" s="75">
        <v>0.12298053412010829</v>
      </c>
      <c r="CX36" s="75">
        <f t="shared" si="37"/>
        <v>0.17815744407715101</v>
      </c>
      <c r="CY36" s="75"/>
      <c r="CZ36" s="30">
        <f t="shared" si="38"/>
        <v>2.7900274591234453</v>
      </c>
      <c r="DA36" s="75">
        <v>0.33878823627337318</v>
      </c>
      <c r="DB36" s="75">
        <v>8.2174352341382664E-2</v>
      </c>
      <c r="DC36" s="75">
        <v>0.10731784413133177</v>
      </c>
      <c r="DD36" s="75">
        <f t="shared" si="39"/>
        <v>0.18949219647271442</v>
      </c>
      <c r="DF36" s="30">
        <f t="shared" si="40"/>
        <v>1.8569836908540527</v>
      </c>
      <c r="DG36" s="75">
        <v>6.9045797538509451E-2</v>
      </c>
      <c r="DH36" s="75">
        <v>-2.2250693063651759E-2</v>
      </c>
      <c r="DI36" s="75">
        <v>1.3947947513635921E-2</v>
      </c>
      <c r="DJ36" s="75">
        <f t="shared" si="41"/>
        <v>-8.3027455500158387E-3</v>
      </c>
      <c r="DK36" s="88"/>
      <c r="DL36" s="30">
        <f t="shared" si="42"/>
        <v>3.1320498905442085</v>
      </c>
      <c r="DM36" s="75">
        <v>4.7467493206881754E-3</v>
      </c>
      <c r="DN36" s="75">
        <v>-4.7467493206881754E-3</v>
      </c>
      <c r="DO36" s="75">
        <v>1.714742475140592E-3</v>
      </c>
      <c r="DP36" s="75">
        <f t="shared" si="43"/>
        <v>-3.0320068455475836E-3</v>
      </c>
    </row>
    <row r="37" spans="1:120">
      <c r="A37" s="72">
        <f>name!B33</f>
        <v>0</v>
      </c>
      <c r="B37" s="30">
        <f t="shared" si="1"/>
        <v>3.0105219210724066</v>
      </c>
      <c r="C37" s="11">
        <v>138.06999999999971</v>
      </c>
      <c r="D37" s="75">
        <v>5.2479999999998874</v>
      </c>
      <c r="E37" s="75">
        <v>47.674174099563118</v>
      </c>
      <c r="F37" s="75">
        <f t="shared" si="2"/>
        <v>52.922174099563009</v>
      </c>
      <c r="G37" s="75"/>
      <c r="H37" s="30">
        <f t="shared" si="3"/>
        <v>2.7387217667445674</v>
      </c>
      <c r="I37" s="75">
        <v>5.0762170042485808</v>
      </c>
      <c r="J37" s="75">
        <v>-1.6886317271375544</v>
      </c>
      <c r="K37" s="75">
        <v>1.5747035569122914</v>
      </c>
      <c r="L37" s="75">
        <f t="shared" si="4"/>
        <v>-0.11392817022526303</v>
      </c>
      <c r="N37" s="30">
        <f t="shared" si="5"/>
        <v>2.8045296362573024</v>
      </c>
      <c r="O37" s="75">
        <v>28.306731283971203</v>
      </c>
      <c r="P37" s="75">
        <v>-8.2765906536960721</v>
      </c>
      <c r="Q37" s="75">
        <v>9.0193352638725663</v>
      </c>
      <c r="R37" s="75">
        <f t="shared" si="6"/>
        <v>0.74274461017649429</v>
      </c>
      <c r="S37" s="88"/>
      <c r="T37" s="30">
        <f t="shared" si="7"/>
        <v>3.078543964604763</v>
      </c>
      <c r="U37" s="75">
        <v>104.68705171177994</v>
      </c>
      <c r="V37" s="75">
        <v>15.213222380833514</v>
      </c>
      <c r="W37" s="75">
        <v>37.080135278778265</v>
      </c>
      <c r="X37" s="75">
        <f t="shared" si="8"/>
        <v>52.293357659611779</v>
      </c>
      <c r="Y37" s="72">
        <f t="shared" si="0"/>
        <v>0</v>
      </c>
      <c r="Z37" s="30">
        <f t="shared" si="9"/>
        <v>3.1854311581563932</v>
      </c>
      <c r="AA37" s="11">
        <v>84.169352157623123</v>
      </c>
      <c r="AB37" s="75">
        <v>11.293223881137797</v>
      </c>
      <c r="AC37" s="75">
        <v>31.000236702092703</v>
      </c>
      <c r="AD37" s="75">
        <f t="shared" si="10"/>
        <v>42.293460583230498</v>
      </c>
      <c r="AE37" s="75"/>
      <c r="AF37" s="30">
        <f t="shared" si="11"/>
        <v>2.8758144240809802</v>
      </c>
      <c r="AG37" s="75">
        <v>1.561209729824472</v>
      </c>
      <c r="AH37" s="75">
        <v>-0.14303116627554172</v>
      </c>
      <c r="AI37" s="75">
        <v>0.51176550062084825</v>
      </c>
      <c r="AJ37" s="75">
        <f t="shared" si="12"/>
        <v>0.36873433434530656</v>
      </c>
      <c r="AL37" s="30">
        <f t="shared" si="13"/>
        <v>3.0188955093647607</v>
      </c>
      <c r="AM37" s="75">
        <v>12.208732860551185</v>
      </c>
      <c r="AN37" s="75">
        <v>-2.5285459351532285</v>
      </c>
      <c r="AO37" s="75">
        <v>4.2289079044003817</v>
      </c>
      <c r="AP37" s="75">
        <f t="shared" si="14"/>
        <v>1.7003619692471532</v>
      </c>
      <c r="AQ37" s="88"/>
      <c r="AR37" s="30">
        <f t="shared" si="15"/>
        <v>3.2208226301510656</v>
      </c>
      <c r="AS37" s="75">
        <v>70.39940956724746</v>
      </c>
      <c r="AT37" s="75">
        <v>13.964800982566569</v>
      </c>
      <c r="AU37" s="75">
        <v>26.259563297071477</v>
      </c>
      <c r="AV37" s="75">
        <f t="shared" si="16"/>
        <v>40.224364279638046</v>
      </c>
      <c r="AW37" s="72">
        <f t="shared" si="17"/>
        <v>0</v>
      </c>
      <c r="AX37" s="30">
        <f t="shared" si="18"/>
        <v>2.7267134522667158</v>
      </c>
      <c r="AY37" s="11">
        <v>51.927409634180037</v>
      </c>
      <c r="AZ37" s="75">
        <v>-6.0856524291559531</v>
      </c>
      <c r="BA37" s="75">
        <v>16.029026927967443</v>
      </c>
      <c r="BB37" s="75">
        <f t="shared" si="19"/>
        <v>9.9433744988114903</v>
      </c>
      <c r="BC37" s="75"/>
      <c r="BD37" s="30">
        <f t="shared" si="20"/>
        <v>2.6091217857213467</v>
      </c>
      <c r="BE37" s="75">
        <v>2.7243795006504485</v>
      </c>
      <c r="BF37" s="75">
        <v>-1.1532037322243214</v>
      </c>
      <c r="BG37" s="75">
        <v>0.80036230481528592</v>
      </c>
      <c r="BH37" s="75">
        <f t="shared" si="21"/>
        <v>-0.35284142740903546</v>
      </c>
      <c r="BJ37" s="30">
        <f t="shared" si="22"/>
        <v>2.6299443244254261</v>
      </c>
      <c r="BK37" s="75">
        <v>15.359163285338358</v>
      </c>
      <c r="BL37" s="75">
        <v>-5.9558823651697637</v>
      </c>
      <c r="BM37" s="75">
        <v>4.5525435996448893</v>
      </c>
      <c r="BN37" s="75">
        <f t="shared" si="23"/>
        <v>-1.4033387655248744</v>
      </c>
      <c r="BO37" s="88"/>
      <c r="BP37" s="30">
        <f t="shared" si="24"/>
        <v>2.7797379262401334</v>
      </c>
      <c r="BQ37" s="75">
        <v>33.843866848191233</v>
      </c>
      <c r="BR37" s="75">
        <v>1.0234336682381324</v>
      </c>
      <c r="BS37" s="75">
        <v>10.676121023507269</v>
      </c>
      <c r="BT37" s="75">
        <f t="shared" si="25"/>
        <v>11.699554691745401</v>
      </c>
      <c r="BU37" s="72">
        <f t="shared" si="26"/>
        <v>0</v>
      </c>
      <c r="BV37" s="30">
        <f t="shared" si="27"/>
        <v>2.6792477491861755</v>
      </c>
      <c r="BW37" s="11">
        <v>0.56980182682378044</v>
      </c>
      <c r="BX37" s="75">
        <v>1.0313467302711063E-2</v>
      </c>
      <c r="BY37" s="75">
        <v>0.17244888032198771</v>
      </c>
      <c r="BZ37" s="75">
        <f t="shared" si="28"/>
        <v>0.18276234762469878</v>
      </c>
      <c r="CA37" s="75"/>
      <c r="CB37" s="30">
        <f t="shared" si="29"/>
        <v>2.8367883930212612</v>
      </c>
      <c r="CC37" s="75">
        <v>0.20099431010344829</v>
      </c>
      <c r="CD37" s="75">
        <v>-5.7907920738398629E-2</v>
      </c>
      <c r="CE37" s="75">
        <v>6.4875370800946713E-2</v>
      </c>
      <c r="CF37" s="75">
        <f t="shared" si="30"/>
        <v>6.9674500625480848E-3</v>
      </c>
      <c r="CH37" s="30">
        <f t="shared" si="31"/>
        <v>2.5723272891071236</v>
      </c>
      <c r="CI37" s="75">
        <v>0.24513927427280902</v>
      </c>
      <c r="CJ37" s="75">
        <v>6.3410914542454982E-2</v>
      </c>
      <c r="CK37" s="75">
        <v>7.0881032615846981E-2</v>
      </c>
      <c r="CL37" s="75">
        <f t="shared" si="32"/>
        <v>0.13429194715830195</v>
      </c>
      <c r="CM37" s="88"/>
      <c r="CN37" s="30">
        <f t="shared" si="33"/>
        <v>2.6322808837923928</v>
      </c>
      <c r="CO37" s="75">
        <v>0.12366824244752304</v>
      </c>
      <c r="CP37" s="75">
        <v>4.8104734986547104E-3</v>
      </c>
      <c r="CQ37" s="75">
        <v>3.6692476905194005E-2</v>
      </c>
      <c r="CR37" s="75">
        <f t="shared" si="34"/>
        <v>4.1502950403848715E-2</v>
      </c>
      <c r="CS37" s="72">
        <f t="shared" si="35"/>
        <v>0</v>
      </c>
      <c r="CT37" s="30">
        <f t="shared" si="36"/>
        <v>2.9441443737506567</v>
      </c>
      <c r="CU37" s="11">
        <v>1.4034363813727799</v>
      </c>
      <c r="CV37" s="75">
        <v>3.0115080715330519E-2</v>
      </c>
      <c r="CW37" s="75">
        <v>0.47246158918098952</v>
      </c>
      <c r="CX37" s="75">
        <f t="shared" si="37"/>
        <v>0.50257666989631999</v>
      </c>
      <c r="CY37" s="75"/>
      <c r="CZ37" s="30">
        <f t="shared" si="38"/>
        <v>2.9337226933785931</v>
      </c>
      <c r="DA37" s="75">
        <v>0.58963346367021108</v>
      </c>
      <c r="DB37" s="75">
        <v>-0.33448890789929281</v>
      </c>
      <c r="DC37" s="75">
        <v>0.19770038067521037</v>
      </c>
      <c r="DD37" s="75">
        <f t="shared" si="39"/>
        <v>-0.13678852722408244</v>
      </c>
      <c r="DF37" s="30">
        <f t="shared" si="40"/>
        <v>2.9566467111862726</v>
      </c>
      <c r="DG37" s="75">
        <v>0.49369586380885072</v>
      </c>
      <c r="DH37" s="75">
        <v>0.14442673208446449</v>
      </c>
      <c r="DI37" s="75">
        <v>0.16700272721144677</v>
      </c>
      <c r="DJ37" s="75">
        <f t="shared" si="41"/>
        <v>0.31142945929591126</v>
      </c>
      <c r="DK37" s="88"/>
      <c r="DL37" s="30">
        <f t="shared" si="42"/>
        <v>2.944039552625588</v>
      </c>
      <c r="DM37" s="75">
        <v>0.32010705389371841</v>
      </c>
      <c r="DN37" s="75">
        <v>0.22017725653015885</v>
      </c>
      <c r="DO37" s="75">
        <v>0.10775848129433241</v>
      </c>
      <c r="DP37" s="75">
        <f t="shared" si="43"/>
        <v>0.32793573782449126</v>
      </c>
    </row>
    <row r="38" spans="1:120">
      <c r="A38" s="72">
        <f>name!B34</f>
        <v>0</v>
      </c>
      <c r="B38" s="30">
        <f t="shared" si="1"/>
        <v>2.8257154904523185</v>
      </c>
      <c r="C38" s="11">
        <v>26.81499999999993</v>
      </c>
      <c r="D38" s="75">
        <v>7.5369999999999937</v>
      </c>
      <c r="E38" s="75">
        <v>8.6169620938889029</v>
      </c>
      <c r="F38" s="75">
        <f t="shared" si="2"/>
        <v>16.153962093888897</v>
      </c>
      <c r="G38" s="75"/>
      <c r="H38" s="30">
        <f t="shared" si="3"/>
        <v>2.7595137651860391</v>
      </c>
      <c r="I38" s="75">
        <v>9.6078449399321268</v>
      </c>
      <c r="J38" s="75">
        <v>1.1945418938920125</v>
      </c>
      <c r="K38" s="75">
        <v>3.0059681556585636</v>
      </c>
      <c r="L38" s="75">
        <f t="shared" si="4"/>
        <v>4.2005100495505765</v>
      </c>
      <c r="N38" s="30">
        <f t="shared" si="5"/>
        <v>2.7341953758082793</v>
      </c>
      <c r="O38" s="75">
        <v>9.4171479489873615</v>
      </c>
      <c r="P38" s="75">
        <v>4.3258837135697759</v>
      </c>
      <c r="Q38" s="75">
        <v>2.9158776210009156</v>
      </c>
      <c r="R38" s="75">
        <f t="shared" si="6"/>
        <v>7.2417613345706915</v>
      </c>
      <c r="S38" s="88"/>
      <c r="T38" s="30">
        <f t="shared" si="7"/>
        <v>3.0157359045575483</v>
      </c>
      <c r="U38" s="75">
        <v>7.7900071110804436</v>
      </c>
      <c r="V38" s="75">
        <v>2.0165743925382058</v>
      </c>
      <c r="W38" s="75">
        <v>2.6951163172294232</v>
      </c>
      <c r="X38" s="75">
        <f t="shared" si="8"/>
        <v>4.7116907097676286</v>
      </c>
      <c r="Y38" s="72">
        <f t="shared" si="0"/>
        <v>0</v>
      </c>
      <c r="Z38" s="30">
        <f t="shared" si="9"/>
        <v>2.9620533437984875</v>
      </c>
      <c r="AA38" s="11">
        <v>14.110138053458403</v>
      </c>
      <c r="AB38" s="75">
        <v>3.9764107081502162</v>
      </c>
      <c r="AC38" s="75">
        <v>4.782961494721258</v>
      </c>
      <c r="AD38" s="75">
        <f t="shared" si="10"/>
        <v>8.7593722028714751</v>
      </c>
      <c r="AE38" s="75"/>
      <c r="AF38" s="30">
        <f t="shared" si="11"/>
        <v>3.0508290138248517</v>
      </c>
      <c r="AG38" s="75">
        <v>2.6202275395242833</v>
      </c>
      <c r="AH38" s="75">
        <v>0.73551593091479284</v>
      </c>
      <c r="AI38" s="75">
        <v>0.91855524570148372</v>
      </c>
      <c r="AJ38" s="75">
        <f t="shared" si="12"/>
        <v>1.6540711766162766</v>
      </c>
      <c r="AL38" s="30">
        <f t="shared" si="13"/>
        <v>2.7890299588156253</v>
      </c>
      <c r="AM38" s="75">
        <v>5.0463247440146821</v>
      </c>
      <c r="AN38" s="75">
        <v>1.6277822226639092</v>
      </c>
      <c r="AO38" s="75">
        <v>1.5978779135482615</v>
      </c>
      <c r="AP38" s="75">
        <f t="shared" si="14"/>
        <v>3.2256601362121708</v>
      </c>
      <c r="AQ38" s="88"/>
      <c r="AR38" s="30">
        <f t="shared" si="15"/>
        <v>3.0598777753332529</v>
      </c>
      <c r="AS38" s="75">
        <v>6.4435857699194363</v>
      </c>
      <c r="AT38" s="75">
        <v>1.6131125545715137</v>
      </c>
      <c r="AU38" s="75">
        <v>2.266528335471512</v>
      </c>
      <c r="AV38" s="75">
        <f t="shared" si="16"/>
        <v>3.8796408900430257</v>
      </c>
      <c r="AW38" s="72">
        <f t="shared" si="17"/>
        <v>0</v>
      </c>
      <c r="AX38" s="30">
        <f t="shared" si="18"/>
        <v>2.6178151526021098</v>
      </c>
      <c r="AY38" s="11">
        <v>7.6620754162084248</v>
      </c>
      <c r="AZ38" s="75">
        <v>4.1655399185813149</v>
      </c>
      <c r="BA38" s="75">
        <v>2.2593497360645594</v>
      </c>
      <c r="BB38" s="75">
        <f t="shared" si="19"/>
        <v>6.4248896546458738</v>
      </c>
      <c r="BC38" s="75"/>
      <c r="BD38" s="30">
        <f t="shared" si="20"/>
        <v>2.5608888175541633</v>
      </c>
      <c r="BE38" s="75">
        <v>3.3773615761310447</v>
      </c>
      <c r="BF38" s="75">
        <v>1.945929096670862</v>
      </c>
      <c r="BG38" s="75">
        <v>0.97169760077091438</v>
      </c>
      <c r="BH38" s="75">
        <f t="shared" si="21"/>
        <v>2.9176266974417766</v>
      </c>
      <c r="BJ38" s="30">
        <f t="shared" si="22"/>
        <v>2.6173073729337526</v>
      </c>
      <c r="BK38" s="75">
        <v>3.0704844325527145</v>
      </c>
      <c r="BL38" s="75">
        <v>1.9069257326115823</v>
      </c>
      <c r="BM38" s="75">
        <v>0.90521045953698565</v>
      </c>
      <c r="BN38" s="75">
        <f t="shared" si="23"/>
        <v>2.8121361921485679</v>
      </c>
      <c r="BO38" s="88"/>
      <c r="BP38" s="30">
        <f t="shared" si="24"/>
        <v>2.7759432511544002</v>
      </c>
      <c r="BQ38" s="75">
        <v>1.2142294075246651</v>
      </c>
      <c r="BR38" s="75">
        <v>0.31268508929887001</v>
      </c>
      <c r="BS38" s="75">
        <v>0.38244167575665899</v>
      </c>
      <c r="BT38" s="75">
        <f t="shared" si="25"/>
        <v>0.69512676505552906</v>
      </c>
      <c r="BU38" s="72">
        <f t="shared" si="26"/>
        <v>0</v>
      </c>
      <c r="BV38" s="30">
        <f t="shared" si="27"/>
        <v>2.414473236517467</v>
      </c>
      <c r="BW38" s="11">
        <v>1.7431494173157795</v>
      </c>
      <c r="BX38" s="75">
        <v>0.61248561781568023</v>
      </c>
      <c r="BY38" s="75">
        <v>0.46968017566679687</v>
      </c>
      <c r="BZ38" s="75">
        <f t="shared" si="28"/>
        <v>1.0821657934824771</v>
      </c>
      <c r="CA38" s="75"/>
      <c r="CB38" s="30">
        <f t="shared" si="29"/>
        <v>2.3405169267602499</v>
      </c>
      <c r="CC38" s="75">
        <v>1.2042700345147108</v>
      </c>
      <c r="CD38" s="75">
        <v>0.30980767932272152</v>
      </c>
      <c r="CE38" s="75">
        <v>0.31347892181305265</v>
      </c>
      <c r="CF38" s="75">
        <f t="shared" si="30"/>
        <v>0.62328660113577417</v>
      </c>
      <c r="CH38" s="30">
        <f t="shared" si="31"/>
        <v>2.5716323827520871</v>
      </c>
      <c r="CI38" s="75">
        <v>0.51030481802269645</v>
      </c>
      <c r="CJ38" s="75">
        <v>0.30519047738461286</v>
      </c>
      <c r="CK38" s="75">
        <v>0.14750801317099851</v>
      </c>
      <c r="CL38" s="75">
        <f t="shared" si="32"/>
        <v>0.4526984905556114</v>
      </c>
      <c r="CM38" s="88"/>
      <c r="CN38" s="30">
        <f t="shared" si="33"/>
        <v>2.6917180041436728</v>
      </c>
      <c r="CO38" s="75">
        <v>2.8574564778372218E-2</v>
      </c>
      <c r="CP38" s="75">
        <v>-2.5125388916541216E-3</v>
      </c>
      <c r="CQ38" s="75">
        <v>8.6932406827457485E-3</v>
      </c>
      <c r="CR38" s="75">
        <f t="shared" si="34"/>
        <v>6.1807017910916265E-3</v>
      </c>
      <c r="CS38" s="72">
        <f t="shared" si="35"/>
        <v>0</v>
      </c>
      <c r="CT38" s="30">
        <f t="shared" si="36"/>
        <v>2.930505677421591</v>
      </c>
      <c r="CU38" s="11">
        <v>3.299637113017325</v>
      </c>
      <c r="CV38" s="75">
        <v>-1.2174362445472158</v>
      </c>
      <c r="CW38" s="75">
        <v>1.1049706874362895</v>
      </c>
      <c r="CX38" s="75">
        <f t="shared" si="37"/>
        <v>-0.11246555711092632</v>
      </c>
      <c r="CY38" s="75"/>
      <c r="CZ38" s="30">
        <f t="shared" si="38"/>
        <v>2.919374445859102</v>
      </c>
      <c r="DA38" s="75">
        <v>2.4059857897620875</v>
      </c>
      <c r="DB38" s="75">
        <v>-1.7967108130163638</v>
      </c>
      <c r="DC38" s="75">
        <v>0.80223638737311287</v>
      </c>
      <c r="DD38" s="75">
        <f t="shared" si="39"/>
        <v>-0.99447442564325095</v>
      </c>
      <c r="DF38" s="30">
        <f t="shared" si="40"/>
        <v>2.937506325372885</v>
      </c>
      <c r="DG38" s="75">
        <v>0.79003395439726709</v>
      </c>
      <c r="DH38" s="75">
        <v>0.48598528090967197</v>
      </c>
      <c r="DI38" s="75">
        <v>0.26528123474467041</v>
      </c>
      <c r="DJ38" s="75">
        <f t="shared" si="41"/>
        <v>0.75126651565434233</v>
      </c>
      <c r="DK38" s="88"/>
      <c r="DL38" s="30">
        <f t="shared" si="42"/>
        <v>3.1336395897629599</v>
      </c>
      <c r="DM38" s="75">
        <v>0.10361736885797046</v>
      </c>
      <c r="DN38" s="75">
        <v>9.3289287559476172E-2</v>
      </c>
      <c r="DO38" s="75">
        <v>3.7453065318506049E-2</v>
      </c>
      <c r="DP38" s="75">
        <f t="shared" si="43"/>
        <v>0.13074235287798222</v>
      </c>
    </row>
    <row r="39" spans="1:120">
      <c r="A39" s="72">
        <f>name!B35</f>
        <v>0</v>
      </c>
      <c r="B39" s="30">
        <f t="shared" si="1"/>
        <v>2.9211108203484271</v>
      </c>
      <c r="C39" s="11">
        <v>368.77606295320101</v>
      </c>
      <c r="D39" s="75">
        <v>84.761622092085645</v>
      </c>
      <c r="E39" s="75">
        <v>123.04528099391801</v>
      </c>
      <c r="F39" s="75">
        <f t="shared" si="2"/>
        <v>207.80690308600367</v>
      </c>
      <c r="G39" s="75"/>
      <c r="H39" s="30">
        <f t="shared" si="3"/>
        <v>2.7717249598931071</v>
      </c>
      <c r="I39" s="75">
        <v>32.837927119185728</v>
      </c>
      <c r="J39" s="75">
        <v>4.3237049506459986</v>
      </c>
      <c r="K39" s="75">
        <v>10.325129723137874</v>
      </c>
      <c r="L39" s="75">
        <f t="shared" si="4"/>
        <v>14.648834673783872</v>
      </c>
      <c r="N39" s="30">
        <f t="shared" si="5"/>
        <v>2.7656612940708758</v>
      </c>
      <c r="O39" s="75">
        <v>92.687769994006359</v>
      </c>
      <c r="P39" s="75">
        <v>19.710235186067983</v>
      </c>
      <c r="Q39" s="75">
        <v>29.071671128619347</v>
      </c>
      <c r="R39" s="75">
        <f t="shared" si="6"/>
        <v>48.781906314687333</v>
      </c>
      <c r="S39" s="88"/>
      <c r="T39" s="30">
        <f t="shared" si="7"/>
        <v>2.9997068221470746</v>
      </c>
      <c r="U39" s="75">
        <v>243.25036584000898</v>
      </c>
      <c r="V39" s="75">
        <v>60.727681955371672</v>
      </c>
      <c r="W39" s="75">
        <v>83.648480142160807</v>
      </c>
      <c r="X39" s="75">
        <f t="shared" si="8"/>
        <v>144.37616209753247</v>
      </c>
      <c r="Y39" s="72">
        <f t="shared" si="0"/>
        <v>0</v>
      </c>
      <c r="Z39" s="30">
        <f t="shared" si="9"/>
        <v>2.9792358460889012</v>
      </c>
      <c r="AA39" s="11">
        <v>289.04342517306725</v>
      </c>
      <c r="AB39" s="75">
        <v>66.861243610511465</v>
      </c>
      <c r="AC39" s="75">
        <v>98.624387051621596</v>
      </c>
      <c r="AD39" s="75">
        <f t="shared" si="10"/>
        <v>165.48563066213308</v>
      </c>
      <c r="AE39" s="75"/>
      <c r="AF39" s="30">
        <f t="shared" si="11"/>
        <v>2.8543057167711661</v>
      </c>
      <c r="AG39" s="75">
        <v>18.48236538854206</v>
      </c>
      <c r="AH39" s="75">
        <v>4.0960252972031945</v>
      </c>
      <c r="AI39" s="75">
        <v>6.0072701306023175</v>
      </c>
      <c r="AJ39" s="75">
        <f t="shared" si="12"/>
        <v>10.103295427805513</v>
      </c>
      <c r="AL39" s="30">
        <f t="shared" si="13"/>
        <v>2.8320236000210164</v>
      </c>
      <c r="AM39" s="75">
        <v>54.824002647872582</v>
      </c>
      <c r="AN39" s="75">
        <v>11.073850669427829</v>
      </c>
      <c r="AO39" s="75">
        <v>17.662068695155931</v>
      </c>
      <c r="AP39" s="75">
        <f t="shared" si="14"/>
        <v>28.735919364583758</v>
      </c>
      <c r="AQ39" s="88"/>
      <c r="AR39" s="30">
        <f t="shared" si="15"/>
        <v>3.0269513060553033</v>
      </c>
      <c r="AS39" s="75">
        <v>215.73705713665262</v>
      </c>
      <c r="AT39" s="75">
        <v>51.691367643880433</v>
      </c>
      <c r="AU39" s="75">
        <v>74.955048225863351</v>
      </c>
      <c r="AV39" s="75">
        <f t="shared" si="16"/>
        <v>126.64641586974378</v>
      </c>
      <c r="AW39" s="72">
        <f t="shared" si="17"/>
        <v>0</v>
      </c>
      <c r="AX39" s="30">
        <f t="shared" si="18"/>
        <v>2.6968748254135422</v>
      </c>
      <c r="AY39" s="11">
        <v>69.208761822942577</v>
      </c>
      <c r="AZ39" s="75">
        <v>17.364813908921313</v>
      </c>
      <c r="BA39" s="75">
        <v>21.100721406247324</v>
      </c>
      <c r="BB39" s="75">
        <f t="shared" si="19"/>
        <v>38.465535315168637</v>
      </c>
      <c r="BC39" s="75"/>
      <c r="BD39" s="30">
        <f t="shared" si="20"/>
        <v>2.6111478879813799</v>
      </c>
      <c r="BE39" s="75">
        <v>8.5643903989708114</v>
      </c>
      <c r="BF39" s="75">
        <v>2.5133510791903837</v>
      </c>
      <c r="BG39" s="75">
        <v>2.5182161637376153</v>
      </c>
      <c r="BH39" s="75">
        <f t="shared" si="21"/>
        <v>5.0315672429279985</v>
      </c>
      <c r="BJ39" s="30">
        <f t="shared" si="22"/>
        <v>2.646322122033018</v>
      </c>
      <c r="BK39" s="75">
        <v>33.438393051364635</v>
      </c>
      <c r="BL39" s="75">
        <v>5.8534198050841955</v>
      </c>
      <c r="BM39" s="75">
        <v>9.9805580750418521</v>
      </c>
      <c r="BN39" s="75">
        <f t="shared" si="23"/>
        <v>15.833977880126048</v>
      </c>
      <c r="BO39" s="88"/>
      <c r="BP39" s="30">
        <f t="shared" si="24"/>
        <v>2.7854120715325115</v>
      </c>
      <c r="BQ39" s="75">
        <v>27.205978372607124</v>
      </c>
      <c r="BR39" s="75">
        <v>8.9980430246467371</v>
      </c>
      <c r="BS39" s="75">
        <v>8.6019471674678574</v>
      </c>
      <c r="BT39" s="75">
        <f t="shared" si="25"/>
        <v>17.599990192114596</v>
      </c>
      <c r="BU39" s="72">
        <f t="shared" si="26"/>
        <v>0</v>
      </c>
      <c r="BV39" s="30">
        <f t="shared" si="27"/>
        <v>2.5118352045522041</v>
      </c>
      <c r="BW39" s="11">
        <v>3.8656530906609365</v>
      </c>
      <c r="BX39" s="75">
        <v>1.3479415735600602</v>
      </c>
      <c r="BY39" s="75">
        <v>1.08842630099127</v>
      </c>
      <c r="BZ39" s="75">
        <f t="shared" si="28"/>
        <v>2.4363678745513302</v>
      </c>
      <c r="CA39" s="75"/>
      <c r="CB39" s="30">
        <f t="shared" si="29"/>
        <v>2.415283547581426</v>
      </c>
      <c r="CC39" s="75">
        <v>1.9483930173046786</v>
      </c>
      <c r="CD39" s="75">
        <v>0.36760454555590533</v>
      </c>
      <c r="CE39" s="75">
        <v>0.52517741956185582</v>
      </c>
      <c r="CF39" s="75">
        <f t="shared" si="30"/>
        <v>0.89278196511776109</v>
      </c>
      <c r="CH39" s="30">
        <f t="shared" si="31"/>
        <v>2.60322084904967</v>
      </c>
      <c r="CI39" s="75">
        <v>1.6099297426070227</v>
      </c>
      <c r="CJ39" s="75">
        <v>0.94206574115965114</v>
      </c>
      <c r="CK39" s="75">
        <v>0.47176413259982158</v>
      </c>
      <c r="CL39" s="75">
        <f t="shared" si="32"/>
        <v>1.4138298737594728</v>
      </c>
      <c r="CM39" s="88"/>
      <c r="CN39" s="30">
        <f t="shared" si="33"/>
        <v>2.6399932413593952</v>
      </c>
      <c r="CO39" s="75">
        <v>0.30733033074923499</v>
      </c>
      <c r="CP39" s="75">
        <v>3.8271286844503753E-2</v>
      </c>
      <c r="CQ39" s="75">
        <v>9.148474882959258E-2</v>
      </c>
      <c r="CR39" s="75">
        <f t="shared" si="34"/>
        <v>0.12975603567409633</v>
      </c>
      <c r="CS39" s="72">
        <f t="shared" si="35"/>
        <v>0</v>
      </c>
      <c r="CT39" s="30">
        <f t="shared" si="36"/>
        <v>2.9328961439813339</v>
      </c>
      <c r="CU39" s="11">
        <v>6.6582228665302994</v>
      </c>
      <c r="CV39" s="75">
        <v>-0.81237700090717724</v>
      </c>
      <c r="CW39" s="75">
        <v>2.2317462350578254</v>
      </c>
      <c r="CX39" s="75">
        <f t="shared" si="37"/>
        <v>1.4193692341506483</v>
      </c>
      <c r="CY39" s="75"/>
      <c r="CZ39" s="30">
        <f t="shared" si="38"/>
        <v>2.9056172918835443</v>
      </c>
      <c r="DA39" s="75">
        <v>3.8427783143681786</v>
      </c>
      <c r="DB39" s="75">
        <v>-2.6532759713034841</v>
      </c>
      <c r="DC39" s="75">
        <v>1.2744660092360849</v>
      </c>
      <c r="DD39" s="75">
        <f t="shared" si="39"/>
        <v>-1.3788099620673993</v>
      </c>
      <c r="DF39" s="30">
        <f t="shared" si="40"/>
        <v>2.9700241427257357</v>
      </c>
      <c r="DG39" s="75">
        <v>2.8154445521621203</v>
      </c>
      <c r="DH39" s="75">
        <v>1.840898970396307</v>
      </c>
      <c r="DI39" s="75">
        <v>0.95728022582174022</v>
      </c>
      <c r="DJ39" s="75">
        <f t="shared" si="41"/>
        <v>2.7981791962180473</v>
      </c>
      <c r="DK39" s="88"/>
      <c r="DL39" s="30">
        <f t="shared" si="42"/>
        <v>0</v>
      </c>
      <c r="DM39" s="75">
        <v>0</v>
      </c>
      <c r="DN39" s="75">
        <v>0</v>
      </c>
      <c r="DO39" s="75">
        <v>0</v>
      </c>
      <c r="DP39" s="75">
        <f t="shared" si="43"/>
        <v>0</v>
      </c>
    </row>
    <row r="40" spans="1:120">
      <c r="A40" s="72">
        <f>name!B36</f>
        <v>0</v>
      </c>
      <c r="B40" s="30">
        <f t="shared" si="1"/>
        <v>2.6156670918794589</v>
      </c>
      <c r="C40" s="11">
        <v>59.103598741996336</v>
      </c>
      <c r="D40" s="75">
        <v>10.931351340026987</v>
      </c>
      <c r="E40" s="75">
        <v>17.412118425033665</v>
      </c>
      <c r="F40" s="75">
        <f t="shared" si="2"/>
        <v>28.343469765060654</v>
      </c>
      <c r="G40" s="75"/>
      <c r="H40" s="30">
        <f t="shared" si="3"/>
        <v>2.9162137159606694</v>
      </c>
      <c r="I40" s="75">
        <v>7.0907516731659292</v>
      </c>
      <c r="J40" s="75">
        <v>1.9187056475680879</v>
      </c>
      <c r="K40" s="75">
        <v>2.3613912018919283</v>
      </c>
      <c r="L40" s="75">
        <f t="shared" si="4"/>
        <v>4.2800968494600165</v>
      </c>
      <c r="N40" s="30">
        <f t="shared" si="5"/>
        <v>2.7970408811855085</v>
      </c>
      <c r="O40" s="75">
        <v>18.191156691215305</v>
      </c>
      <c r="P40" s="75">
        <v>8.022238906562599</v>
      </c>
      <c r="Q40" s="75">
        <v>5.7787557135900602</v>
      </c>
      <c r="R40" s="75">
        <f t="shared" si="6"/>
        <v>13.800994620152659</v>
      </c>
      <c r="S40" s="88"/>
      <c r="T40" s="30">
        <f t="shared" si="7"/>
        <v>2.4523227678848292</v>
      </c>
      <c r="U40" s="75">
        <v>33.821690377615099</v>
      </c>
      <c r="V40" s="75">
        <v>0.99040678589629894</v>
      </c>
      <c r="W40" s="75">
        <v>9.2719715095516726</v>
      </c>
      <c r="X40" s="75">
        <f t="shared" si="8"/>
        <v>10.262378295447972</v>
      </c>
      <c r="Y40" s="72">
        <f t="shared" si="0"/>
        <v>0</v>
      </c>
      <c r="Z40" s="30">
        <f t="shared" si="9"/>
        <v>2.484409578072122</v>
      </c>
      <c r="AA40" s="11">
        <v>44.995646288457721</v>
      </c>
      <c r="AB40" s="75">
        <v>0.7961289357498379</v>
      </c>
      <c r="AC40" s="75">
        <v>12.515037145045216</v>
      </c>
      <c r="AD40" s="75">
        <f t="shared" si="10"/>
        <v>13.311166080795054</v>
      </c>
      <c r="AE40" s="75"/>
      <c r="AF40" s="30">
        <f t="shared" si="11"/>
        <v>2.5511173362787742</v>
      </c>
      <c r="AG40" s="75">
        <v>2.5406257516550319</v>
      </c>
      <c r="AH40" s="75">
        <v>0.3259075522826399</v>
      </c>
      <c r="AI40" s="75">
        <v>0.72784543832994497</v>
      </c>
      <c r="AJ40" s="75">
        <f t="shared" si="12"/>
        <v>1.0537529906125849</v>
      </c>
      <c r="AL40" s="30">
        <f t="shared" si="13"/>
        <v>2.6421330232528906</v>
      </c>
      <c r="AM40" s="75">
        <v>11.02643601927363</v>
      </c>
      <c r="AN40" s="75">
        <v>-0.16285332189494414</v>
      </c>
      <c r="AO40" s="75">
        <v>3.2852845394032442</v>
      </c>
      <c r="AP40" s="75">
        <f t="shared" si="14"/>
        <v>3.1224312175083</v>
      </c>
      <c r="AQ40" s="88"/>
      <c r="AR40" s="30">
        <f t="shared" si="15"/>
        <v>2.4231158731658597</v>
      </c>
      <c r="AS40" s="75">
        <v>31.42858451752906</v>
      </c>
      <c r="AT40" s="75">
        <v>0.63307470536214216</v>
      </c>
      <c r="AU40" s="75">
        <v>8.5019071673120266</v>
      </c>
      <c r="AV40" s="75">
        <f t="shared" si="16"/>
        <v>9.1349818726741692</v>
      </c>
      <c r="AW40" s="72">
        <f t="shared" si="17"/>
        <v>0</v>
      </c>
      <c r="AX40" s="30">
        <f t="shared" si="18"/>
        <v>2.675817093692956</v>
      </c>
      <c r="AY40" s="11">
        <v>5.0502971452334489</v>
      </c>
      <c r="AZ40" s="75">
        <v>0.88079477764455349</v>
      </c>
      <c r="BA40" s="75">
        <v>1.5262601500564552</v>
      </c>
      <c r="BB40" s="75">
        <f t="shared" si="19"/>
        <v>2.4070549277010089</v>
      </c>
      <c r="BC40" s="75"/>
      <c r="BD40" s="30">
        <f t="shared" si="20"/>
        <v>2.6176394496400412</v>
      </c>
      <c r="BE40" s="75">
        <v>0.56332121807974112</v>
      </c>
      <c r="BF40" s="75">
        <v>6.7884082218324399E-2</v>
      </c>
      <c r="BG40" s="75">
        <v>0.16609650552913752</v>
      </c>
      <c r="BH40" s="75">
        <f t="shared" si="21"/>
        <v>0.23398058774746192</v>
      </c>
      <c r="BJ40" s="30">
        <f t="shared" si="22"/>
        <v>2.6168774278747309</v>
      </c>
      <c r="BK40" s="75">
        <v>2.8001519292734307</v>
      </c>
      <c r="BL40" s="75">
        <v>0.57994096053429567</v>
      </c>
      <c r="BM40" s="75">
        <v>0.8253617461934516</v>
      </c>
      <c r="BN40" s="75">
        <f t="shared" si="23"/>
        <v>1.4053027067277473</v>
      </c>
      <c r="BO40" s="88"/>
      <c r="BP40" s="30">
        <f t="shared" si="24"/>
        <v>2.7921892804910087</v>
      </c>
      <c r="BQ40" s="75">
        <v>1.6868239978802764</v>
      </c>
      <c r="BR40" s="75">
        <v>0.23296973489193351</v>
      </c>
      <c r="BS40" s="75">
        <v>0.53480189833386615</v>
      </c>
      <c r="BT40" s="75">
        <f t="shared" si="25"/>
        <v>0.76777163322579967</v>
      </c>
      <c r="BU40" s="72">
        <f t="shared" si="26"/>
        <v>0</v>
      </c>
      <c r="BV40" s="30">
        <f t="shared" si="27"/>
        <v>3.3032406781256851</v>
      </c>
      <c r="BW40" s="11">
        <v>7.5734451294849583</v>
      </c>
      <c r="BX40" s="75">
        <v>9.9445968505973621</v>
      </c>
      <c r="BY40" s="75">
        <v>2.9082842096564585</v>
      </c>
      <c r="BZ40" s="75">
        <f t="shared" si="28"/>
        <v>12.852881060253821</v>
      </c>
      <c r="CA40" s="75"/>
      <c r="CB40" s="30">
        <f t="shared" si="29"/>
        <v>3.3739759257654933</v>
      </c>
      <c r="CC40" s="75">
        <v>2.7837448344029059</v>
      </c>
      <c r="CD40" s="75">
        <v>2.278224621913898</v>
      </c>
      <c r="CE40" s="75">
        <v>1.0954503018874868</v>
      </c>
      <c r="CF40" s="75">
        <f t="shared" si="30"/>
        <v>3.373674923801385</v>
      </c>
      <c r="CH40" s="30">
        <f t="shared" si="31"/>
        <v>3.3175945471649371</v>
      </c>
      <c r="CI40" s="75">
        <v>4.0993032054196004</v>
      </c>
      <c r="CJ40" s="75">
        <v>7.5439376770551005</v>
      </c>
      <c r="CK40" s="75">
        <v>1.582064592612429</v>
      </c>
      <c r="CL40" s="75">
        <f t="shared" si="32"/>
        <v>9.1260022696675289</v>
      </c>
      <c r="CM40" s="88"/>
      <c r="CN40" s="30">
        <f t="shared" si="33"/>
        <v>2.9257200385051085</v>
      </c>
      <c r="CO40" s="75">
        <v>0.69039708966245217</v>
      </c>
      <c r="CP40" s="75">
        <v>0.1224345516283623</v>
      </c>
      <c r="CQ40" s="75">
        <v>0.23076931515654289</v>
      </c>
      <c r="CR40" s="75">
        <f t="shared" si="34"/>
        <v>0.35320386678490517</v>
      </c>
      <c r="CS40" s="72">
        <f t="shared" si="35"/>
        <v>0</v>
      </c>
      <c r="CT40" s="30">
        <f t="shared" si="36"/>
        <v>2.7499012245735921</v>
      </c>
      <c r="CU40" s="11">
        <v>1.4842101788202127</v>
      </c>
      <c r="CV40" s="75">
        <v>-0.69016922396476632</v>
      </c>
      <c r="CW40" s="75">
        <v>0.46253692027553084</v>
      </c>
      <c r="CX40" s="75">
        <f t="shared" si="37"/>
        <v>-0.22763230368923548</v>
      </c>
      <c r="CY40" s="75"/>
      <c r="CZ40" s="30">
        <f t="shared" si="38"/>
        <v>2.7308671095884973</v>
      </c>
      <c r="DA40" s="75">
        <v>1.2030598690282495</v>
      </c>
      <c r="DB40" s="75">
        <v>-0.75331060884677437</v>
      </c>
      <c r="DC40" s="75">
        <v>0.37199895614535888</v>
      </c>
      <c r="DD40" s="75">
        <f t="shared" si="39"/>
        <v>-0.38131165270141548</v>
      </c>
      <c r="DF40" s="30">
        <f t="shared" si="40"/>
        <v>2.8492227911662393</v>
      </c>
      <c r="DG40" s="75">
        <v>0.26526553724864882</v>
      </c>
      <c r="DH40" s="75">
        <v>6.1213590868147122E-2</v>
      </c>
      <c r="DI40" s="75">
        <v>8.6044835380935866E-2</v>
      </c>
      <c r="DJ40" s="75">
        <f t="shared" si="41"/>
        <v>0.14725842624908297</v>
      </c>
      <c r="DK40" s="88"/>
      <c r="DL40" s="30">
        <f t="shared" si="42"/>
        <v>2.5221830839160519</v>
      </c>
      <c r="DM40" s="75">
        <v>1.5884772543314236E-2</v>
      </c>
      <c r="DN40" s="75">
        <v>1.9277940138610408E-3</v>
      </c>
      <c r="DO40" s="75">
        <v>4.4931287492361305E-3</v>
      </c>
      <c r="DP40" s="75">
        <f t="shared" si="43"/>
        <v>6.4209227630971713E-3</v>
      </c>
    </row>
    <row r="41" spans="1:120">
      <c r="A41" s="72">
        <f>name!B37</f>
        <v>0</v>
      </c>
      <c r="B41" s="30">
        <f t="shared" si="1"/>
        <v>2.6219584526235851</v>
      </c>
      <c r="C41" s="11">
        <v>9.5199829855549893</v>
      </c>
      <c r="D41" s="75">
        <v>1.2808958930051737</v>
      </c>
      <c r="E41" s="75">
        <v>2.8121772094303279</v>
      </c>
      <c r="F41" s="75">
        <f t="shared" si="2"/>
        <v>4.0930731024355014</v>
      </c>
      <c r="G41" s="75"/>
      <c r="H41" s="30">
        <f t="shared" si="3"/>
        <v>2.4658199500782629</v>
      </c>
      <c r="I41" s="75">
        <v>0.81619786230081037</v>
      </c>
      <c r="J41" s="75">
        <v>0.237585138792064</v>
      </c>
      <c r="K41" s="75">
        <v>0.22512559128548079</v>
      </c>
      <c r="L41" s="75">
        <f t="shared" si="4"/>
        <v>0.46271073007754482</v>
      </c>
      <c r="N41" s="30">
        <f t="shared" si="5"/>
        <v>2.6634862095569645</v>
      </c>
      <c r="O41" s="75">
        <v>2.0711276399167695</v>
      </c>
      <c r="P41" s="75">
        <v>0.44161042637100889</v>
      </c>
      <c r="Q41" s="75">
        <v>0.62268224619976209</v>
      </c>
      <c r="R41" s="75">
        <f t="shared" si="6"/>
        <v>1.0642926725707711</v>
      </c>
      <c r="S41" s="88"/>
      <c r="T41" s="30">
        <f t="shared" si="7"/>
        <v>2.628048625603352</v>
      </c>
      <c r="U41" s="75">
        <v>6.6326574833374119</v>
      </c>
      <c r="V41" s="75">
        <v>0.60170032784210092</v>
      </c>
      <c r="W41" s="75">
        <v>1.9643693719450848</v>
      </c>
      <c r="X41" s="75">
        <f t="shared" si="8"/>
        <v>2.5660696997871857</v>
      </c>
      <c r="Y41" s="72">
        <f t="shared" si="0"/>
        <v>0</v>
      </c>
      <c r="Z41" s="30">
        <f t="shared" si="9"/>
        <v>2.6231625982701789</v>
      </c>
      <c r="AA41" s="11">
        <v>7.8178668346409639</v>
      </c>
      <c r="AB41" s="75">
        <v>0.85873650454850714</v>
      </c>
      <c r="AC41" s="75">
        <v>2.3105650783484251</v>
      </c>
      <c r="AD41" s="75">
        <f t="shared" si="10"/>
        <v>3.1693015828969324</v>
      </c>
      <c r="AE41" s="75"/>
      <c r="AF41" s="30">
        <f t="shared" si="11"/>
        <v>2.4078323200257934</v>
      </c>
      <c r="AG41" s="75">
        <v>0.42302413000387928</v>
      </c>
      <c r="AH41" s="75">
        <v>0.33710538828897285</v>
      </c>
      <c r="AI41" s="75">
        <v>0.11363296527709778</v>
      </c>
      <c r="AJ41" s="75">
        <f t="shared" si="12"/>
        <v>0.45073835356607062</v>
      </c>
      <c r="AL41" s="30">
        <f t="shared" si="13"/>
        <v>2.7256227849607129</v>
      </c>
      <c r="AM41" s="75">
        <v>1.0976496509709948</v>
      </c>
      <c r="AN41" s="75">
        <v>1.0248190705673856E-3</v>
      </c>
      <c r="AO41" s="75">
        <v>0.33867155545083699</v>
      </c>
      <c r="AP41" s="75">
        <f t="shared" si="14"/>
        <v>0.33969637452140439</v>
      </c>
      <c r="AQ41" s="88"/>
      <c r="AR41" s="30">
        <f t="shared" si="15"/>
        <v>2.6195513042214014</v>
      </c>
      <c r="AS41" s="75">
        <v>6.2971930536660903</v>
      </c>
      <c r="AT41" s="75">
        <v>0.52060629718896689</v>
      </c>
      <c r="AU41" s="75">
        <v>1.8582605576204905</v>
      </c>
      <c r="AV41" s="75">
        <f t="shared" si="16"/>
        <v>2.3788668548094574</v>
      </c>
      <c r="AW41" s="72">
        <f t="shared" si="17"/>
        <v>0</v>
      </c>
      <c r="AX41" s="30">
        <f t="shared" si="18"/>
        <v>2.6785764491621844</v>
      </c>
      <c r="AY41" s="11">
        <v>0.96217009441048162</v>
      </c>
      <c r="AZ41" s="75">
        <v>0.19915521880321993</v>
      </c>
      <c r="BA41" s="75">
        <v>0.29111606469515938</v>
      </c>
      <c r="BB41" s="75">
        <f t="shared" si="19"/>
        <v>0.49027128349837934</v>
      </c>
      <c r="BC41" s="75"/>
      <c r="BD41" s="30">
        <f t="shared" si="20"/>
        <v>2.6372048618027666</v>
      </c>
      <c r="BE41" s="75">
        <v>0.12023971653791019</v>
      </c>
      <c r="BF41" s="75">
        <v>4.7709276205164207E-3</v>
      </c>
      <c r="BG41" s="75">
        <v>3.5750049535400286E-2</v>
      </c>
      <c r="BH41" s="75">
        <f t="shared" si="21"/>
        <v>4.052097715591671E-2</v>
      </c>
      <c r="BJ41" s="30">
        <f t="shared" si="22"/>
        <v>2.6370907343919114</v>
      </c>
      <c r="BK41" s="75">
        <v>0.59167940202908853</v>
      </c>
      <c r="BL41" s="75">
        <v>0.15764745541630559</v>
      </c>
      <c r="BM41" s="75">
        <v>0.17591143975903728</v>
      </c>
      <c r="BN41" s="75">
        <f t="shared" si="23"/>
        <v>0.33355889517534287</v>
      </c>
      <c r="BO41" s="88"/>
      <c r="BP41" s="30">
        <f t="shared" si="24"/>
        <v>2.7957236007542408</v>
      </c>
      <c r="BQ41" s="75">
        <v>0.25025097584348277</v>
      </c>
      <c r="BR41" s="75">
        <v>3.6736835766397878E-2</v>
      </c>
      <c r="BS41" s="75">
        <v>7.945457540072183E-2</v>
      </c>
      <c r="BT41" s="75">
        <f t="shared" si="25"/>
        <v>0.1161914111671197</v>
      </c>
      <c r="BU41" s="72">
        <f t="shared" si="26"/>
        <v>0</v>
      </c>
      <c r="BV41" s="30">
        <f t="shared" si="27"/>
        <v>2.5508183926929773</v>
      </c>
      <c r="BW41" s="11">
        <v>0.50584005818189604</v>
      </c>
      <c r="BX41" s="75">
        <v>0.32238456824668921</v>
      </c>
      <c r="BY41" s="75">
        <v>0.1448954785012399</v>
      </c>
      <c r="BZ41" s="75">
        <f t="shared" si="28"/>
        <v>0.46728004674792911</v>
      </c>
      <c r="CA41" s="75"/>
      <c r="CB41" s="30">
        <f t="shared" si="29"/>
        <v>2.5367449852401247</v>
      </c>
      <c r="CC41" s="75">
        <v>9.1589573227019994E-2</v>
      </c>
      <c r="CD41" s="75">
        <v>-4.2808638867016524E-3</v>
      </c>
      <c r="CE41" s="75">
        <v>2.6073802070792795E-2</v>
      </c>
      <c r="CF41" s="75">
        <f t="shared" si="30"/>
        <v>2.1792938184091143E-2</v>
      </c>
      <c r="CH41" s="30">
        <f t="shared" si="31"/>
        <v>2.5204548632431933</v>
      </c>
      <c r="CI41" s="75">
        <v>0.33966700342259021</v>
      </c>
      <c r="CJ41" s="75">
        <v>0.28850292379729831</v>
      </c>
      <c r="CK41" s="75">
        <v>9.6003947721158597E-2</v>
      </c>
      <c r="CL41" s="75">
        <f t="shared" si="32"/>
        <v>0.38450687151845692</v>
      </c>
      <c r="CM41" s="88"/>
      <c r="CN41" s="30">
        <f t="shared" si="33"/>
        <v>2.7051379124598762</v>
      </c>
      <c r="CO41" s="75">
        <v>7.458348153228582E-2</v>
      </c>
      <c r="CP41" s="75">
        <v>3.8162508336092499E-2</v>
      </c>
      <c r="CQ41" s="75">
        <v>2.2817728709288516E-2</v>
      </c>
      <c r="CR41" s="75">
        <f t="shared" si="34"/>
        <v>6.0980237045381011E-2</v>
      </c>
      <c r="CS41" s="72">
        <f t="shared" si="35"/>
        <v>0</v>
      </c>
      <c r="CT41" s="30">
        <f t="shared" si="36"/>
        <v>2.5010642333554323</v>
      </c>
      <c r="CU41" s="11">
        <v>0.23410599832164924</v>
      </c>
      <c r="CV41" s="75">
        <v>-9.9380398593242464E-2</v>
      </c>
      <c r="CW41" s="75">
        <v>6.5600587885503062E-2</v>
      </c>
      <c r="CX41" s="75">
        <f t="shared" si="37"/>
        <v>-3.3779810707739402E-2</v>
      </c>
      <c r="CY41" s="75"/>
      <c r="CZ41" s="30">
        <f t="shared" si="38"/>
        <v>2.4503054838948435</v>
      </c>
      <c r="DA41" s="75">
        <v>0.18134444253200094</v>
      </c>
      <c r="DB41" s="75">
        <v>-0.10001031323072365</v>
      </c>
      <c r="DC41" s="75">
        <v>4.9668774402189947E-2</v>
      </c>
      <c r="DD41" s="75">
        <f t="shared" si="39"/>
        <v>-5.0341538828533705E-2</v>
      </c>
      <c r="DF41" s="30">
        <f t="shared" si="40"/>
        <v>2.5559091493363884</v>
      </c>
      <c r="DG41" s="75">
        <v>4.2131583494095966E-2</v>
      </c>
      <c r="DH41" s="75">
        <v>-5.5647719131624168E-3</v>
      </c>
      <c r="DI41" s="75">
        <v>1.2095303268729192E-2</v>
      </c>
      <c r="DJ41" s="75">
        <f t="shared" si="41"/>
        <v>6.5305313555667748E-3</v>
      </c>
      <c r="DK41" s="88"/>
      <c r="DL41" s="30">
        <f t="shared" si="42"/>
        <v>3.1295401767871711</v>
      </c>
      <c r="DM41" s="75">
        <v>1.0629972295552376E-2</v>
      </c>
      <c r="DN41" s="75">
        <v>6.1946865506436119E-3</v>
      </c>
      <c r="DO41" s="75">
        <v>3.8365102145839292E-3</v>
      </c>
      <c r="DP41" s="75">
        <f t="shared" si="43"/>
        <v>1.003119676522754E-2</v>
      </c>
    </row>
    <row r="42" spans="1:120">
      <c r="A42" s="72">
        <f>name!B38</f>
        <v>0</v>
      </c>
      <c r="B42" s="30">
        <f t="shared" si="1"/>
        <v>2.7659066814350819</v>
      </c>
      <c r="C42" s="11">
        <v>41.327917877507424</v>
      </c>
      <c r="D42" s="75">
        <v>5.5428905332373821</v>
      </c>
      <c r="E42" s="75">
        <v>12.963865628503205</v>
      </c>
      <c r="F42" s="75">
        <f t="shared" si="2"/>
        <v>18.506756161740586</v>
      </c>
      <c r="G42" s="75"/>
      <c r="H42" s="30">
        <f t="shared" si="3"/>
        <v>2.5883895459776651</v>
      </c>
      <c r="I42" s="75">
        <v>6.6477909633603698</v>
      </c>
      <c r="J42" s="75">
        <v>0.46903863547743174</v>
      </c>
      <c r="K42" s="75">
        <v>1.9356115118566004</v>
      </c>
      <c r="L42" s="75">
        <f t="shared" si="4"/>
        <v>2.4046501473340323</v>
      </c>
      <c r="N42" s="30">
        <f t="shared" si="5"/>
        <v>2.6369495607399429</v>
      </c>
      <c r="O42" s="75">
        <v>13.326579267199337</v>
      </c>
      <c r="P42" s="75">
        <v>1.877839557749986</v>
      </c>
      <c r="Q42" s="75">
        <v>3.9618702925814446</v>
      </c>
      <c r="R42" s="75">
        <f t="shared" si="6"/>
        <v>5.8397098503314311</v>
      </c>
      <c r="S42" s="88"/>
      <c r="T42" s="30">
        <f t="shared" si="7"/>
        <v>2.8999820012332478</v>
      </c>
      <c r="U42" s="75">
        <v>21.35354764694771</v>
      </c>
      <c r="V42" s="75">
        <v>3.1960123400099647</v>
      </c>
      <c r="W42" s="75">
        <v>7.0663838240651593</v>
      </c>
      <c r="X42" s="75">
        <f t="shared" si="8"/>
        <v>10.262396164075124</v>
      </c>
      <c r="Y42" s="72">
        <f t="shared" si="0"/>
        <v>0</v>
      </c>
      <c r="Z42" s="30">
        <f t="shared" si="9"/>
        <v>2.8515281797403702</v>
      </c>
      <c r="AA42" s="11">
        <v>28.851400371214467</v>
      </c>
      <c r="AB42" s="75">
        <v>2.9117941769720685</v>
      </c>
      <c r="AC42" s="75">
        <v>9.3671654902328125</v>
      </c>
      <c r="AD42" s="75">
        <f t="shared" si="10"/>
        <v>12.27895966720488</v>
      </c>
      <c r="AE42" s="75"/>
      <c r="AF42" s="30">
        <f t="shared" si="11"/>
        <v>2.7312978006911237</v>
      </c>
      <c r="AG42" s="75">
        <v>2.3074493769266002</v>
      </c>
      <c r="AH42" s="75">
        <v>8.8154748807107802E-2</v>
      </c>
      <c r="AI42" s="75">
        <v>0.7136146359797787</v>
      </c>
      <c r="AJ42" s="75">
        <f t="shared" si="12"/>
        <v>0.80176938478688653</v>
      </c>
      <c r="AL42" s="30">
        <f t="shared" si="13"/>
        <v>2.6978647455589311</v>
      </c>
      <c r="AM42" s="75">
        <v>7.996889456722271</v>
      </c>
      <c r="AN42" s="75">
        <v>0.23978644928801202</v>
      </c>
      <c r="AO42" s="75">
        <v>2.4391384738532835</v>
      </c>
      <c r="AP42" s="75">
        <f t="shared" si="14"/>
        <v>2.6789249231412957</v>
      </c>
      <c r="AQ42" s="88"/>
      <c r="AR42" s="30">
        <f t="shared" si="15"/>
        <v>2.9319352041224489</v>
      </c>
      <c r="AS42" s="75">
        <v>18.547061537565593</v>
      </c>
      <c r="AT42" s="75">
        <v>2.5838529788769486</v>
      </c>
      <c r="AU42" s="75">
        <v>6.2144123803997511</v>
      </c>
      <c r="AV42" s="75">
        <f t="shared" si="16"/>
        <v>8.7982653592766997</v>
      </c>
      <c r="AW42" s="72">
        <f t="shared" si="17"/>
        <v>0</v>
      </c>
      <c r="AX42" s="30">
        <f t="shared" si="18"/>
        <v>2.5785306073743852</v>
      </c>
      <c r="AY42" s="11">
        <v>6.5037812929444394</v>
      </c>
      <c r="AZ42" s="75">
        <v>1.0757665767010658</v>
      </c>
      <c r="BA42" s="75">
        <v>1.8856141436015186</v>
      </c>
      <c r="BB42" s="75">
        <f t="shared" si="19"/>
        <v>2.9613807203025844</v>
      </c>
      <c r="BC42" s="75"/>
      <c r="BD42" s="30">
        <f t="shared" si="20"/>
        <v>2.4818332070334348</v>
      </c>
      <c r="BE42" s="75">
        <v>1.8237775728680967</v>
      </c>
      <c r="BF42" s="75">
        <v>0.40035255591572777</v>
      </c>
      <c r="BG42" s="75">
        <v>0.50667745232067052</v>
      </c>
      <c r="BH42" s="75">
        <f t="shared" si="21"/>
        <v>0.90703000823639823</v>
      </c>
      <c r="BJ42" s="30">
        <f t="shared" si="22"/>
        <v>2.5440839893432932</v>
      </c>
      <c r="BK42" s="75">
        <v>2.6329814450846953</v>
      </c>
      <c r="BL42" s="75">
        <v>0.36645710610714699</v>
      </c>
      <c r="BM42" s="75">
        <v>0.75198133827523139</v>
      </c>
      <c r="BN42" s="75">
        <f t="shared" si="23"/>
        <v>1.1184384443823783</v>
      </c>
      <c r="BO42" s="88"/>
      <c r="BP42" s="30">
        <f t="shared" si="24"/>
        <v>2.7078220766586059</v>
      </c>
      <c r="BQ42" s="75">
        <v>2.0470222749916469</v>
      </c>
      <c r="BR42" s="75">
        <v>0.30895691467819097</v>
      </c>
      <c r="BS42" s="75">
        <v>0.62695535300561678</v>
      </c>
      <c r="BT42" s="75">
        <f t="shared" si="25"/>
        <v>0.93591226768380775</v>
      </c>
      <c r="BU42" s="72">
        <f t="shared" si="26"/>
        <v>0</v>
      </c>
      <c r="BV42" s="30">
        <f t="shared" si="27"/>
        <v>2.4352549002091939</v>
      </c>
      <c r="BW42" s="11">
        <v>3.9926676757116213</v>
      </c>
      <c r="BX42" s="75">
        <v>1.3942061283114771</v>
      </c>
      <c r="BY42" s="75">
        <v>1.0860923018676825</v>
      </c>
      <c r="BZ42" s="75">
        <f t="shared" si="28"/>
        <v>2.4802984301791593</v>
      </c>
      <c r="CA42" s="75"/>
      <c r="CB42" s="30">
        <f t="shared" si="29"/>
        <v>2.3820319758712349</v>
      </c>
      <c r="CC42" s="75">
        <v>1.5804510737327937</v>
      </c>
      <c r="CD42" s="75">
        <v>0.54763313458440666</v>
      </c>
      <c r="CE42" s="75">
        <v>0.41949600254904829</v>
      </c>
      <c r="CF42" s="75">
        <f t="shared" si="30"/>
        <v>0.96712913713345494</v>
      </c>
      <c r="CH42" s="30">
        <f t="shared" si="31"/>
        <v>2.4397967914120189</v>
      </c>
      <c r="CI42" s="75">
        <v>1.8177774091588061</v>
      </c>
      <c r="CJ42" s="75">
        <v>0.71493905267938562</v>
      </c>
      <c r="CK42" s="75">
        <v>0.49550036268130071</v>
      </c>
      <c r="CL42" s="75">
        <f t="shared" si="32"/>
        <v>1.2104394153606863</v>
      </c>
      <c r="CM42" s="88"/>
      <c r="CN42" s="30">
        <f t="shared" si="33"/>
        <v>2.5618317898631338</v>
      </c>
      <c r="CO42" s="75">
        <v>0.59443919282002144</v>
      </c>
      <c r="CP42" s="75">
        <v>0.13163394104768467</v>
      </c>
      <c r="CQ42" s="75">
        <v>0.1710959366373333</v>
      </c>
      <c r="CR42" s="75">
        <f t="shared" si="34"/>
        <v>0.30272987768501797</v>
      </c>
      <c r="CS42" s="72">
        <f t="shared" si="35"/>
        <v>0</v>
      </c>
      <c r="CT42" s="30">
        <f t="shared" si="36"/>
        <v>2.7812246199814927</v>
      </c>
      <c r="CU42" s="11">
        <v>1.9800685376368916</v>
      </c>
      <c r="CV42" s="75">
        <v>0.16112365125277109</v>
      </c>
      <c r="CW42" s="75">
        <v>0.62499369280119021</v>
      </c>
      <c r="CX42" s="75">
        <f t="shared" si="37"/>
        <v>0.78611734405396128</v>
      </c>
      <c r="CY42" s="75"/>
      <c r="CZ42" s="30">
        <f t="shared" si="38"/>
        <v>2.7841153979467625</v>
      </c>
      <c r="DA42" s="75">
        <v>0.93611293983287924</v>
      </c>
      <c r="DB42" s="75">
        <v>-0.56710180382981035</v>
      </c>
      <c r="DC42" s="75">
        <v>0.29582342100710285</v>
      </c>
      <c r="DD42" s="75">
        <f t="shared" si="39"/>
        <v>-0.2712783828227075</v>
      </c>
      <c r="DF42" s="30">
        <f t="shared" si="40"/>
        <v>2.7618510900035087</v>
      </c>
      <c r="DG42" s="75">
        <v>0.87893095623356221</v>
      </c>
      <c r="DH42" s="75">
        <v>0.55665694967544133</v>
      </c>
      <c r="DI42" s="75">
        <v>0.275250117771629</v>
      </c>
      <c r="DJ42" s="75">
        <f t="shared" si="41"/>
        <v>0.83190706744707033</v>
      </c>
      <c r="DK42" s="88"/>
      <c r="DL42" s="30">
        <f t="shared" si="42"/>
        <v>2.8675941660104565</v>
      </c>
      <c r="DM42" s="75">
        <v>0.16502464157045005</v>
      </c>
      <c r="DN42" s="75">
        <v>0.17156850540714014</v>
      </c>
      <c r="DO42" s="75">
        <v>5.3920154022458346E-2</v>
      </c>
      <c r="DP42" s="75">
        <f t="shared" si="43"/>
        <v>0.22548865942959848</v>
      </c>
    </row>
    <row r="43" spans="1:120">
      <c r="A43" s="72">
        <f>name!B39</f>
        <v>0</v>
      </c>
      <c r="B43" s="30">
        <f t="shared" si="1"/>
        <v>2.964323205894126</v>
      </c>
      <c r="C43" s="11">
        <v>366.60612974536059</v>
      </c>
      <c r="D43" s="75">
        <v>59.276568078745363</v>
      </c>
      <c r="E43" s="75">
        <v>124.37795424368858</v>
      </c>
      <c r="F43" s="75">
        <f t="shared" si="2"/>
        <v>183.65452232243393</v>
      </c>
      <c r="G43" s="75"/>
      <c r="H43" s="30">
        <f t="shared" si="3"/>
        <v>2.8629023744369153</v>
      </c>
      <c r="I43" s="75">
        <v>60.29612584772859</v>
      </c>
      <c r="J43" s="75">
        <v>6.2659503707421011</v>
      </c>
      <c r="K43" s="75">
        <v>19.664677844879822</v>
      </c>
      <c r="L43" s="75">
        <f t="shared" si="4"/>
        <v>25.930628215621923</v>
      </c>
      <c r="N43" s="30">
        <f t="shared" si="5"/>
        <v>2.910542307155306</v>
      </c>
      <c r="O43" s="75">
        <v>109.06467888707947</v>
      </c>
      <c r="P43" s="75">
        <v>29.524424023904043</v>
      </c>
      <c r="Q43" s="75">
        <v>36.241068661330416</v>
      </c>
      <c r="R43" s="75">
        <f t="shared" si="6"/>
        <v>65.765492685234463</v>
      </c>
      <c r="S43" s="88"/>
      <c r="T43" s="30">
        <f t="shared" si="7"/>
        <v>3.0246977932693042</v>
      </c>
      <c r="U43" s="75">
        <v>197.24532501055251</v>
      </c>
      <c r="V43" s="75">
        <v>23.486193684099216</v>
      </c>
      <c r="W43" s="75">
        <v>68.472207737478328</v>
      </c>
      <c r="X43" s="75">
        <f t="shared" si="8"/>
        <v>91.958401421577548</v>
      </c>
      <c r="Y43" s="72">
        <f t="shared" si="0"/>
        <v>0</v>
      </c>
      <c r="Z43" s="30">
        <f t="shared" si="9"/>
        <v>3.067775138448714</v>
      </c>
      <c r="AA43" s="11">
        <v>128.40645062723203</v>
      </c>
      <c r="AB43" s="75">
        <v>11.85508119620458</v>
      </c>
      <c r="AC43" s="75">
        <v>45.299963238210964</v>
      </c>
      <c r="AD43" s="75">
        <f t="shared" si="10"/>
        <v>57.155044434415544</v>
      </c>
      <c r="AE43" s="75"/>
      <c r="AF43" s="30">
        <f t="shared" si="11"/>
        <v>2.9973382412868288</v>
      </c>
      <c r="AG43" s="75">
        <v>2.355165456214976</v>
      </c>
      <c r="AH43" s="75">
        <v>0.9637811048672672</v>
      </c>
      <c r="AI43" s="75">
        <v>0.80916212463532233</v>
      </c>
      <c r="AJ43" s="75">
        <f t="shared" si="12"/>
        <v>1.7729432295025895</v>
      </c>
      <c r="AL43" s="30">
        <f t="shared" si="13"/>
        <v>2.9883483560949609</v>
      </c>
      <c r="AM43" s="75">
        <v>12.753554522103531</v>
      </c>
      <c r="AN43" s="75">
        <v>-1.189686119892166</v>
      </c>
      <c r="AO43" s="75">
        <v>4.3667772486974572</v>
      </c>
      <c r="AP43" s="75">
        <f t="shared" si="14"/>
        <v>3.1770911288052912</v>
      </c>
      <c r="AQ43" s="88"/>
      <c r="AR43" s="30">
        <f t="shared" si="15"/>
        <v>3.0781400233887757</v>
      </c>
      <c r="AS43" s="75">
        <v>113.29773064891354</v>
      </c>
      <c r="AT43" s="75">
        <v>12.080986211229478</v>
      </c>
      <c r="AU43" s="75">
        <v>40.124023864878183</v>
      </c>
      <c r="AV43" s="75">
        <f t="shared" si="16"/>
        <v>52.205010076107662</v>
      </c>
      <c r="AW43" s="72">
        <f t="shared" si="17"/>
        <v>0</v>
      </c>
      <c r="AX43" s="30">
        <f t="shared" si="18"/>
        <v>2.6535599438878954</v>
      </c>
      <c r="AY43" s="11">
        <v>85.340941379457291</v>
      </c>
      <c r="AZ43" s="75">
        <v>21.654635101028848</v>
      </c>
      <c r="BA43" s="75">
        <v>25.550385149909442</v>
      </c>
      <c r="BB43" s="75">
        <f t="shared" si="19"/>
        <v>47.20502025093829</v>
      </c>
      <c r="BC43" s="75"/>
      <c r="BD43" s="30">
        <f t="shared" si="20"/>
        <v>2.5369749451499946</v>
      </c>
      <c r="BE43" s="75">
        <v>7.9924706336224665</v>
      </c>
      <c r="BF43" s="75">
        <v>4.6323396613046155</v>
      </c>
      <c r="BG43" s="75">
        <v>2.275534005888348</v>
      </c>
      <c r="BH43" s="75">
        <f t="shared" si="21"/>
        <v>6.9078736671929635</v>
      </c>
      <c r="BJ43" s="30">
        <f t="shared" si="22"/>
        <v>2.5624762152512082</v>
      </c>
      <c r="BK43" s="75">
        <v>27.005268580631853</v>
      </c>
      <c r="BL43" s="75">
        <v>10.223864247757708</v>
      </c>
      <c r="BM43" s="75">
        <v>7.7750437532035859</v>
      </c>
      <c r="BN43" s="75">
        <f t="shared" si="23"/>
        <v>17.998908000961293</v>
      </c>
      <c r="BO43" s="88"/>
      <c r="BP43" s="30">
        <f t="shared" si="24"/>
        <v>2.7204430066313234</v>
      </c>
      <c r="BQ43" s="75">
        <v>50.343202165202975</v>
      </c>
      <c r="BR43" s="75">
        <v>6.7984311919665235</v>
      </c>
      <c r="BS43" s="75">
        <v>15.499807390817509</v>
      </c>
      <c r="BT43" s="75">
        <f t="shared" si="25"/>
        <v>22.29823858278403</v>
      </c>
      <c r="BU43" s="72">
        <f t="shared" si="26"/>
        <v>0</v>
      </c>
      <c r="BV43" s="30">
        <f t="shared" si="27"/>
        <v>3.5825178625260357</v>
      </c>
      <c r="BW43" s="11">
        <v>28.783589754031564</v>
      </c>
      <c r="BX43" s="75">
        <v>9.0490542940407099</v>
      </c>
      <c r="BY43" s="75">
        <v>12.143380105807763</v>
      </c>
      <c r="BZ43" s="75">
        <f t="shared" si="28"/>
        <v>21.192434399848473</v>
      </c>
      <c r="CA43" s="75"/>
      <c r="CB43" s="30">
        <f t="shared" si="29"/>
        <v>3.2872271423685318</v>
      </c>
      <c r="CC43" s="75">
        <v>6.0845432642854735</v>
      </c>
      <c r="CD43" s="75">
        <v>4.4133646639922466</v>
      </c>
      <c r="CE43" s="75">
        <v>2.3234851029341566</v>
      </c>
      <c r="CF43" s="75">
        <f t="shared" si="30"/>
        <v>6.7368497669264027</v>
      </c>
      <c r="CH43" s="30">
        <f t="shared" si="31"/>
        <v>3.5081488727088939</v>
      </c>
      <c r="CI43" s="75">
        <v>13.730317697403695</v>
      </c>
      <c r="CJ43" s="75">
        <v>4.0524808534125691</v>
      </c>
      <c r="CK43" s="75">
        <v>5.6529058299467811</v>
      </c>
      <c r="CL43" s="75">
        <f t="shared" si="32"/>
        <v>9.7053866833593503</v>
      </c>
      <c r="CM43" s="88"/>
      <c r="CN43" s="30">
        <f t="shared" si="33"/>
        <v>3.8896522062592975</v>
      </c>
      <c r="CO43" s="75">
        <v>8.9687287923423913</v>
      </c>
      <c r="CP43" s="75">
        <v>0.58320877663589499</v>
      </c>
      <c r="CQ43" s="75">
        <v>4.1669891729268249</v>
      </c>
      <c r="CR43" s="75">
        <f t="shared" si="34"/>
        <v>4.75019794956272</v>
      </c>
      <c r="CS43" s="72">
        <f t="shared" si="35"/>
        <v>0</v>
      </c>
      <c r="CT43" s="30">
        <f t="shared" si="36"/>
        <v>2.9202085195014771</v>
      </c>
      <c r="CU43" s="11">
        <v>124.07514798463968</v>
      </c>
      <c r="CV43" s="75">
        <v>16.717797487471227</v>
      </c>
      <c r="CW43" s="75">
        <v>41.384225749760404</v>
      </c>
      <c r="CX43" s="75">
        <f t="shared" si="37"/>
        <v>58.102023237231634</v>
      </c>
      <c r="CY43" s="75"/>
      <c r="CZ43" s="30">
        <f t="shared" si="38"/>
        <v>2.8542214955234568</v>
      </c>
      <c r="DA43" s="75">
        <v>43.863946493605674</v>
      </c>
      <c r="DB43" s="75">
        <v>-3.7435350594220274</v>
      </c>
      <c r="DC43" s="75">
        <v>14.256496611421996</v>
      </c>
      <c r="DD43" s="75">
        <f t="shared" si="39"/>
        <v>10.512961551999968</v>
      </c>
      <c r="DF43" s="30">
        <f t="shared" si="40"/>
        <v>2.9076458934621296</v>
      </c>
      <c r="DG43" s="75">
        <v>55.575538086940398</v>
      </c>
      <c r="DH43" s="75">
        <v>16.43776504262593</v>
      </c>
      <c r="DI43" s="75">
        <v>18.446341829482595</v>
      </c>
      <c r="DJ43" s="75">
        <f t="shared" si="41"/>
        <v>34.884106872108525</v>
      </c>
      <c r="DK43" s="88"/>
      <c r="DL43" s="30">
        <f t="shared" si="42"/>
        <v>3.0647677202802814</v>
      </c>
      <c r="DM43" s="75">
        <v>24.635663404093616</v>
      </c>
      <c r="DN43" s="75">
        <v>4.0235675042673211</v>
      </c>
      <c r="DO43" s="75">
        <v>8.6813873088558129</v>
      </c>
      <c r="DP43" s="75">
        <f t="shared" si="43"/>
        <v>12.704954813123134</v>
      </c>
    </row>
    <row r="44" spans="1:120">
      <c r="A44" s="72">
        <f>name!B40</f>
        <v>0</v>
      </c>
      <c r="B44" s="30">
        <f t="shared" si="1"/>
        <v>2.8357475835989687</v>
      </c>
      <c r="C44" s="11">
        <v>393.35784380285861</v>
      </c>
      <c r="D44" s="75">
        <v>-15.846501627171115</v>
      </c>
      <c r="E44" s="75">
        <v>126.91230773625192</v>
      </c>
      <c r="F44" s="75">
        <f t="shared" si="2"/>
        <v>111.0658061090808</v>
      </c>
      <c r="G44" s="75"/>
      <c r="H44" s="30">
        <f t="shared" si="3"/>
        <v>2.7516949963118487</v>
      </c>
      <c r="I44" s="75">
        <v>59.61461044933764</v>
      </c>
      <c r="J44" s="75">
        <v>-20.900434984544614</v>
      </c>
      <c r="K44" s="75">
        <v>18.591854917813837</v>
      </c>
      <c r="L44" s="75">
        <f t="shared" si="4"/>
        <v>-2.3085800667307765</v>
      </c>
      <c r="N44" s="30">
        <f t="shared" si="5"/>
        <v>2.7239499243143506</v>
      </c>
      <c r="O44" s="75">
        <v>173.18501469973404</v>
      </c>
      <c r="P44" s="75">
        <v>-1.7972543490150141</v>
      </c>
      <c r="Q44" s="75">
        <v>53.398033728841654</v>
      </c>
      <c r="R44" s="75">
        <f t="shared" si="6"/>
        <v>51.600779379826641</v>
      </c>
      <c r="S44" s="88"/>
      <c r="T44" s="30">
        <f t="shared" si="7"/>
        <v>2.9858531510617459</v>
      </c>
      <c r="U44" s="75">
        <v>160.55821865378698</v>
      </c>
      <c r="V44" s="75">
        <v>6.8511877063885063</v>
      </c>
      <c r="W44" s="75">
        <v>54.922419089596445</v>
      </c>
      <c r="X44" s="75">
        <f t="shared" si="8"/>
        <v>61.773606795984954</v>
      </c>
      <c r="Y44" s="72">
        <f t="shared" si="0"/>
        <v>0</v>
      </c>
      <c r="Z44" s="30">
        <f t="shared" si="9"/>
        <v>2.9519471351278748</v>
      </c>
      <c r="AA44" s="11">
        <v>193.55143168230654</v>
      </c>
      <c r="AB44" s="75">
        <v>39.567328495072999</v>
      </c>
      <c r="AC44" s="75">
        <v>65.354521617917186</v>
      </c>
      <c r="AD44" s="75">
        <f t="shared" si="10"/>
        <v>104.92185011299019</v>
      </c>
      <c r="AE44" s="75"/>
      <c r="AF44" s="30">
        <f t="shared" si="11"/>
        <v>2.732765888214872</v>
      </c>
      <c r="AG44" s="75">
        <v>8.9496893108903919</v>
      </c>
      <c r="AH44" s="75">
        <v>-0.38086275940552278</v>
      </c>
      <c r="AI44" s="75">
        <v>2.7695053307141997</v>
      </c>
      <c r="AJ44" s="75">
        <f t="shared" si="12"/>
        <v>2.3886425713086767</v>
      </c>
      <c r="AL44" s="30">
        <f t="shared" si="13"/>
        <v>2.7942517550996859</v>
      </c>
      <c r="AM44" s="75">
        <v>63.890128782218703</v>
      </c>
      <c r="AN44" s="75">
        <v>26.216367345241078</v>
      </c>
      <c r="AO44" s="75">
        <v>20.273036384531288</v>
      </c>
      <c r="AP44" s="75">
        <f t="shared" si="14"/>
        <v>46.489403729772363</v>
      </c>
      <c r="AQ44" s="88"/>
      <c r="AR44" s="30">
        <f t="shared" si="15"/>
        <v>3.0505088630622845</v>
      </c>
      <c r="AS44" s="75">
        <v>120.71161358919746</v>
      </c>
      <c r="AT44" s="75">
        <v>13.731823909237447</v>
      </c>
      <c r="AU44" s="75">
        <v>42.311979902671695</v>
      </c>
      <c r="AV44" s="75">
        <f t="shared" si="16"/>
        <v>56.043803811909143</v>
      </c>
      <c r="AW44" s="72">
        <f t="shared" si="17"/>
        <v>0</v>
      </c>
      <c r="AX44" s="30">
        <f t="shared" si="18"/>
        <v>2.6545992493075765</v>
      </c>
      <c r="AY44" s="11">
        <v>136.55603857187839</v>
      </c>
      <c r="AZ44" s="75">
        <v>-43.002314866399423</v>
      </c>
      <c r="BA44" s="75">
        <v>40.901735073909045</v>
      </c>
      <c r="BB44" s="75">
        <f t="shared" si="19"/>
        <v>-2.1005797924903788</v>
      </c>
      <c r="BC44" s="75"/>
      <c r="BD44" s="30">
        <f t="shared" si="20"/>
        <v>2.5646880453044751</v>
      </c>
      <c r="BE44" s="75">
        <v>18.059085654406232</v>
      </c>
      <c r="BF44" s="75">
        <v>-9.0180538971045241</v>
      </c>
      <c r="BG44" s="75">
        <v>5.2043788432435791</v>
      </c>
      <c r="BH44" s="75">
        <f t="shared" si="21"/>
        <v>-3.813675053860945</v>
      </c>
      <c r="BJ44" s="30">
        <f t="shared" si="22"/>
        <v>2.6194787613104564</v>
      </c>
      <c r="BK44" s="75">
        <v>81.562939535953078</v>
      </c>
      <c r="BL44" s="75">
        <v>-26.535125434477635</v>
      </c>
      <c r="BM44" s="75">
        <v>24.06794423722156</v>
      </c>
      <c r="BN44" s="75">
        <f t="shared" si="23"/>
        <v>-2.4671811972560747</v>
      </c>
      <c r="BO44" s="88"/>
      <c r="BP44" s="30">
        <f t="shared" si="24"/>
        <v>2.775188253093952</v>
      </c>
      <c r="BQ44" s="75">
        <v>36.93401338151908</v>
      </c>
      <c r="BR44" s="75">
        <v>-7.4491355348172679</v>
      </c>
      <c r="BS44" s="75">
        <v>11.629411993443906</v>
      </c>
      <c r="BT44" s="75">
        <f t="shared" si="25"/>
        <v>4.1802764586266381</v>
      </c>
      <c r="BU44" s="72">
        <f t="shared" si="26"/>
        <v>0</v>
      </c>
      <c r="BV44" s="30">
        <f t="shared" si="27"/>
        <v>2.8583954213786456</v>
      </c>
      <c r="BW44" s="11">
        <v>20.489593186295824</v>
      </c>
      <c r="BX44" s="75">
        <v>-3.6169124626271385</v>
      </c>
      <c r="BY44" s="75">
        <v>6.6704706699605909</v>
      </c>
      <c r="BZ44" s="75">
        <f t="shared" si="28"/>
        <v>3.0535582073334524</v>
      </c>
      <c r="CA44" s="75"/>
      <c r="CB44" s="30">
        <f t="shared" si="29"/>
        <v>2.886706102007186</v>
      </c>
      <c r="CC44" s="75">
        <v>8.3246385618980643</v>
      </c>
      <c r="CD44" s="75">
        <v>-2.3561745304099531</v>
      </c>
      <c r="CE44" s="75">
        <v>2.7405296991725199</v>
      </c>
      <c r="CF44" s="75">
        <f t="shared" si="30"/>
        <v>0.38435516876256681</v>
      </c>
      <c r="CH44" s="30">
        <f t="shared" si="31"/>
        <v>2.8369795300950962</v>
      </c>
      <c r="CI44" s="75">
        <v>10.970091359887151</v>
      </c>
      <c r="CJ44" s="75">
        <v>-1.2157453343966669</v>
      </c>
      <c r="CK44" s="75">
        <v>3.541109966200767</v>
      </c>
      <c r="CL44" s="75">
        <f t="shared" si="32"/>
        <v>2.3253646318041001</v>
      </c>
      <c r="CM44" s="88"/>
      <c r="CN44" s="30">
        <f t="shared" si="33"/>
        <v>2.8573458698798015</v>
      </c>
      <c r="CO44" s="75">
        <v>1.1948632645106076</v>
      </c>
      <c r="CP44" s="75">
        <v>-4.4992597820518516E-2</v>
      </c>
      <c r="CQ44" s="75">
        <v>0.38883100458730496</v>
      </c>
      <c r="CR44" s="75">
        <f t="shared" si="34"/>
        <v>0.34383840676678645</v>
      </c>
      <c r="CS44" s="72">
        <f t="shared" si="35"/>
        <v>0</v>
      </c>
      <c r="CT44" s="30">
        <f t="shared" si="36"/>
        <v>2.8701182898648092</v>
      </c>
      <c r="CU44" s="11">
        <v>42.760780362377908</v>
      </c>
      <c r="CV44" s="75">
        <v>-8.7946027932175515</v>
      </c>
      <c r="CW44" s="75">
        <v>13.985580374465099</v>
      </c>
      <c r="CX44" s="75">
        <f t="shared" si="37"/>
        <v>5.190977581247548</v>
      </c>
      <c r="CY44" s="75"/>
      <c r="CZ44" s="30">
        <f t="shared" si="38"/>
        <v>2.8496351806148512</v>
      </c>
      <c r="DA44" s="75">
        <v>24.281196922142954</v>
      </c>
      <c r="DB44" s="75">
        <v>-9.1453437976246104</v>
      </c>
      <c r="DC44" s="75">
        <v>7.8774410446835388</v>
      </c>
      <c r="DD44" s="75">
        <f t="shared" si="39"/>
        <v>-1.2679027529410716</v>
      </c>
      <c r="DF44" s="30">
        <f t="shared" si="40"/>
        <v>2.8857004199172476</v>
      </c>
      <c r="DG44" s="75">
        <v>16.761855021675107</v>
      </c>
      <c r="DH44" s="75">
        <v>-0.26275092538178862</v>
      </c>
      <c r="DI44" s="75">
        <v>5.5159431408880319</v>
      </c>
      <c r="DJ44" s="75">
        <f t="shared" si="41"/>
        <v>5.2531922155062434</v>
      </c>
      <c r="DK44" s="88"/>
      <c r="DL44" s="30">
        <f t="shared" si="42"/>
        <v>3.0064287710700022</v>
      </c>
      <c r="DM44" s="75">
        <v>1.7177284185598474</v>
      </c>
      <c r="DN44" s="75">
        <v>0.61349192978884681</v>
      </c>
      <c r="DO44" s="75">
        <v>0.59219618889352987</v>
      </c>
      <c r="DP44" s="75">
        <f t="shared" si="43"/>
        <v>1.2056881186823767</v>
      </c>
    </row>
    <row r="45" spans="1:120">
      <c r="A45" s="72">
        <f>name!B41</f>
        <v>0</v>
      </c>
      <c r="B45" s="30">
        <f t="shared" si="1"/>
        <v>2.5589515569040877</v>
      </c>
      <c r="C45" s="11">
        <v>378.65361093918506</v>
      </c>
      <c r="D45" s="75">
        <v>36.796399092126755</v>
      </c>
      <c r="E45" s="75">
        <v>108.84998948408384</v>
      </c>
      <c r="F45" s="75">
        <f t="shared" si="2"/>
        <v>145.6463885762106</v>
      </c>
      <c r="G45" s="75"/>
      <c r="H45" s="30">
        <f t="shared" si="3"/>
        <v>2.6970336356285651</v>
      </c>
      <c r="I45" s="75">
        <v>21.232264083662649</v>
      </c>
      <c r="J45" s="75">
        <v>5.5608874318156268E-2</v>
      </c>
      <c r="K45" s="75">
        <v>6.4738297499487887</v>
      </c>
      <c r="L45" s="75">
        <f t="shared" si="4"/>
        <v>6.5294386242669447</v>
      </c>
      <c r="N45" s="30">
        <f t="shared" si="5"/>
        <v>2.6178307858164995</v>
      </c>
      <c r="O45" s="75">
        <v>54.055750144900642</v>
      </c>
      <c r="P45" s="75">
        <v>7.7932985015424325</v>
      </c>
      <c r="Q45" s="75">
        <v>15.939762430606391</v>
      </c>
      <c r="R45" s="75">
        <f t="shared" si="6"/>
        <v>23.733060932148824</v>
      </c>
      <c r="S45" s="88"/>
      <c r="T45" s="30">
        <f t="shared" si="7"/>
        <v>2.5386919147606823</v>
      </c>
      <c r="U45" s="75">
        <v>303.36559671062184</v>
      </c>
      <c r="V45" s="75">
        <v>28.947491716266153</v>
      </c>
      <c r="W45" s="75">
        <v>86.436397303528679</v>
      </c>
      <c r="X45" s="75">
        <f t="shared" si="8"/>
        <v>115.38388901979484</v>
      </c>
      <c r="Y45" s="72">
        <f t="shared" si="0"/>
        <v>0</v>
      </c>
      <c r="Z45" s="30">
        <f t="shared" si="9"/>
        <v>2.5199611178011505</v>
      </c>
      <c r="AA45" s="11">
        <v>312.18144659946984</v>
      </c>
      <c r="AB45" s="75">
        <v>28.895682554218279</v>
      </c>
      <c r="AC45" s="75">
        <v>88.21610831482117</v>
      </c>
      <c r="AD45" s="75">
        <f t="shared" si="10"/>
        <v>117.11179086903945</v>
      </c>
      <c r="AE45" s="75"/>
      <c r="AF45" s="30">
        <f t="shared" si="11"/>
        <v>2.4310222459994479</v>
      </c>
      <c r="AG45" s="75">
        <v>3.9811352808305944</v>
      </c>
      <c r="AH45" s="75">
        <v>4.5008812227039625</v>
      </c>
      <c r="AI45" s="75">
        <v>1.0808631323162383</v>
      </c>
      <c r="AJ45" s="75">
        <f t="shared" si="12"/>
        <v>5.5817443550202004</v>
      </c>
      <c r="AL45" s="30">
        <f t="shared" si="13"/>
        <v>2.4685169170641119</v>
      </c>
      <c r="AM45" s="75">
        <v>20.509890701227175</v>
      </c>
      <c r="AN45" s="75">
        <v>4.1191890490955583</v>
      </c>
      <c r="AO45" s="75">
        <v>5.6639738538481845</v>
      </c>
      <c r="AP45" s="75">
        <f t="shared" si="14"/>
        <v>9.7831629029437437</v>
      </c>
      <c r="AQ45" s="88"/>
      <c r="AR45" s="30">
        <f t="shared" si="15"/>
        <v>2.524845301627332</v>
      </c>
      <c r="AS45" s="75">
        <v>287.69042061741203</v>
      </c>
      <c r="AT45" s="75">
        <v>20.275612282418756</v>
      </c>
      <c r="AU45" s="75">
        <v>81.471271328656755</v>
      </c>
      <c r="AV45" s="75">
        <f t="shared" si="16"/>
        <v>101.7468836110755</v>
      </c>
      <c r="AW45" s="72">
        <f t="shared" si="17"/>
        <v>0</v>
      </c>
      <c r="AX45" s="30">
        <f t="shared" si="18"/>
        <v>2.6549442218402941</v>
      </c>
      <c r="AY45" s="11">
        <v>41.892929155094187</v>
      </c>
      <c r="AZ45" s="75">
        <v>9.2492751468853793</v>
      </c>
      <c r="BA45" s="75">
        <v>12.549743972538471</v>
      </c>
      <c r="BB45" s="75">
        <f t="shared" si="19"/>
        <v>21.79901911942385</v>
      </c>
      <c r="BC45" s="75"/>
      <c r="BD45" s="30">
        <f t="shared" si="20"/>
        <v>2.5532327548231981</v>
      </c>
      <c r="BE45" s="75">
        <v>6.2009149306433597</v>
      </c>
      <c r="BF45" s="75">
        <v>-0.93789945412547293</v>
      </c>
      <c r="BG45" s="75">
        <v>1.7781008484106056</v>
      </c>
      <c r="BH45" s="75">
        <f t="shared" si="21"/>
        <v>0.84020139428513263</v>
      </c>
      <c r="BJ45" s="30">
        <f t="shared" si="22"/>
        <v>2.603317774412961</v>
      </c>
      <c r="BK45" s="75">
        <v>21.307415275332314</v>
      </c>
      <c r="BL45" s="75">
        <v>2.2423318572234603</v>
      </c>
      <c r="BM45" s="75">
        <v>6.2440571353848382</v>
      </c>
      <c r="BN45" s="75">
        <f t="shared" si="23"/>
        <v>8.4863889926082976</v>
      </c>
      <c r="BO45" s="88"/>
      <c r="BP45" s="30">
        <f t="shared" si="24"/>
        <v>2.7742686070164835</v>
      </c>
      <c r="BQ45" s="75">
        <v>14.384598949118512</v>
      </c>
      <c r="BR45" s="75">
        <v>7.9448427437873912</v>
      </c>
      <c r="BS45" s="75">
        <v>4.5275859887430272</v>
      </c>
      <c r="BT45" s="75">
        <f t="shared" si="25"/>
        <v>12.472428732530418</v>
      </c>
      <c r="BU45" s="72">
        <f t="shared" si="26"/>
        <v>0</v>
      </c>
      <c r="BV45" s="30">
        <f t="shared" si="27"/>
        <v>2.6192743149682007</v>
      </c>
      <c r="BW45" s="11">
        <v>2.9857552680997586</v>
      </c>
      <c r="BX45" s="75">
        <v>0.29752966440157663</v>
      </c>
      <c r="BY45" s="75">
        <v>0.88097251477732141</v>
      </c>
      <c r="BZ45" s="75">
        <f t="shared" si="28"/>
        <v>1.1785021791788981</v>
      </c>
      <c r="CA45" s="75"/>
      <c r="CB45" s="30">
        <f t="shared" si="29"/>
        <v>2.6102783759339943</v>
      </c>
      <c r="CC45" s="75">
        <v>1.0704246420939711</v>
      </c>
      <c r="CD45" s="75">
        <v>-0.11337152429818138</v>
      </c>
      <c r="CE45" s="75">
        <v>0.31462314152439591</v>
      </c>
      <c r="CF45" s="75">
        <f t="shared" si="30"/>
        <v>0.20125161722621454</v>
      </c>
      <c r="CH45" s="30">
        <f t="shared" si="31"/>
        <v>2.6315936742941082</v>
      </c>
      <c r="CI45" s="75">
        <v>1.5955005485136557</v>
      </c>
      <c r="CJ45" s="75">
        <v>0.30848080422027463</v>
      </c>
      <c r="CK45" s="75">
        <v>0.47324789856842298</v>
      </c>
      <c r="CL45" s="75">
        <f t="shared" si="32"/>
        <v>0.78172870278869766</v>
      </c>
      <c r="CM45" s="88"/>
      <c r="CN45" s="30">
        <f t="shared" si="33"/>
        <v>2.5878378150158365</v>
      </c>
      <c r="CO45" s="75">
        <v>0.31983007749213199</v>
      </c>
      <c r="CP45" s="75">
        <v>0.10242038447948336</v>
      </c>
      <c r="CQ45" s="75">
        <v>9.3101474684502514E-2</v>
      </c>
      <c r="CR45" s="75">
        <f t="shared" si="34"/>
        <v>0.19552185916398587</v>
      </c>
      <c r="CS45" s="72">
        <f t="shared" si="35"/>
        <v>0</v>
      </c>
      <c r="CT45" s="30">
        <f t="shared" si="36"/>
        <v>2.9205088963651926</v>
      </c>
      <c r="CU45" s="11">
        <v>21.593479916521417</v>
      </c>
      <c r="CV45" s="75">
        <v>-1.6460882733784852</v>
      </c>
      <c r="CW45" s="75">
        <v>7.2031646819468875</v>
      </c>
      <c r="CX45" s="75">
        <f t="shared" si="37"/>
        <v>5.5570764085684026</v>
      </c>
      <c r="CY45" s="75"/>
      <c r="CZ45" s="30">
        <f t="shared" si="38"/>
        <v>2.8981993026460096</v>
      </c>
      <c r="DA45" s="75">
        <v>9.979789230094724</v>
      </c>
      <c r="DB45" s="75">
        <v>-3.3940013699621523</v>
      </c>
      <c r="DC45" s="75">
        <v>3.3002426276975489</v>
      </c>
      <c r="DD45" s="75">
        <f t="shared" si="39"/>
        <v>-9.3758742264603345E-2</v>
      </c>
      <c r="DF45" s="30">
        <f t="shared" si="40"/>
        <v>2.9264568687984216</v>
      </c>
      <c r="DG45" s="75">
        <v>10.642943619827502</v>
      </c>
      <c r="DH45" s="75">
        <v>1.1232967910031393</v>
      </c>
      <c r="DI45" s="75">
        <v>3.5584835428049475</v>
      </c>
      <c r="DJ45" s="75">
        <f t="shared" si="41"/>
        <v>4.6817803338080868</v>
      </c>
      <c r="DK45" s="88"/>
      <c r="DL45" s="30">
        <f t="shared" si="42"/>
        <v>3.0832482448727161</v>
      </c>
      <c r="DM45" s="75">
        <v>0.97074706659919119</v>
      </c>
      <c r="DN45" s="75">
        <v>0.62461630558052772</v>
      </c>
      <c r="DO45" s="75">
        <v>0.34443851144439169</v>
      </c>
      <c r="DP45" s="75">
        <f t="shared" si="43"/>
        <v>0.96905481702491936</v>
      </c>
    </row>
    <row r="46" spans="1:120">
      <c r="A46" s="72">
        <f>name!B42</f>
        <v>0</v>
      </c>
      <c r="B46" s="30">
        <f t="shared" si="1"/>
        <v>2.890259729191258</v>
      </c>
      <c r="C46" s="11">
        <v>596.16075467408132</v>
      </c>
      <c r="D46" s="75">
        <v>130.76412576439193</v>
      </c>
      <c r="E46" s="75">
        <v>196.53406172763593</v>
      </c>
      <c r="F46" s="75">
        <f t="shared" si="2"/>
        <v>327.29818749202786</v>
      </c>
      <c r="G46" s="75"/>
      <c r="H46" s="30">
        <f t="shared" si="3"/>
        <v>2.6788795437322488</v>
      </c>
      <c r="I46" s="75">
        <v>75.585819538445264</v>
      </c>
      <c r="J46" s="75">
        <v>4.2136979795279563</v>
      </c>
      <c r="K46" s="75">
        <v>22.872299636804904</v>
      </c>
      <c r="L46" s="75">
        <f t="shared" si="4"/>
        <v>27.085997616332861</v>
      </c>
      <c r="N46" s="30">
        <f t="shared" si="5"/>
        <v>2.706098654684097</v>
      </c>
      <c r="O46" s="75">
        <v>212.25679919065291</v>
      </c>
      <c r="P46" s="75">
        <v>64.236584035540048</v>
      </c>
      <c r="Q46" s="75">
        <v>64.962803722137807</v>
      </c>
      <c r="R46" s="75">
        <f t="shared" si="6"/>
        <v>129.19938775767787</v>
      </c>
      <c r="S46" s="88"/>
      <c r="T46" s="30">
        <f t="shared" si="7"/>
        <v>3.0660135882804918</v>
      </c>
      <c r="U46" s="75">
        <v>308.31813594498311</v>
      </c>
      <c r="V46" s="75">
        <v>62.313843749323915</v>
      </c>
      <c r="W46" s="75">
        <v>108.69895836869323</v>
      </c>
      <c r="X46" s="75">
        <f t="shared" si="8"/>
        <v>171.01280211801713</v>
      </c>
      <c r="Y46" s="72">
        <f t="shared" si="0"/>
        <v>0</v>
      </c>
      <c r="Z46" s="30">
        <f t="shared" si="9"/>
        <v>3.0502708921622101</v>
      </c>
      <c r="AA46" s="11">
        <v>335.93921919202376</v>
      </c>
      <c r="AB46" s="75">
        <v>65.992763386883993</v>
      </c>
      <c r="AC46" s="75">
        <v>117.74334207940043</v>
      </c>
      <c r="AD46" s="75">
        <f t="shared" si="10"/>
        <v>183.73610546628441</v>
      </c>
      <c r="AE46" s="75"/>
      <c r="AF46" s="30">
        <f t="shared" si="11"/>
        <v>2.772118894951725</v>
      </c>
      <c r="AG46" s="75">
        <v>6.0163041652184992</v>
      </c>
      <c r="AH46" s="75">
        <v>1.3292953942067818</v>
      </c>
      <c r="AI46" s="75">
        <v>1.8919913793244785</v>
      </c>
      <c r="AJ46" s="75">
        <f t="shared" si="12"/>
        <v>3.2212867735312605</v>
      </c>
      <c r="AL46" s="30">
        <f t="shared" si="13"/>
        <v>2.8305616396997912</v>
      </c>
      <c r="AM46" s="75">
        <v>54.066211981632996</v>
      </c>
      <c r="AN46" s="75">
        <v>15.192793130377611</v>
      </c>
      <c r="AO46" s="75">
        <v>17.40777706255945</v>
      </c>
      <c r="AP46" s="75">
        <f t="shared" si="14"/>
        <v>32.600570192937063</v>
      </c>
      <c r="AQ46" s="88"/>
      <c r="AR46" s="30">
        <f t="shared" si="15"/>
        <v>3.0988119312854945</v>
      </c>
      <c r="AS46" s="75">
        <v>275.85670304517225</v>
      </c>
      <c r="AT46" s="75">
        <v>49.470674862299603</v>
      </c>
      <c r="AU46" s="75">
        <v>98.443573637516494</v>
      </c>
      <c r="AV46" s="75">
        <f t="shared" si="16"/>
        <v>147.9142484998161</v>
      </c>
      <c r="AW46" s="72">
        <f t="shared" si="17"/>
        <v>0</v>
      </c>
      <c r="AX46" s="30">
        <f t="shared" si="18"/>
        <v>2.6039196652279051</v>
      </c>
      <c r="AY46" s="11">
        <v>159.03458473919616</v>
      </c>
      <c r="AZ46" s="75">
        <v>40.296222391531657</v>
      </c>
      <c r="BA46" s="75">
        <v>46.616544654725452</v>
      </c>
      <c r="BB46" s="75">
        <f t="shared" si="19"/>
        <v>86.912767046257102</v>
      </c>
      <c r="BC46" s="75"/>
      <c r="BD46" s="30">
        <f t="shared" si="20"/>
        <v>2.5452433226490934</v>
      </c>
      <c r="BE46" s="75">
        <v>21.770784421414771</v>
      </c>
      <c r="BF46" s="75">
        <v>-0.58525794672168419</v>
      </c>
      <c r="BG46" s="75">
        <v>6.2209156872515399</v>
      </c>
      <c r="BH46" s="75">
        <f t="shared" si="21"/>
        <v>5.6356577405298554</v>
      </c>
      <c r="BJ46" s="30">
        <f t="shared" si="22"/>
        <v>2.5795517536157053</v>
      </c>
      <c r="BK46" s="75">
        <v>109.52927387637574</v>
      </c>
      <c r="BL46" s="75">
        <v>30.843442039124554</v>
      </c>
      <c r="BM46" s="75">
        <v>31.769430063648457</v>
      </c>
      <c r="BN46" s="75">
        <f t="shared" si="23"/>
        <v>62.612872102773011</v>
      </c>
      <c r="BO46" s="88"/>
      <c r="BP46" s="30">
        <f t="shared" si="24"/>
        <v>2.7451139967111571</v>
      </c>
      <c r="BQ46" s="75">
        <v>27.734526441405688</v>
      </c>
      <c r="BR46" s="75">
        <v>10.038038299128784</v>
      </c>
      <c r="BS46" s="75">
        <v>8.6261989038254558</v>
      </c>
      <c r="BT46" s="75">
        <f t="shared" si="25"/>
        <v>18.66423720295424</v>
      </c>
      <c r="BU46" s="72">
        <f t="shared" si="26"/>
        <v>0</v>
      </c>
      <c r="BV46" s="30">
        <f t="shared" si="27"/>
        <v>2.4641512026180035</v>
      </c>
      <c r="BW46" s="11">
        <v>12.81458334002725</v>
      </c>
      <c r="BX46" s="75">
        <v>4.3895704257866655</v>
      </c>
      <c r="BY46" s="75">
        <v>3.5318857518426356</v>
      </c>
      <c r="BZ46" s="75">
        <f t="shared" si="28"/>
        <v>7.9214561776293007</v>
      </c>
      <c r="CA46" s="75"/>
      <c r="CB46" s="30">
        <f t="shared" si="29"/>
        <v>2.3360812858931101</v>
      </c>
      <c r="CC46" s="75">
        <v>6.0632147564116732</v>
      </c>
      <c r="CD46" s="75">
        <v>2.5684165487773454</v>
      </c>
      <c r="CE46" s="75">
        <v>1.5749808838887966</v>
      </c>
      <c r="CF46" s="75">
        <f t="shared" si="30"/>
        <v>4.1433974326661422</v>
      </c>
      <c r="CH46" s="30">
        <f t="shared" si="31"/>
        <v>2.5656844346393592</v>
      </c>
      <c r="CI46" s="75">
        <v>5.7160556182605653</v>
      </c>
      <c r="CJ46" s="75">
        <v>1.556033629424588</v>
      </c>
      <c r="CK46" s="75">
        <v>1.6480035734914502</v>
      </c>
      <c r="CL46" s="75">
        <f t="shared" si="32"/>
        <v>3.2040372029160382</v>
      </c>
      <c r="CM46" s="88"/>
      <c r="CN46" s="30">
        <f t="shared" si="33"/>
        <v>2.645445634877297</v>
      </c>
      <c r="CO46" s="75">
        <v>1.0353129653550115</v>
      </c>
      <c r="CP46" s="75">
        <v>0.26512024758473196</v>
      </c>
      <c r="CQ46" s="75">
        <v>0.30890129446238906</v>
      </c>
      <c r="CR46" s="75">
        <f t="shared" si="34"/>
        <v>0.57402154204712108</v>
      </c>
      <c r="CS46" s="72">
        <f t="shared" si="35"/>
        <v>0</v>
      </c>
      <c r="CT46" s="30">
        <f t="shared" si="36"/>
        <v>2.8471774384655868</v>
      </c>
      <c r="CU46" s="11">
        <v>88.372367402834058</v>
      </c>
      <c r="CV46" s="75">
        <v>20.085569560189615</v>
      </c>
      <c r="CW46" s="75">
        <v>28.642289241667434</v>
      </c>
      <c r="CX46" s="75">
        <f t="shared" si="37"/>
        <v>48.727858801857053</v>
      </c>
      <c r="CY46" s="75"/>
      <c r="CZ46" s="30">
        <f t="shared" si="38"/>
        <v>2.7832667945406842</v>
      </c>
      <c r="DA46" s="75">
        <v>41.735516195400322</v>
      </c>
      <c r="DB46" s="75">
        <v>0.90124398326551358</v>
      </c>
      <c r="DC46" s="75">
        <v>13.184411686340088</v>
      </c>
      <c r="DD46" s="75">
        <f t="shared" si="39"/>
        <v>14.085655669605602</v>
      </c>
      <c r="DF46" s="30">
        <f t="shared" si="40"/>
        <v>2.8866540918025541</v>
      </c>
      <c r="DG46" s="75">
        <v>42.945257714383601</v>
      </c>
      <c r="DH46" s="75">
        <v>16.644315236613298</v>
      </c>
      <c r="DI46" s="75">
        <v>14.137593022438447</v>
      </c>
      <c r="DJ46" s="75">
        <f t="shared" si="41"/>
        <v>30.781908259051747</v>
      </c>
      <c r="DK46" s="88"/>
      <c r="DL46" s="30">
        <f t="shared" si="42"/>
        <v>3.1047472891351457</v>
      </c>
      <c r="DM46" s="75">
        <v>3.6915934930501404</v>
      </c>
      <c r="DN46" s="75">
        <v>2.5400103403108023</v>
      </c>
      <c r="DO46" s="75">
        <v>1.320284532888897</v>
      </c>
      <c r="DP46" s="75">
        <f t="shared" si="43"/>
        <v>3.8602948731996993</v>
      </c>
    </row>
    <row r="47" spans="1:120">
      <c r="A47" s="72">
        <f>name!B43</f>
        <v>0</v>
      </c>
      <c r="B47" s="30">
        <f t="shared" si="1"/>
        <v>2.865344899385458</v>
      </c>
      <c r="C47" s="11">
        <v>40.376210097149027</v>
      </c>
      <c r="D47" s="75">
        <v>12.806927196821107</v>
      </c>
      <c r="E47" s="75">
        <v>13.180811533634204</v>
      </c>
      <c r="F47" s="75">
        <f t="shared" si="2"/>
        <v>25.987738730455312</v>
      </c>
      <c r="G47" s="75"/>
      <c r="H47" s="30">
        <f t="shared" si="3"/>
        <v>2.7751718770929079</v>
      </c>
      <c r="I47" s="75">
        <v>9.3187758939343261</v>
      </c>
      <c r="J47" s="75">
        <v>1.4740755938305261</v>
      </c>
      <c r="K47" s="75">
        <v>2.934183240230555</v>
      </c>
      <c r="L47" s="75">
        <f t="shared" si="4"/>
        <v>4.4082588340610815</v>
      </c>
      <c r="N47" s="30">
        <f t="shared" si="5"/>
        <v>2.8011029016640654</v>
      </c>
      <c r="O47" s="75">
        <v>15.51970188832003</v>
      </c>
      <c r="P47" s="75">
        <v>4.6916947620293463</v>
      </c>
      <c r="Q47" s="75">
        <v>4.9382011045192602</v>
      </c>
      <c r="R47" s="75">
        <f t="shared" si="6"/>
        <v>9.6298958665486065</v>
      </c>
      <c r="S47" s="88"/>
      <c r="T47" s="30">
        <f t="shared" si="7"/>
        <v>2.9825975993459597</v>
      </c>
      <c r="U47" s="75">
        <v>15.537732314894669</v>
      </c>
      <c r="V47" s="75">
        <v>6.6411568409612336</v>
      </c>
      <c r="W47" s="75">
        <v>5.3084271888843881</v>
      </c>
      <c r="X47" s="75">
        <f t="shared" si="8"/>
        <v>11.949584029845621</v>
      </c>
      <c r="Y47" s="72">
        <f t="shared" si="0"/>
        <v>0</v>
      </c>
      <c r="Z47" s="30">
        <f t="shared" si="9"/>
        <v>3.0248158548996429</v>
      </c>
      <c r="AA47" s="11">
        <v>21.444049548280258</v>
      </c>
      <c r="AB47" s="75">
        <v>6.4637391240695505</v>
      </c>
      <c r="AC47" s="75">
        <v>7.4444690278107304</v>
      </c>
      <c r="AD47" s="75">
        <f t="shared" si="10"/>
        <v>13.908208151880281</v>
      </c>
      <c r="AE47" s="75"/>
      <c r="AF47" s="30">
        <f t="shared" si="11"/>
        <v>3.0872958603731293</v>
      </c>
      <c r="AG47" s="75">
        <v>2.7651222683057175</v>
      </c>
      <c r="AH47" s="75">
        <v>0.53339249467469196</v>
      </c>
      <c r="AI47" s="75">
        <v>0.98258633136794948</v>
      </c>
      <c r="AJ47" s="75">
        <f t="shared" si="12"/>
        <v>1.5159788260426414</v>
      </c>
      <c r="AL47" s="30">
        <f t="shared" si="13"/>
        <v>2.9781314195511888</v>
      </c>
      <c r="AM47" s="75">
        <v>6.7043000761876437</v>
      </c>
      <c r="AN47" s="75">
        <v>0.72118551121563768</v>
      </c>
      <c r="AO47" s="75">
        <v>2.286607135241129</v>
      </c>
      <c r="AP47" s="75">
        <f t="shared" si="14"/>
        <v>3.0077926464567666</v>
      </c>
      <c r="AQ47" s="88"/>
      <c r="AR47" s="30">
        <f t="shared" si="15"/>
        <v>3.0364271872712179</v>
      </c>
      <c r="AS47" s="75">
        <v>11.974627203786897</v>
      </c>
      <c r="AT47" s="75">
        <v>5.209161118179221</v>
      </c>
      <c r="AU47" s="75">
        <v>4.1752755612016514</v>
      </c>
      <c r="AV47" s="75">
        <f t="shared" si="16"/>
        <v>9.3844366793808724</v>
      </c>
      <c r="AW47" s="72">
        <f t="shared" si="17"/>
        <v>0</v>
      </c>
      <c r="AX47" s="30">
        <f t="shared" si="18"/>
        <v>2.6056938584245515</v>
      </c>
      <c r="AY47" s="11">
        <v>11.013605155901349</v>
      </c>
      <c r="AZ47" s="75">
        <v>1.0299128541872438</v>
      </c>
      <c r="BA47" s="75">
        <v>3.2307934614555975</v>
      </c>
      <c r="BB47" s="75">
        <f t="shared" si="19"/>
        <v>4.2607063156428415</v>
      </c>
      <c r="BC47" s="75"/>
      <c r="BD47" s="30">
        <f t="shared" si="20"/>
        <v>2.5171144014275004</v>
      </c>
      <c r="BE47" s="75">
        <v>2.5657167308459536</v>
      </c>
      <c r="BF47" s="75">
        <v>-2.0249829680665472E-2</v>
      </c>
      <c r="BG47" s="75">
        <v>0.72410556877585575</v>
      </c>
      <c r="BH47" s="75">
        <f t="shared" si="21"/>
        <v>0.70385573909519028</v>
      </c>
      <c r="BJ47" s="30">
        <f t="shared" si="22"/>
        <v>2.564691401725705</v>
      </c>
      <c r="BK47" s="75">
        <v>5.4392446032435906</v>
      </c>
      <c r="BL47" s="75">
        <v>0.51504624411421973</v>
      </c>
      <c r="BM47" s="75">
        <v>1.5675173974350798</v>
      </c>
      <c r="BN47" s="75">
        <f t="shared" si="23"/>
        <v>2.0825636415492994</v>
      </c>
      <c r="BO47" s="88"/>
      <c r="BP47" s="30">
        <f t="shared" si="24"/>
        <v>2.7539661724697684</v>
      </c>
      <c r="BQ47" s="75">
        <v>3.0086438218118041</v>
      </c>
      <c r="BR47" s="75">
        <v>0.53511643975368939</v>
      </c>
      <c r="BS47" s="75">
        <v>0.93917049524466201</v>
      </c>
      <c r="BT47" s="75">
        <f t="shared" si="25"/>
        <v>1.4742869349983514</v>
      </c>
      <c r="BU47" s="72">
        <f t="shared" si="26"/>
        <v>0</v>
      </c>
      <c r="BV47" s="30">
        <f t="shared" si="27"/>
        <v>2.7769349895925721</v>
      </c>
      <c r="BW47" s="11">
        <v>2.8680773838859954</v>
      </c>
      <c r="BX47" s="75">
        <v>1.8124842888357913</v>
      </c>
      <c r="BY47" s="75">
        <v>0.90371244599220335</v>
      </c>
      <c r="BZ47" s="75">
        <f t="shared" si="28"/>
        <v>2.7161967348279945</v>
      </c>
      <c r="CA47" s="75"/>
      <c r="CB47" s="30">
        <f t="shared" si="29"/>
        <v>2.6526063565382341</v>
      </c>
      <c r="CC47" s="75">
        <v>1.133194068533085</v>
      </c>
      <c r="CD47" s="75">
        <v>0.1263303128615518</v>
      </c>
      <c r="CE47" s="75">
        <v>0.33913232926021469</v>
      </c>
      <c r="CF47" s="75">
        <f t="shared" si="30"/>
        <v>0.46546264212176647</v>
      </c>
      <c r="CH47" s="30">
        <f t="shared" si="31"/>
        <v>2.7982733108218305</v>
      </c>
      <c r="CI47" s="75">
        <v>1.5036570788687731</v>
      </c>
      <c r="CJ47" s="75">
        <v>1.358746094911804</v>
      </c>
      <c r="CK47" s="75">
        <v>0.47790189710881065</v>
      </c>
      <c r="CL47" s="75">
        <f t="shared" si="32"/>
        <v>1.8366479920206147</v>
      </c>
      <c r="CM47" s="88"/>
      <c r="CN47" s="30">
        <f t="shared" si="33"/>
        <v>3.2347595318199085</v>
      </c>
      <c r="CO47" s="75">
        <v>0.23122623648413734</v>
      </c>
      <c r="CP47" s="75">
        <v>0.32740788106243529</v>
      </c>
      <c r="CQ47" s="75">
        <v>8.6678219623177913E-2</v>
      </c>
      <c r="CR47" s="75">
        <f t="shared" si="34"/>
        <v>0.41408610068561319</v>
      </c>
      <c r="CS47" s="72">
        <f t="shared" si="35"/>
        <v>0</v>
      </c>
      <c r="CT47" s="30">
        <f t="shared" si="36"/>
        <v>2.7931156217943398</v>
      </c>
      <c r="CU47" s="11">
        <v>5.0504780090814236</v>
      </c>
      <c r="CV47" s="75">
        <v>3.5007909297285211</v>
      </c>
      <c r="CW47" s="75">
        <v>1.6018365983756719</v>
      </c>
      <c r="CX47" s="75">
        <f t="shared" si="37"/>
        <v>5.1026275281041933</v>
      </c>
      <c r="CY47" s="75"/>
      <c r="CZ47" s="30">
        <f t="shared" si="38"/>
        <v>2.74636478298389</v>
      </c>
      <c r="DA47" s="75">
        <v>2.8547428262495687</v>
      </c>
      <c r="DB47" s="75">
        <v>0.83460261597494789</v>
      </c>
      <c r="DC47" s="75">
        <v>0.88835901082653501</v>
      </c>
      <c r="DD47" s="75">
        <f t="shared" si="39"/>
        <v>1.7229616268014829</v>
      </c>
      <c r="DF47" s="30">
        <f t="shared" si="40"/>
        <v>2.8441917872239486</v>
      </c>
      <c r="DG47" s="75">
        <v>1.8725001300200237</v>
      </c>
      <c r="DH47" s="75">
        <v>2.0967169117876856</v>
      </c>
      <c r="DI47" s="75">
        <v>0.60617467473424025</v>
      </c>
      <c r="DJ47" s="75">
        <f t="shared" si="41"/>
        <v>2.7028915865219258</v>
      </c>
      <c r="DK47" s="88"/>
      <c r="DL47" s="30">
        <f t="shared" si="42"/>
        <v>2.9080384999745856</v>
      </c>
      <c r="DM47" s="75">
        <v>0.32323505281183162</v>
      </c>
      <c r="DN47" s="75">
        <v>0.5694714019658873</v>
      </c>
      <c r="DO47" s="75">
        <v>0.10730291281489671</v>
      </c>
      <c r="DP47" s="75">
        <f t="shared" si="43"/>
        <v>0.67677431478078398</v>
      </c>
    </row>
    <row r="48" spans="1:120">
      <c r="A48" s="72">
        <f>name!B44</f>
        <v>0</v>
      </c>
      <c r="B48" s="30">
        <f t="shared" si="1"/>
        <v>2.8169915417421754</v>
      </c>
      <c r="C48" s="11">
        <v>158.75130574877755</v>
      </c>
      <c r="D48" s="75">
        <v>31.053175488358242</v>
      </c>
      <c r="E48" s="75">
        <v>50.836604439456309</v>
      </c>
      <c r="F48" s="75">
        <f t="shared" si="2"/>
        <v>81.889779927814544</v>
      </c>
      <c r="G48" s="75"/>
      <c r="H48" s="30">
        <f t="shared" si="3"/>
        <v>2.7131406842493488</v>
      </c>
      <c r="I48" s="75">
        <v>37.269430586923946</v>
      </c>
      <c r="J48" s="75">
        <v>2.0080357660646397</v>
      </c>
      <c r="K48" s="75">
        <v>11.439976930786587</v>
      </c>
      <c r="L48" s="75">
        <f t="shared" si="4"/>
        <v>13.448012696851226</v>
      </c>
      <c r="N48" s="30">
        <f t="shared" si="5"/>
        <v>2.6835187325179533</v>
      </c>
      <c r="O48" s="75">
        <v>64.168727676686729</v>
      </c>
      <c r="P48" s="75">
        <v>9.648746828409589</v>
      </c>
      <c r="Q48" s="75">
        <v>19.45525621806194</v>
      </c>
      <c r="R48" s="75">
        <f t="shared" si="6"/>
        <v>29.104003046471529</v>
      </c>
      <c r="S48" s="88"/>
      <c r="T48" s="30">
        <f t="shared" si="7"/>
        <v>3.0307741956072665</v>
      </c>
      <c r="U48" s="75">
        <v>57.313147485166859</v>
      </c>
      <c r="V48" s="75">
        <v>19.396392893884016</v>
      </c>
      <c r="W48" s="75">
        <v>19.941371290607766</v>
      </c>
      <c r="X48" s="75">
        <f t="shared" si="8"/>
        <v>39.337764184491782</v>
      </c>
      <c r="Y48" s="72">
        <f t="shared" si="0"/>
        <v>0</v>
      </c>
      <c r="Z48" s="30">
        <f t="shared" si="9"/>
        <v>3.0844034831169376</v>
      </c>
      <c r="AA48" s="11">
        <v>54.043501876163091</v>
      </c>
      <c r="AB48" s="75">
        <v>16.838248878570081</v>
      </c>
      <c r="AC48" s="75">
        <v>19.18381203425853</v>
      </c>
      <c r="AD48" s="75">
        <f t="shared" si="10"/>
        <v>36.022060912828607</v>
      </c>
      <c r="AE48" s="75"/>
      <c r="AF48" s="30">
        <f t="shared" si="11"/>
        <v>3.0687126992563263</v>
      </c>
      <c r="AG48" s="75">
        <v>2.872339077635929</v>
      </c>
      <c r="AH48" s="75">
        <v>0.88105911598627318</v>
      </c>
      <c r="AI48" s="75">
        <v>1.0136737094918047</v>
      </c>
      <c r="AJ48" s="75">
        <f t="shared" si="12"/>
        <v>1.8947328254780778</v>
      </c>
      <c r="AL48" s="30">
        <f t="shared" si="13"/>
        <v>2.9854531104971826</v>
      </c>
      <c r="AM48" s="75">
        <v>8.4616752757594771</v>
      </c>
      <c r="AN48" s="75">
        <v>0.5129240985808613</v>
      </c>
      <c r="AO48" s="75">
        <v>2.8940583365838495</v>
      </c>
      <c r="AP48" s="75">
        <f t="shared" si="14"/>
        <v>3.4069824351647107</v>
      </c>
      <c r="AQ48" s="88"/>
      <c r="AR48" s="30">
        <f t="shared" si="15"/>
        <v>3.1049593059016889</v>
      </c>
      <c r="AS48" s="75">
        <v>42.709487522767688</v>
      </c>
      <c r="AT48" s="75">
        <v>15.444265664002945</v>
      </c>
      <c r="AU48" s="75">
        <v>15.276079988182877</v>
      </c>
      <c r="AV48" s="75">
        <f t="shared" si="16"/>
        <v>30.72034565218582</v>
      </c>
      <c r="AW48" s="72">
        <f t="shared" si="17"/>
        <v>0</v>
      </c>
      <c r="AX48" s="30">
        <f t="shared" si="18"/>
        <v>2.6049805214462873</v>
      </c>
      <c r="AY48" s="11">
        <v>67.279720597550053</v>
      </c>
      <c r="AZ48" s="75">
        <v>-1.7061260839949342</v>
      </c>
      <c r="BA48" s="75">
        <v>19.73016584504331</v>
      </c>
      <c r="BB48" s="75">
        <f t="shared" si="19"/>
        <v>18.024039761048375</v>
      </c>
      <c r="BC48" s="75"/>
      <c r="BD48" s="30">
        <f t="shared" si="20"/>
        <v>2.5409532368865007</v>
      </c>
      <c r="BE48" s="75">
        <v>14.926976334729311</v>
      </c>
      <c r="BF48" s="75">
        <v>-1.3830273865244627</v>
      </c>
      <c r="BG48" s="75">
        <v>4.2572967639145958</v>
      </c>
      <c r="BH48" s="75">
        <f t="shared" si="21"/>
        <v>2.8742693773901333</v>
      </c>
      <c r="BJ48" s="30">
        <f t="shared" si="22"/>
        <v>2.5796718808031471</v>
      </c>
      <c r="BK48" s="75">
        <v>40.385319730226364</v>
      </c>
      <c r="BL48" s="75">
        <v>-0.75084702548436888</v>
      </c>
      <c r="BM48" s="75">
        <v>11.714543255967428</v>
      </c>
      <c r="BN48" s="75">
        <f t="shared" si="23"/>
        <v>10.963696230483059</v>
      </c>
      <c r="BO48" s="88"/>
      <c r="BP48" s="30">
        <f t="shared" si="24"/>
        <v>2.7687485385664345</v>
      </c>
      <c r="BQ48" s="75">
        <v>11.967424532594377</v>
      </c>
      <c r="BR48" s="75">
        <v>0.42774832801389723</v>
      </c>
      <c r="BS48" s="75">
        <v>3.7583258251612852</v>
      </c>
      <c r="BT48" s="75">
        <f t="shared" si="25"/>
        <v>4.1860741531751824</v>
      </c>
      <c r="BU48" s="72">
        <f t="shared" si="26"/>
        <v>0</v>
      </c>
      <c r="BV48" s="30">
        <f t="shared" si="27"/>
        <v>2.518201489640326</v>
      </c>
      <c r="BW48" s="11">
        <v>11.027664527945932</v>
      </c>
      <c r="BX48" s="75">
        <v>1.3879359269084375</v>
      </c>
      <c r="BY48" s="75">
        <v>3.1137656010156576</v>
      </c>
      <c r="BZ48" s="75">
        <f t="shared" si="28"/>
        <v>4.5017015279240953</v>
      </c>
      <c r="CA48" s="75"/>
      <c r="CB48" s="30">
        <f t="shared" si="29"/>
        <v>2.4600010102901804</v>
      </c>
      <c r="CC48" s="75">
        <v>4.6043551889988352</v>
      </c>
      <c r="CD48" s="75">
        <v>-9.4762721156135488E-2</v>
      </c>
      <c r="CE48" s="75">
        <v>1.2666488182504458</v>
      </c>
      <c r="CF48" s="75">
        <f t="shared" si="30"/>
        <v>1.1718860970943104</v>
      </c>
      <c r="CH48" s="30">
        <f t="shared" si="31"/>
        <v>2.5135092689739569</v>
      </c>
      <c r="CI48" s="75">
        <v>5.3897928205850842</v>
      </c>
      <c r="CJ48" s="75">
        <v>0.93986804735963958</v>
      </c>
      <c r="CK48" s="75">
        <v>1.5186963016257615</v>
      </c>
      <c r="CL48" s="75">
        <f t="shared" si="32"/>
        <v>2.458564348985401</v>
      </c>
      <c r="CM48" s="88"/>
      <c r="CN48" s="30">
        <f t="shared" si="33"/>
        <v>2.7978329732376128</v>
      </c>
      <c r="CO48" s="75">
        <v>1.0335165183620134</v>
      </c>
      <c r="CP48" s="75">
        <v>0.5428306007049335</v>
      </c>
      <c r="CQ48" s="75">
        <v>0.32842048113944977</v>
      </c>
      <c r="CR48" s="75">
        <f t="shared" si="34"/>
        <v>0.87125108184438327</v>
      </c>
      <c r="CS48" s="72">
        <f t="shared" si="35"/>
        <v>0</v>
      </c>
      <c r="CT48" s="30">
        <f t="shared" si="36"/>
        <v>2.9211505487475975</v>
      </c>
      <c r="CU48" s="11">
        <v>26.400418747118454</v>
      </c>
      <c r="CV48" s="75">
        <v>14.533116766874658</v>
      </c>
      <c r="CW48" s="75">
        <v>8.8088609591388032</v>
      </c>
      <c r="CX48" s="75">
        <f t="shared" si="37"/>
        <v>23.341977726013461</v>
      </c>
      <c r="CY48" s="75"/>
      <c r="CZ48" s="30">
        <f t="shared" si="38"/>
        <v>2.8911023071172881</v>
      </c>
      <c r="DA48" s="75">
        <v>14.865759985559873</v>
      </c>
      <c r="DB48" s="75">
        <v>2.6047667577589646</v>
      </c>
      <c r="DC48" s="75">
        <v>4.9023576391297414</v>
      </c>
      <c r="DD48" s="75">
        <f t="shared" si="39"/>
        <v>7.507124396888706</v>
      </c>
      <c r="DF48" s="30">
        <f t="shared" si="40"/>
        <v>2.9320472834624356</v>
      </c>
      <c r="DG48" s="75">
        <v>9.9319398501158016</v>
      </c>
      <c r="DH48" s="75">
        <v>8.9468017079534565</v>
      </c>
      <c r="DI48" s="75">
        <v>3.3279583238849022</v>
      </c>
      <c r="DJ48" s="75">
        <f t="shared" si="41"/>
        <v>12.274760031838358</v>
      </c>
      <c r="DK48" s="88"/>
      <c r="DL48" s="30">
        <f t="shared" si="42"/>
        <v>3.1300160142738953</v>
      </c>
      <c r="DM48" s="75">
        <v>1.6027189114427818</v>
      </c>
      <c r="DN48" s="75">
        <v>2.981548301162237</v>
      </c>
      <c r="DO48" s="75">
        <v>0.57854499612415899</v>
      </c>
      <c r="DP48" s="75">
        <f t="shared" si="43"/>
        <v>3.5600932972863961</v>
      </c>
    </row>
    <row r="49" spans="1:120">
      <c r="B49" s="30"/>
      <c r="C49" s="75"/>
      <c r="D49" s="75"/>
      <c r="E49" s="75"/>
      <c r="F49" s="75"/>
      <c r="G49" s="75"/>
      <c r="H49" s="30"/>
      <c r="I49" s="75"/>
      <c r="J49" s="75"/>
      <c r="K49" s="75"/>
      <c r="L49" s="75"/>
      <c r="N49" s="30"/>
      <c r="O49" s="75"/>
      <c r="P49" s="75"/>
      <c r="Q49" s="75"/>
      <c r="R49" s="75"/>
      <c r="S49" s="88"/>
      <c r="T49" s="30"/>
      <c r="U49" s="75"/>
      <c r="V49" s="75"/>
      <c r="W49" s="75"/>
      <c r="X49" s="75"/>
      <c r="Z49" s="30"/>
      <c r="AA49" s="75"/>
      <c r="AB49" s="75"/>
      <c r="AC49" s="75"/>
      <c r="AD49" s="75"/>
      <c r="AE49" s="75"/>
      <c r="AF49" s="30"/>
      <c r="AG49" s="75"/>
      <c r="AH49" s="75"/>
      <c r="AI49" s="75"/>
      <c r="AJ49" s="75"/>
      <c r="AL49" s="30"/>
      <c r="AM49" s="75"/>
      <c r="AN49" s="75"/>
      <c r="AO49" s="75"/>
      <c r="AP49" s="75"/>
      <c r="AQ49" s="88"/>
      <c r="AR49" s="30"/>
      <c r="AS49" s="75"/>
      <c r="AT49" s="75"/>
      <c r="AU49" s="75"/>
      <c r="AV49" s="75"/>
      <c r="AX49" s="30"/>
      <c r="AY49" s="75"/>
      <c r="AZ49" s="75"/>
      <c r="BA49" s="75"/>
      <c r="BB49" s="75"/>
      <c r="BC49" s="75"/>
      <c r="BD49" s="30"/>
      <c r="BE49" s="75"/>
      <c r="BF49" s="75"/>
      <c r="BG49" s="75"/>
      <c r="BH49" s="75"/>
      <c r="BJ49" s="30"/>
      <c r="BK49" s="75"/>
      <c r="BL49" s="75"/>
      <c r="BM49" s="75"/>
      <c r="BN49" s="75"/>
      <c r="BO49" s="88"/>
      <c r="BP49" s="30"/>
      <c r="BQ49" s="75"/>
      <c r="BR49" s="75"/>
      <c r="BS49" s="75"/>
      <c r="BT49" s="75"/>
      <c r="BV49" s="30"/>
      <c r="BW49" s="75"/>
      <c r="BX49" s="75"/>
      <c r="BY49" s="75"/>
      <c r="BZ49" s="75"/>
      <c r="CA49" s="75"/>
      <c r="CB49" s="30"/>
      <c r="CC49" s="75"/>
      <c r="CD49" s="75"/>
      <c r="CE49" s="75"/>
      <c r="CF49" s="75"/>
      <c r="CH49" s="30"/>
      <c r="CI49" s="75"/>
      <c r="CJ49" s="75"/>
      <c r="CK49" s="75"/>
      <c r="CL49" s="75"/>
      <c r="CM49" s="88"/>
      <c r="CN49" s="30"/>
      <c r="CO49" s="75"/>
      <c r="CP49" s="75"/>
      <c r="CQ49" s="75"/>
      <c r="CR49" s="75"/>
      <c r="CT49" s="30"/>
      <c r="CU49" s="75"/>
      <c r="CV49" s="75"/>
      <c r="CW49" s="75"/>
      <c r="CX49" s="75"/>
      <c r="CY49" s="75"/>
      <c r="CZ49" s="30"/>
      <c r="DA49" s="75"/>
      <c r="DB49" s="75"/>
      <c r="DC49" s="75"/>
      <c r="DD49" s="75"/>
      <c r="DF49" s="30"/>
      <c r="DG49" s="75"/>
      <c r="DH49" s="75"/>
      <c r="DI49" s="75"/>
      <c r="DJ49" s="75"/>
      <c r="DK49" s="88"/>
      <c r="DL49" s="30"/>
      <c r="DM49" s="75"/>
      <c r="DN49" s="75"/>
      <c r="DO49" s="75"/>
      <c r="DP49" s="75"/>
    </row>
    <row r="50" spans="1:120">
      <c r="A50" s="73" t="str">
        <f>name!B3</f>
        <v>All industries</v>
      </c>
      <c r="B50" s="33">
        <f t="shared" si="1"/>
        <v>2.7912372459239387</v>
      </c>
      <c r="C50" s="74">
        <v>4561.2992279926211</v>
      </c>
      <c r="D50" s="74">
        <v>431.97496524334053</v>
      </c>
      <c r="E50" s="74">
        <v>1445.5882710202891</v>
      </c>
      <c r="F50" s="74">
        <f t="shared" si="2"/>
        <v>1877.5632362636297</v>
      </c>
      <c r="G50" s="74"/>
      <c r="H50" s="33">
        <f t="shared" si="3"/>
        <v>2.6517730789267446</v>
      </c>
      <c r="I50" s="74">
        <v>774.77767553257945</v>
      </c>
      <c r="J50" s="74">
        <v>-90.9176985646708</v>
      </c>
      <c r="K50" s="74">
        <v>231.78692033646578</v>
      </c>
      <c r="L50" s="74">
        <f>SUM(J50:K50)</f>
        <v>140.86922177179497</v>
      </c>
      <c r="M50" s="73"/>
      <c r="N50" s="33">
        <f t="shared" si="5"/>
        <v>2.6893242464146816</v>
      </c>
      <c r="O50" s="74">
        <v>1810.6123702397726</v>
      </c>
      <c r="P50" s="74">
        <v>208.84741372398935</v>
      </c>
      <c r="Q50" s="74">
        <v>550.29225403969679</v>
      </c>
      <c r="R50" s="74">
        <f>SUM(P50:Q50)</f>
        <v>759.13966776368613</v>
      </c>
      <c r="S50" s="89"/>
      <c r="T50" s="33">
        <f t="shared" si="7"/>
        <v>2.9376202991175049</v>
      </c>
      <c r="U50" s="74">
        <v>1975.9091822202711</v>
      </c>
      <c r="V50" s="74">
        <v>314.04525008402186</v>
      </c>
      <c r="W50" s="74">
        <v>663.50909664412427</v>
      </c>
      <c r="X50" s="74">
        <f>SUM(V50:W50)</f>
        <v>977.55434672814613</v>
      </c>
      <c r="Y50" s="73" t="str">
        <f>A50</f>
        <v>All industries</v>
      </c>
      <c r="Z50" s="33">
        <f>IF(AA50&gt;0,((1+(AC50/AA50))^(1/($A$101-$A$100))-1)*100,0)</f>
        <v>2.9771972098236787</v>
      </c>
      <c r="AA50" s="74">
        <v>2141.7348734083043</v>
      </c>
      <c r="AB50" s="74">
        <v>328.18012130131888</v>
      </c>
      <c r="AC50" s="74">
        <v>730.21185757939747</v>
      </c>
      <c r="AD50" s="74">
        <f>SUM(AB50:AC50)</f>
        <v>1058.3919788807164</v>
      </c>
      <c r="AE50" s="74"/>
      <c r="AF50" s="33">
        <f>IF(AG50&gt;0,((1+(AI50/AG50))^(1/($A$101-$A$100))-1)*100,0)</f>
        <v>3.0280155732974823</v>
      </c>
      <c r="AG50" s="74">
        <v>114.36183531349347</v>
      </c>
      <c r="AH50" s="74">
        <v>10.806009020856356</v>
      </c>
      <c r="AI50" s="74">
        <v>39.749458273691218</v>
      </c>
      <c r="AJ50" s="74">
        <f>SUM(AH50:AI50)</f>
        <v>50.555467294547576</v>
      </c>
      <c r="AK50" s="73"/>
      <c r="AL50" s="33">
        <f>IF(AM50&gt;0,((1+(AO50/AM50))^(1/($A$101-$A$100))-1)*100,0)</f>
        <v>2.9663353480916088</v>
      </c>
      <c r="AM50" s="74">
        <v>484.03376220781502</v>
      </c>
      <c r="AN50" s="74">
        <v>80.752171418150368</v>
      </c>
      <c r="AO50" s="74">
        <v>164.34415782441963</v>
      </c>
      <c r="AP50" s="74">
        <f>SUM(AN50:AO50)</f>
        <v>245.09632924256999</v>
      </c>
      <c r="AQ50" s="89"/>
      <c r="AR50" s="33">
        <f>IF(AS50&gt;0,((1+(AU50/AS50))^(1/($A$101-$A$100))-1)*100,0)</f>
        <v>2.9768281396108875</v>
      </c>
      <c r="AS50" s="74">
        <v>1543.3392758869961</v>
      </c>
      <c r="AT50" s="74">
        <v>236.62194086231219</v>
      </c>
      <c r="AU50" s="74">
        <v>526.11824148128676</v>
      </c>
      <c r="AV50" s="74">
        <f>SUM(AT50:AU50)</f>
        <v>762.74018234359892</v>
      </c>
      <c r="AW50" s="73" t="str">
        <f>Y50</f>
        <v>All industries</v>
      </c>
      <c r="AX50" s="33">
        <f>IF(AY50&gt;0,((1+(BA50/AY50))^(1/($A$101-$A$100))-1)*100,0)</f>
        <v>2.5960689907792656</v>
      </c>
      <c r="AY50" s="74">
        <v>1169.4910110900296</v>
      </c>
      <c r="AZ50" s="74">
        <v>61.012733866251224</v>
      </c>
      <c r="BA50" s="74">
        <v>341.64688672572964</v>
      </c>
      <c r="BB50" s="74">
        <f>SUM(AZ50:BA50)</f>
        <v>402.65962059198085</v>
      </c>
      <c r="BC50" s="74"/>
      <c r="BD50" s="33">
        <f>IF(BE50&gt;0,((1+(BG50/BE50))^(1/($A$101-$A$100))-1)*100,0)</f>
        <v>2.5108134589674425</v>
      </c>
      <c r="BE50" s="74">
        <v>196.77997170605971</v>
      </c>
      <c r="BF50" s="74">
        <v>-19.19988351079143</v>
      </c>
      <c r="BG50" s="74">
        <v>55.380896948664599</v>
      </c>
      <c r="BH50" s="74">
        <f>SUM(BF50:BG50)</f>
        <v>36.181013437873169</v>
      </c>
      <c r="BI50" s="73"/>
      <c r="BJ50" s="33">
        <f>IF(BK50&gt;0,((1+(BM50/BK50))^(1/($A$101-$A$100))-1)*100,0)</f>
        <v>2.5531077119064882</v>
      </c>
      <c r="BK50" s="74">
        <v>650.12175377402275</v>
      </c>
      <c r="BL50" s="74">
        <v>42.192712487148434</v>
      </c>
      <c r="BM50" s="74">
        <v>186.41100647521165</v>
      </c>
      <c r="BN50" s="74">
        <f>SUM(BL50:BM50)</f>
        <v>228.60371896236009</v>
      </c>
      <c r="BO50" s="89"/>
      <c r="BP50" s="33">
        <f>IF(BQ50&gt;0,((1+(BS50/BQ50))^(1/($A$101-$A$100))-1)*100,0)</f>
        <v>2.7334678665663192</v>
      </c>
      <c r="BQ50" s="74">
        <v>322.58928560994713</v>
      </c>
      <c r="BR50" s="74">
        <v>38.019904889894228</v>
      </c>
      <c r="BS50" s="74">
        <v>99.854983301853494</v>
      </c>
      <c r="BT50" s="74">
        <f>SUM(BR50:BS50)</f>
        <v>137.87488819174771</v>
      </c>
      <c r="BU50" s="73" t="str">
        <f>AW50</f>
        <v>All industries</v>
      </c>
      <c r="BV50" s="33">
        <f>IF(BW50&gt;0,((1+(BY50/BW50))^(1/($A$101-$A$100))-1)*100,0)</f>
        <v>2.5889208699682698</v>
      </c>
      <c r="BW50" s="74">
        <v>786.26148565798121</v>
      </c>
      <c r="BX50" s="74">
        <v>-16.768227409449015</v>
      </c>
      <c r="BY50" s="74">
        <v>228.98528730973825</v>
      </c>
      <c r="BZ50" s="74">
        <f>SUM(BX50:BY50)</f>
        <v>212.21705990028923</v>
      </c>
      <c r="CA50" s="74"/>
      <c r="CB50" s="33">
        <f>IF(CC50&gt;0,((1+(CE50/CC50))^(1/($A$101-$A$100))-1)*100,0)</f>
        <v>2.5278948366694864</v>
      </c>
      <c r="CC50" s="74">
        <v>257.91842111045776</v>
      </c>
      <c r="CD50" s="74">
        <v>-52.179148361626908</v>
      </c>
      <c r="CE50" s="74">
        <v>73.138570554183204</v>
      </c>
      <c r="CF50" s="74">
        <f>SUM(CD50:CE50)</f>
        <v>20.959422192556296</v>
      </c>
      <c r="CG50" s="73"/>
      <c r="CH50" s="33">
        <f>IF(CI50&gt;0,((1+(CK50/CI50))^(1/($A$101-$A$100))-1)*100,0)</f>
        <v>2.5655949055339189</v>
      </c>
      <c r="CI50" s="74">
        <v>462.50112579230256</v>
      </c>
      <c r="CJ50" s="74">
        <v>18.263082416840735</v>
      </c>
      <c r="CK50" s="74">
        <v>133.33911166207648</v>
      </c>
      <c r="CL50" s="74">
        <f>SUM(CJ50:CK50)</f>
        <v>151.60219407891722</v>
      </c>
      <c r="CM50" s="89"/>
      <c r="CN50" s="33">
        <f>IF(CO50&gt;0,((1+(CQ50/CO50))^(1/($A$101-$A$100))-1)*100,0)</f>
        <v>2.9840981402702971</v>
      </c>
      <c r="CO50" s="74">
        <v>65.841938755220539</v>
      </c>
      <c r="CP50" s="74">
        <v>17.147838535337179</v>
      </c>
      <c r="CQ50" s="74">
        <v>22.507605093478684</v>
      </c>
      <c r="CR50" s="74">
        <f>SUM(CP50:CQ50)</f>
        <v>39.65544362881586</v>
      </c>
      <c r="CS50" s="73" t="str">
        <f>BU50</f>
        <v>All industries</v>
      </c>
      <c r="CT50" s="33">
        <f>IF(CU50&gt;0,((1+(CW50/CU50))^(1/($A$101-$A$100))-1)*100,0)</f>
        <v>2.7533233225370157</v>
      </c>
      <c r="CU50" s="74">
        <v>463.81185783630696</v>
      </c>
      <c r="CV50" s="74">
        <v>59.550337485219423</v>
      </c>
      <c r="CW50" s="74">
        <v>144.74423940542175</v>
      </c>
      <c r="CX50" s="74">
        <f>SUM(CV50:CW50)</f>
        <v>204.29457689064117</v>
      </c>
      <c r="CY50" s="74"/>
      <c r="CZ50" s="33">
        <f>IF(DA50&gt;0,((1+(DC50/DA50))^(1/($A$101-$A$100))-1)*100,0)</f>
        <v>2.7273559755584653</v>
      </c>
      <c r="DA50" s="74">
        <v>205.71744740256855</v>
      </c>
      <c r="DB50" s="74">
        <v>-30.344675713108767</v>
      </c>
      <c r="DC50" s="74">
        <v>63.517994559926827</v>
      </c>
      <c r="DD50" s="74">
        <f>SUM(DB50:DC50)</f>
        <v>33.173318846818063</v>
      </c>
      <c r="DE50" s="73"/>
      <c r="DF50" s="33">
        <f>IF(DG50&gt;0,((1+(DI50/DG50))^(1/($A$101-$A$100))-1)*100,0)</f>
        <v>2.7323553670193235</v>
      </c>
      <c r="DG50" s="74">
        <v>213.95572846563186</v>
      </c>
      <c r="DH50" s="74">
        <v>67.639447401849822</v>
      </c>
      <c r="DI50" s="74">
        <v>66.197978077989319</v>
      </c>
      <c r="DJ50" s="74">
        <f>SUM(DH50:DI50)</f>
        <v>133.83742547983914</v>
      </c>
      <c r="DK50" s="89"/>
      <c r="DL50" s="33">
        <f>IF(DM50&gt;0,((1+(DO50/DM50))^(1/($A$101-$A$100))-1)*100,0)</f>
        <v>2.9736201868302725</v>
      </c>
      <c r="DM50" s="74">
        <v>44.13868196810671</v>
      </c>
      <c r="DN50" s="74">
        <v>22.25556579647839</v>
      </c>
      <c r="DO50" s="74">
        <v>15.028266767505601</v>
      </c>
      <c r="DP50" s="74">
        <f>SUM(DN50:DO50)</f>
        <v>37.283832563983992</v>
      </c>
    </row>
    <row r="51" spans="1:120">
      <c r="B51" s="75"/>
      <c r="C51" s="75"/>
      <c r="D51" s="75"/>
      <c r="E51" s="75"/>
      <c r="F51" s="75"/>
      <c r="G51" s="75"/>
      <c r="Z51" s="75"/>
      <c r="AA51" s="75"/>
      <c r="AB51" s="75"/>
      <c r="AC51" s="75"/>
      <c r="AD51" s="75"/>
      <c r="AE51" s="75"/>
      <c r="AX51" s="75"/>
      <c r="AY51" s="75"/>
      <c r="AZ51" s="75"/>
      <c r="BA51" s="75"/>
      <c r="BB51" s="75"/>
      <c r="BC51" s="75"/>
      <c r="BV51" s="75"/>
      <c r="BW51" s="75"/>
      <c r="BX51" s="75"/>
      <c r="BY51" s="75"/>
      <c r="BZ51" s="75"/>
      <c r="CA51" s="75"/>
      <c r="CT51" s="75"/>
      <c r="CU51" s="75"/>
      <c r="CV51" s="75"/>
      <c r="CW51" s="75"/>
      <c r="CX51" s="75"/>
      <c r="CY51" s="75"/>
    </row>
    <row r="52" spans="1:120">
      <c r="A52" s="72" t="e">
        <f ca="1">CELL("filename")</f>
        <v>#VALUE!</v>
      </c>
      <c r="B52" s="75"/>
      <c r="C52" s="75"/>
      <c r="D52" s="75"/>
      <c r="E52" s="75"/>
      <c r="F52" s="75"/>
      <c r="G52" s="75"/>
      <c r="Y52" s="72" t="e">
        <f ca="1">CELL("filename")</f>
        <v>#VALUE!</v>
      </c>
      <c r="Z52" s="75"/>
      <c r="AA52" s="75"/>
      <c r="AB52" s="75"/>
      <c r="AC52" s="75"/>
      <c r="AD52" s="75"/>
      <c r="AE52" s="75"/>
      <c r="AW52" s="72" t="e">
        <f ca="1">CELL("filename")</f>
        <v>#VALUE!</v>
      </c>
      <c r="AX52" s="75"/>
      <c r="AY52" s="75"/>
      <c r="AZ52" s="75"/>
      <c r="BA52" s="75"/>
      <c r="BB52" s="75"/>
      <c r="BC52" s="75"/>
      <c r="BU52" s="72" t="e">
        <f ca="1">CELL("filename")</f>
        <v>#VALUE!</v>
      </c>
      <c r="BV52" s="75"/>
      <c r="BW52" s="75"/>
      <c r="BX52" s="75"/>
      <c r="BY52" s="75"/>
      <c r="BZ52" s="75"/>
      <c r="CA52" s="75"/>
      <c r="CS52" s="72" t="e">
        <f ca="1">CELL("filename")</f>
        <v>#VALUE!</v>
      </c>
      <c r="CT52" s="75"/>
      <c r="CU52" s="75"/>
      <c r="CV52" s="75"/>
      <c r="CW52" s="75"/>
      <c r="CX52" s="75"/>
      <c r="CY52" s="75"/>
    </row>
    <row r="53" spans="1:120" ht="15.6">
      <c r="A53" s="17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7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7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7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7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97" t="str">
        <f>$X$3</f>
        <v>thousands</v>
      </c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97" t="str">
        <f>$X$3</f>
        <v>thousands</v>
      </c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97" t="str">
        <f>$X$3</f>
        <v>thousands</v>
      </c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97" t="str">
        <f>$X$3</f>
        <v>thousands</v>
      </c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97" t="str">
        <f>$X$3</f>
        <v>thousands</v>
      </c>
    </row>
    <row r="56" spans="1:120" ht="12.95">
      <c r="B56" s="377" t="str">
        <f>B4</f>
        <v>All qualifications</v>
      </c>
      <c r="C56" s="377"/>
      <c r="D56" s="377"/>
      <c r="E56" s="377"/>
      <c r="F56" s="377"/>
      <c r="G56" s="95"/>
      <c r="H56" s="377" t="str">
        <f>H4</f>
        <v>RQF8 Doctorate</v>
      </c>
      <c r="I56" s="377"/>
      <c r="J56" s="377"/>
      <c r="K56" s="377"/>
      <c r="L56" s="377"/>
      <c r="M56" s="95"/>
      <c r="N56" s="376" t="str">
        <f>N4</f>
        <v>RQF7 Other higher degree</v>
      </c>
      <c r="O56" s="376"/>
      <c r="P56" s="376"/>
      <c r="Q56" s="376"/>
      <c r="R56" s="376"/>
      <c r="S56" s="92"/>
      <c r="T56" s="376" t="str">
        <f>T4</f>
        <v>RQF6 First degree</v>
      </c>
      <c r="U56" s="376"/>
      <c r="V56" s="376"/>
      <c r="W56" s="376"/>
      <c r="X56" s="376"/>
      <c r="Z56" s="377" t="str">
        <f>Z4</f>
        <v>All qualifications</v>
      </c>
      <c r="AA56" s="377"/>
      <c r="AB56" s="377"/>
      <c r="AC56" s="377"/>
      <c r="AD56" s="377"/>
      <c r="AE56" s="95"/>
      <c r="AF56" s="377" t="str">
        <f>AF4</f>
        <v>RQF8 Doctorate</v>
      </c>
      <c r="AG56" s="377"/>
      <c r="AH56" s="377"/>
      <c r="AI56" s="377"/>
      <c r="AJ56" s="377"/>
      <c r="AK56" s="95"/>
      <c r="AL56" s="376" t="str">
        <f>AL4</f>
        <v>RQF7 Other higher degree</v>
      </c>
      <c r="AM56" s="376"/>
      <c r="AN56" s="376"/>
      <c r="AO56" s="376"/>
      <c r="AP56" s="376"/>
      <c r="AQ56" s="92"/>
      <c r="AR56" s="376" t="str">
        <f>AR4</f>
        <v>RQF6 First degree</v>
      </c>
      <c r="AS56" s="376"/>
      <c r="AT56" s="376"/>
      <c r="AU56" s="376"/>
      <c r="AV56" s="376"/>
      <c r="AX56" s="377" t="str">
        <f>AX4</f>
        <v>All qualifications</v>
      </c>
      <c r="AY56" s="377"/>
      <c r="AZ56" s="377"/>
      <c r="BA56" s="377"/>
      <c r="BB56" s="377"/>
      <c r="BC56" s="95"/>
      <c r="BD56" s="377" t="str">
        <f>BD4</f>
        <v>RQF8 Doctorate</v>
      </c>
      <c r="BE56" s="377"/>
      <c r="BF56" s="377"/>
      <c r="BG56" s="377"/>
      <c r="BH56" s="377"/>
      <c r="BI56" s="95"/>
      <c r="BJ56" s="376" t="str">
        <f>BJ4</f>
        <v>RQF7 Other higher degree</v>
      </c>
      <c r="BK56" s="376"/>
      <c r="BL56" s="376"/>
      <c r="BM56" s="376"/>
      <c r="BN56" s="376"/>
      <c r="BO56" s="92"/>
      <c r="BP56" s="376" t="str">
        <f>BP4</f>
        <v>RQF6 First degree</v>
      </c>
      <c r="BQ56" s="376"/>
      <c r="BR56" s="376"/>
      <c r="BS56" s="376"/>
      <c r="BT56" s="376"/>
      <c r="BV56" s="377" t="str">
        <f>BV4</f>
        <v>All qualifications</v>
      </c>
      <c r="BW56" s="377"/>
      <c r="BX56" s="377"/>
      <c r="BY56" s="377"/>
      <c r="BZ56" s="377"/>
      <c r="CA56" s="95"/>
      <c r="CB56" s="377" t="str">
        <f>CB4</f>
        <v>RQF8 Doctorate</v>
      </c>
      <c r="CC56" s="377"/>
      <c r="CD56" s="377"/>
      <c r="CE56" s="377"/>
      <c r="CF56" s="377"/>
      <c r="CG56" s="95"/>
      <c r="CH56" s="376" t="str">
        <f>CH4</f>
        <v>RQF7 Other higher degree</v>
      </c>
      <c r="CI56" s="376"/>
      <c r="CJ56" s="376"/>
      <c r="CK56" s="376"/>
      <c r="CL56" s="376"/>
      <c r="CM56" s="92"/>
      <c r="CN56" s="376" t="str">
        <f>CN4</f>
        <v>RQF6 First degree</v>
      </c>
      <c r="CO56" s="376"/>
      <c r="CP56" s="376"/>
      <c r="CQ56" s="376"/>
      <c r="CR56" s="376"/>
      <c r="CT56" s="377" t="str">
        <f>CT4</f>
        <v>All qualifications</v>
      </c>
      <c r="CU56" s="377"/>
      <c r="CV56" s="377"/>
      <c r="CW56" s="377"/>
      <c r="CX56" s="377"/>
      <c r="CY56" s="95"/>
      <c r="CZ56" s="377" t="str">
        <f>CZ4</f>
        <v>RQF8 Doctorate</v>
      </c>
      <c r="DA56" s="377"/>
      <c r="DB56" s="377"/>
      <c r="DC56" s="377"/>
      <c r="DD56" s="377"/>
      <c r="DE56" s="95"/>
      <c r="DF56" s="376" t="str">
        <f>DF4</f>
        <v>RQF7 Other higher degree</v>
      </c>
      <c r="DG56" s="376"/>
      <c r="DH56" s="376"/>
      <c r="DI56" s="376"/>
      <c r="DJ56" s="376"/>
      <c r="DK56" s="92"/>
      <c r="DL56" s="376" t="str">
        <f>DL4</f>
        <v>RQF6 First degree</v>
      </c>
      <c r="DM56" s="376"/>
      <c r="DN56" s="376"/>
      <c r="DO56" s="376"/>
      <c r="DP56" s="376"/>
    </row>
    <row r="58" spans="1:120" ht="38.1">
      <c r="A58" s="94"/>
      <c r="B58" s="91" t="str">
        <f>B6</f>
        <v>RD p.a%</v>
      </c>
      <c r="C58" s="91" t="str">
        <f>C6</f>
        <v>2015 Level</v>
      </c>
      <c r="D58" s="91" t="str">
        <f>D6</f>
        <v>Net Change</v>
      </c>
      <c r="E58" s="91" t="str">
        <f>E6</f>
        <v>Replace-ment Demand</v>
      </c>
      <c r="F58" s="91" t="str">
        <f>F6</f>
        <v>Total Require-ment</v>
      </c>
      <c r="G58" s="90"/>
      <c r="H58" s="86" t="str">
        <f>B58</f>
        <v>RD p.a%</v>
      </c>
      <c r="I58" s="86" t="str">
        <f>C58</f>
        <v>2015 Level</v>
      </c>
      <c r="J58" s="86" t="str">
        <f>D58</f>
        <v>Net Change</v>
      </c>
      <c r="K58" s="86" t="str">
        <f>E58</f>
        <v>Replace-ment Demand</v>
      </c>
      <c r="L58" s="86" t="str">
        <f>F58</f>
        <v>Total Require-ment</v>
      </c>
      <c r="M58" s="85"/>
      <c r="N58" s="87" t="str">
        <f>H58</f>
        <v>RD p.a%</v>
      </c>
      <c r="O58" s="87" t="str">
        <f>I58</f>
        <v>2015 Level</v>
      </c>
      <c r="P58" s="87" t="str">
        <f>J58</f>
        <v>Net Change</v>
      </c>
      <c r="Q58" s="87" t="str">
        <f>K58</f>
        <v>Replace-ment Demand</v>
      </c>
      <c r="R58" s="87" t="str">
        <f>L58</f>
        <v>Total Require-ment</v>
      </c>
      <c r="S58" s="85"/>
      <c r="T58" s="87" t="str">
        <f>N58</f>
        <v>RD p.a%</v>
      </c>
      <c r="U58" s="87" t="str">
        <f>O58</f>
        <v>2015 Level</v>
      </c>
      <c r="V58" s="87" t="str">
        <f>P58</f>
        <v>Net Change</v>
      </c>
      <c r="W58" s="87" t="str">
        <f>Q58</f>
        <v>Replace-ment Demand</v>
      </c>
      <c r="X58" s="87" t="str">
        <f>R58</f>
        <v>Total Require-ment</v>
      </c>
      <c r="Y58" s="94"/>
      <c r="Z58" s="91" t="str">
        <f>Z6</f>
        <v>RD p.a%</v>
      </c>
      <c r="AA58" s="91" t="str">
        <f>AA6</f>
        <v>2015 Level</v>
      </c>
      <c r="AB58" s="91" t="str">
        <f>AB6</f>
        <v>Net Change</v>
      </c>
      <c r="AC58" s="91" t="str">
        <f>AC6</f>
        <v>Replace-ment Demand</v>
      </c>
      <c r="AD58" s="91" t="str">
        <f>AD6</f>
        <v>Total Require-ment</v>
      </c>
      <c r="AE58" s="90"/>
      <c r="AF58" s="86" t="str">
        <f>Z58</f>
        <v>RD p.a%</v>
      </c>
      <c r="AG58" s="86" t="str">
        <f>AA58</f>
        <v>2015 Level</v>
      </c>
      <c r="AH58" s="86" t="str">
        <f>AB58</f>
        <v>Net Change</v>
      </c>
      <c r="AI58" s="86" t="str">
        <f>AC58</f>
        <v>Replace-ment Demand</v>
      </c>
      <c r="AJ58" s="86" t="str">
        <f>AD58</f>
        <v>Total Require-ment</v>
      </c>
      <c r="AK58" s="85"/>
      <c r="AL58" s="87" t="str">
        <f>AF58</f>
        <v>RD p.a%</v>
      </c>
      <c r="AM58" s="87" t="str">
        <f>AG58</f>
        <v>2015 Level</v>
      </c>
      <c r="AN58" s="87" t="str">
        <f>AH58</f>
        <v>Net Change</v>
      </c>
      <c r="AO58" s="87" t="str">
        <f>AI58</f>
        <v>Replace-ment Demand</v>
      </c>
      <c r="AP58" s="87" t="str">
        <f>AJ58</f>
        <v>Total Require-ment</v>
      </c>
      <c r="AQ58" s="85"/>
      <c r="AR58" s="87" t="str">
        <f>AL58</f>
        <v>RD p.a%</v>
      </c>
      <c r="AS58" s="87" t="str">
        <f>AM58</f>
        <v>2015 Level</v>
      </c>
      <c r="AT58" s="87" t="str">
        <f>AN58</f>
        <v>Net Change</v>
      </c>
      <c r="AU58" s="87" t="str">
        <f>AO58</f>
        <v>Replace-ment Demand</v>
      </c>
      <c r="AV58" s="87" t="str">
        <f>AP58</f>
        <v>Total Require-ment</v>
      </c>
      <c r="AW58" s="94"/>
      <c r="AX58" s="91" t="str">
        <f>AX6</f>
        <v>RD p.a%</v>
      </c>
      <c r="AY58" s="91" t="str">
        <f>AY6</f>
        <v>2015 Level</v>
      </c>
      <c r="AZ58" s="91" t="str">
        <f>AZ6</f>
        <v>Net Change</v>
      </c>
      <c r="BA58" s="91" t="str">
        <f>BA6</f>
        <v>Replace-ment Demand</v>
      </c>
      <c r="BB58" s="91" t="str">
        <f>BB6</f>
        <v>Total Require-ment</v>
      </c>
      <c r="BC58" s="90"/>
      <c r="BD58" s="86" t="str">
        <f>AX58</f>
        <v>RD p.a%</v>
      </c>
      <c r="BE58" s="86" t="str">
        <f>AY58</f>
        <v>2015 Level</v>
      </c>
      <c r="BF58" s="86" t="str">
        <f>AZ58</f>
        <v>Net Change</v>
      </c>
      <c r="BG58" s="86" t="str">
        <f>BA58</f>
        <v>Replace-ment Demand</v>
      </c>
      <c r="BH58" s="86" t="str">
        <f>BB58</f>
        <v>Total Require-ment</v>
      </c>
      <c r="BI58" s="85"/>
      <c r="BJ58" s="87" t="str">
        <f>BD58</f>
        <v>RD p.a%</v>
      </c>
      <c r="BK58" s="87" t="str">
        <f>BE58</f>
        <v>2015 Level</v>
      </c>
      <c r="BL58" s="87" t="str">
        <f>BF58</f>
        <v>Net Change</v>
      </c>
      <c r="BM58" s="87" t="str">
        <f>BG58</f>
        <v>Replace-ment Demand</v>
      </c>
      <c r="BN58" s="87" t="str">
        <f>BH58</f>
        <v>Total Require-ment</v>
      </c>
      <c r="BO58" s="85"/>
      <c r="BP58" s="87" t="str">
        <f>BJ58</f>
        <v>RD p.a%</v>
      </c>
      <c r="BQ58" s="87" t="str">
        <f>BK58</f>
        <v>2015 Level</v>
      </c>
      <c r="BR58" s="87" t="str">
        <f>BL58</f>
        <v>Net Change</v>
      </c>
      <c r="BS58" s="87" t="str">
        <f>BM58</f>
        <v>Replace-ment Demand</v>
      </c>
      <c r="BT58" s="87" t="str">
        <f>BN58</f>
        <v>Total Require-ment</v>
      </c>
      <c r="BU58" s="94"/>
      <c r="BV58" s="91" t="str">
        <f>BV6</f>
        <v>RD p.a%</v>
      </c>
      <c r="BW58" s="91" t="str">
        <f>BW6</f>
        <v>2015 Level</v>
      </c>
      <c r="BX58" s="91" t="str">
        <f>BX6</f>
        <v>Net Change</v>
      </c>
      <c r="BY58" s="91" t="str">
        <f>BY6</f>
        <v>Replace-ment Demand</v>
      </c>
      <c r="BZ58" s="91" t="str">
        <f>BZ6</f>
        <v>Total Require-ment</v>
      </c>
      <c r="CA58" s="90"/>
      <c r="CB58" s="86" t="str">
        <f>BV58</f>
        <v>RD p.a%</v>
      </c>
      <c r="CC58" s="86" t="str">
        <f>BW58</f>
        <v>2015 Level</v>
      </c>
      <c r="CD58" s="86" t="str">
        <f>BX58</f>
        <v>Net Change</v>
      </c>
      <c r="CE58" s="86" t="str">
        <f>BY58</f>
        <v>Replace-ment Demand</v>
      </c>
      <c r="CF58" s="86" t="str">
        <f>BZ58</f>
        <v>Total Require-ment</v>
      </c>
      <c r="CG58" s="85"/>
      <c r="CH58" s="87" t="str">
        <f>CB58</f>
        <v>RD p.a%</v>
      </c>
      <c r="CI58" s="87" t="str">
        <f>CC58</f>
        <v>2015 Level</v>
      </c>
      <c r="CJ58" s="87" t="str">
        <f>CD58</f>
        <v>Net Change</v>
      </c>
      <c r="CK58" s="87" t="str">
        <f>CE58</f>
        <v>Replace-ment Demand</v>
      </c>
      <c r="CL58" s="87" t="str">
        <f>CF58</f>
        <v>Total Require-ment</v>
      </c>
      <c r="CM58" s="85"/>
      <c r="CN58" s="87" t="str">
        <f>CH58</f>
        <v>RD p.a%</v>
      </c>
      <c r="CO58" s="87" t="str">
        <f>CI58</f>
        <v>2015 Level</v>
      </c>
      <c r="CP58" s="87" t="str">
        <f>CJ58</f>
        <v>Net Change</v>
      </c>
      <c r="CQ58" s="87" t="str">
        <f>CK58</f>
        <v>Replace-ment Demand</v>
      </c>
      <c r="CR58" s="87" t="str">
        <f>CL58</f>
        <v>Total Require-ment</v>
      </c>
      <c r="CS58" s="94"/>
      <c r="CT58" s="91" t="str">
        <f>CT6</f>
        <v>RD p.a%</v>
      </c>
      <c r="CU58" s="91" t="str">
        <f>CU6</f>
        <v>2015 Level</v>
      </c>
      <c r="CV58" s="91" t="str">
        <f>CV6</f>
        <v>Net Change</v>
      </c>
      <c r="CW58" s="91" t="str">
        <f>CW6</f>
        <v>Replace-ment Demand</v>
      </c>
      <c r="CX58" s="91" t="str">
        <f>CX6</f>
        <v>Total Require-ment</v>
      </c>
      <c r="CY58" s="90"/>
      <c r="CZ58" s="86" t="str">
        <f>CT58</f>
        <v>RD p.a%</v>
      </c>
      <c r="DA58" s="86" t="str">
        <f>CU58</f>
        <v>2015 Level</v>
      </c>
      <c r="DB58" s="86" t="str">
        <f>CV58</f>
        <v>Net Change</v>
      </c>
      <c r="DC58" s="86" t="str">
        <f>CW58</f>
        <v>Replace-ment Demand</v>
      </c>
      <c r="DD58" s="86" t="str">
        <f>CX58</f>
        <v>Total Require-ment</v>
      </c>
      <c r="DE58" s="85"/>
      <c r="DF58" s="87" t="str">
        <f>CZ58</f>
        <v>RD p.a%</v>
      </c>
      <c r="DG58" s="87" t="str">
        <f>DA58</f>
        <v>2015 Level</v>
      </c>
      <c r="DH58" s="87" t="str">
        <f>DB58</f>
        <v>Net Change</v>
      </c>
      <c r="DI58" s="87" t="str">
        <f>DC58</f>
        <v>Replace-ment Demand</v>
      </c>
      <c r="DJ58" s="87" t="str">
        <f>DD58</f>
        <v>Total Require-ment</v>
      </c>
      <c r="DK58" s="85"/>
      <c r="DL58" s="87" t="str">
        <f>DF58</f>
        <v>RD p.a%</v>
      </c>
      <c r="DM58" s="87" t="str">
        <f>DG58</f>
        <v>2015 Level</v>
      </c>
      <c r="DN58" s="87" t="str">
        <f>DH58</f>
        <v>Net Change</v>
      </c>
      <c r="DO58" s="87" t="str">
        <f>DI58</f>
        <v>Replace-ment Demand</v>
      </c>
      <c r="DP58" s="87" t="str">
        <f>DJ58</f>
        <v>Total Require-ment</v>
      </c>
    </row>
    <row r="60" spans="1:120">
      <c r="A60" s="72" t="e">
        <f>name!#REF!</f>
        <v>#REF!</v>
      </c>
      <c r="B60" s="30">
        <f t="shared" ref="B60:B77" si="44">IF(C60&gt;0,((1+(E60/C60))^(1/($A$101-$A$100))-1)*100,0)</f>
        <v>3.0200371662758352</v>
      </c>
      <c r="C60" s="75">
        <f t="array" ref="C60:C75">MMULT(aggregation!$B$28:$AP$33,C8:C48)</f>
        <v>366.4282299047502</v>
      </c>
      <c r="D60" s="75">
        <f t="array" ref="D60:D75">MMULT(aggregation!$B$28:$AP$33,D8:D48)</f>
        <v>12.375876953571559</v>
      </c>
      <c r="E60" s="75">
        <f t="array" ref="E60:E75">MMULT(aggregation!$B$28:$AP$33,E8:E48)</f>
        <v>126.97949758360076</v>
      </c>
      <c r="F60" s="75">
        <f t="array" ref="F60:F75">MMULT(aggregation!$B$28:$AP$33,F8:F48)</f>
        <v>139.35537453717231</v>
      </c>
      <c r="H60" s="30">
        <f t="shared" ref="H60:H77" si="45">IF(I60&gt;0,((1+(K60/I60))^(1/($A$101-$A$100))-1)*100,0)</f>
        <v>2.9285612180755871</v>
      </c>
      <c r="I60" s="75">
        <f t="array" ref="I60:I75">MMULT(aggregation!$B$28:$AP$33,I8:I48)</f>
        <v>97.376228083615871</v>
      </c>
      <c r="J60" s="75">
        <f t="array" ref="J60:J75">MMULT(aggregation!$B$28:$AP$33,J8:J48)</f>
        <v>-20.134418454551835</v>
      </c>
      <c r="K60" s="75">
        <f t="array" ref="K60:K75">MMULT(aggregation!$B$28:$AP$33,K8:K48)</f>
        <v>32.584449941883307</v>
      </c>
      <c r="L60" s="75">
        <f t="array" ref="L60:L75">MMULT(aggregation!$B$28:$AP$33,L8:L48)</f>
        <v>12.450031487331474</v>
      </c>
      <c r="N60" s="30">
        <f t="shared" ref="N60:N77" si="46">IF(O60&gt;0,((1+(Q60/O60))^(1/($A$101-$A$100))-1)*100,0)</f>
        <v>3.0078818163740584</v>
      </c>
      <c r="O60" s="75">
        <f t="array" ref="O60:O75">MMULT(aggregation!$B$28:$AP$33,O8:O48)</f>
        <v>182.91528670445331</v>
      </c>
      <c r="P60" s="75">
        <f t="array" ref="P60:P75">MMULT(aggregation!$B$28:$AP$33,P8:P48)</f>
        <v>11.860906329989675</v>
      </c>
      <c r="Q60" s="75">
        <f t="array" ref="Q60:Q75">MMULT(aggregation!$B$28:$AP$33,Q8:Q48)</f>
        <v>63.095737682523136</v>
      </c>
      <c r="R60" s="75">
        <f t="array" ref="R60:R75">MMULT(aggregation!$B$28:$AP$33,R8:R48)</f>
        <v>74.956644012512811</v>
      </c>
      <c r="S60" s="75"/>
      <c r="T60" s="30">
        <f t="shared" ref="T60:T77" si="47">IF(U60&gt;0,((1+(W60/U60))^(1/($A$101-$A$100))-1)*100,0)</f>
        <v>3.1481168893008116</v>
      </c>
      <c r="U60" s="75">
        <f t="array" ref="U60:U75">MMULT(aggregation!$B$28:$AP$33,U8:U48)</f>
        <v>86.136715116681074</v>
      </c>
      <c r="V60" s="75">
        <f t="array" ref="V60:V75">MMULT(aggregation!$B$28:$AP$33,V8:V48)</f>
        <v>20.649389078133723</v>
      </c>
      <c r="W60" s="75">
        <f t="array" ref="W60:W75">MMULT(aggregation!$B$28:$AP$33,W8:W48)</f>
        <v>31.299309959194293</v>
      </c>
      <c r="X60" s="75">
        <f t="array" ref="X60:X75">MMULT(aggregation!$B$28:$AP$33,X8:X48)</f>
        <v>51.948699037328012</v>
      </c>
      <c r="Y60" s="72" t="e">
        <f>A60</f>
        <v>#REF!</v>
      </c>
      <c r="Z60" s="30">
        <f t="shared" ref="Z60:Z75" si="48">IF(AA60&gt;0,((1+(AC60/AA60))^(1/($A$101-$A$100))-1)*100,0)</f>
        <v>3.4510693323820618</v>
      </c>
      <c r="AA60" s="75">
        <f t="array" ref="AA60:AA75">MMULT(aggregation!$B$28:$AP$33,AA8:AA48)</f>
        <v>109.40097762183721</v>
      </c>
      <c r="AB60" s="75">
        <f t="array" ref="AB60:AB75">MMULT(aggregation!$B$28:$AP$33,AB8:AB48)</f>
        <v>9.4111962426802158</v>
      </c>
      <c r="AC60" s="75">
        <f t="array" ref="AC60:AC75">MMULT(aggregation!$B$28:$AP$33,AC8:AC48)</f>
        <v>44.19188844178916</v>
      </c>
      <c r="AD60" s="75">
        <f t="array" ref="AD60:AD75">MMULT(aggregation!$B$28:$AP$33,AD8:AD48)</f>
        <v>53.603084684469373</v>
      </c>
      <c r="AF60" s="30">
        <f t="shared" ref="AF60:AF75" si="49">IF(AG60&gt;0,((1+(AI60/AG60))^(1/($A$101-$A$100))-1)*100,0)</f>
        <v>3.8042706160036355</v>
      </c>
      <c r="AG60" s="75">
        <f t="array" ref="AG60:AG75">MMULT(aggregation!$B$28:$AP$33,AG8:AG48)</f>
        <v>13.890583179106276</v>
      </c>
      <c r="AH60" s="75">
        <f t="array" ref="AH60:AH75">MMULT(aggregation!$B$28:$AP$33,AH8:AH48)</f>
        <v>-3.9765127034124319</v>
      </c>
      <c r="AI60" s="75">
        <f t="array" ref="AI60:AI75">MMULT(aggregation!$B$28:$AP$33,AI8:AI48)</f>
        <v>6.2871647138905322</v>
      </c>
      <c r="AJ60" s="75">
        <f t="array" ref="AJ60:AJ75">MMULT(aggregation!$B$28:$AP$33,AJ8:AJ48)</f>
        <v>2.3106520104781003</v>
      </c>
      <c r="AL60" s="30">
        <f t="shared" ref="AL60:AL75" si="50">IF(AM60&gt;0,((1+(AO60/AM60))^(1/($A$101-$A$100))-1)*100,0)</f>
        <v>3.5604682409842825</v>
      </c>
      <c r="AM60" s="75">
        <f t="array" ref="AM60:AM75">MMULT(aggregation!$B$28:$AP$33,AM8:AM48)</f>
        <v>46.925666714529029</v>
      </c>
      <c r="AN60" s="75">
        <f t="array" ref="AN60:AN75">MMULT(aggregation!$B$28:$AP$33,AN8:AN48)</f>
        <v>3.8599342908012759</v>
      </c>
      <c r="AO60" s="75">
        <f t="array" ref="AO60:AO75">MMULT(aggregation!$B$28:$AP$33,AO8:AO48)</f>
        <v>19.655362728522867</v>
      </c>
      <c r="AP60" s="75">
        <f t="array" ref="AP60:AP75">MMULT(aggregation!$B$28:$AP$33,AP8:AP48)</f>
        <v>23.515297019324144</v>
      </c>
      <c r="AQ60" s="75"/>
      <c r="AR60" s="30">
        <f t="shared" ref="AR60:AR75" si="51">IF(AS60&gt;0,((1+(AU60/AS60))^(1/($A$101-$A$100))-1)*100,0)</f>
        <v>3.2404350006200788</v>
      </c>
      <c r="AS60" s="75">
        <f t="array" ref="AS60:AS75">MMULT(aggregation!$B$28:$AP$33,AS8:AS48)</f>
        <v>48.584727728201912</v>
      </c>
      <c r="AT60" s="75">
        <f t="array" ref="AT60:AT75">MMULT(aggregation!$B$28:$AP$33,AT8:AT48)</f>
        <v>9.5277746552913687</v>
      </c>
      <c r="AU60" s="75">
        <f t="array" ref="AU60:AU75">MMULT(aggregation!$B$28:$AP$33,AU8:AU48)</f>
        <v>18.249360999375764</v>
      </c>
      <c r="AV60" s="75">
        <f t="array" ref="AV60:AV75">MMULT(aggregation!$B$28:$AP$33,AV8:AV48)</f>
        <v>27.777135654667134</v>
      </c>
      <c r="AW60" s="72" t="e">
        <f>Y60</f>
        <v>#REF!</v>
      </c>
      <c r="AX60" s="30">
        <f t="shared" ref="AX60:AX75" si="52">IF(AY60&gt;0,((1+(BA60/AY60))^(1/($A$101-$A$100))-1)*100,0)</f>
        <v>2.5964738060617387</v>
      </c>
      <c r="AY60" s="75">
        <f t="array" ref="AY60:AY75">MMULT(aggregation!$B$28:$AP$33,AY8:AY48)</f>
        <v>133.76328434115098</v>
      </c>
      <c r="AZ60" s="75">
        <f t="array" ref="AZ60:AZ75">MMULT(aggregation!$B$28:$AP$33,AZ8:AZ48)</f>
        <v>2.9837836487827287</v>
      </c>
      <c r="BA60" s="75">
        <f t="array" ref="BA60:BA75">MMULT(aggregation!$B$28:$AP$33,BA8:BA48)</f>
        <v>39.083485919914963</v>
      </c>
      <c r="BB60" s="75">
        <f t="array" ref="BB60:BB75">MMULT(aggregation!$B$28:$AP$33,BB8:BB48)</f>
        <v>42.067269568697697</v>
      </c>
      <c r="BD60" s="30">
        <f t="shared" ref="BD60:BD75" si="53">IF(BE60&gt;0,((1+(BG60/BE60))^(1/($A$101-$A$100))-1)*100,0)</f>
        <v>2.547134735934975</v>
      </c>
      <c r="BE60" s="75">
        <f t="array" ref="BE60:BE75">MMULT(aggregation!$B$28:$AP$33,BE8:BE48)</f>
        <v>38.038082841341755</v>
      </c>
      <c r="BF60" s="75">
        <f t="array" ref="BF60:BF75">MMULT(aggregation!$B$28:$AP$33,BF8:BF48)</f>
        <v>-2.4133097813355744</v>
      </c>
      <c r="BG60" s="75">
        <f t="array" ref="BG60:BG75">MMULT(aggregation!$B$28:$AP$33,BG8:BG48)</f>
        <v>10.878253522030754</v>
      </c>
      <c r="BH60" s="75">
        <f t="array" ref="BH60:BH75">MMULT(aggregation!$B$28:$AP$33,BH8:BH48)</f>
        <v>8.4649437406951797</v>
      </c>
      <c r="BJ60" s="30">
        <f t="shared" ref="BJ60:BJ75" si="54">IF(BK60&gt;0,((1+(BM60/BK60))^(1/($A$101-$A$100))-1)*100,0)</f>
        <v>2.5845775387473902</v>
      </c>
      <c r="BK60" s="75">
        <f t="array" ref="BK60:BK75">MMULT(aggregation!$B$28:$AP$33,BK8:BK48)</f>
        <v>74.411735017406926</v>
      </c>
      <c r="BL60" s="75">
        <f t="array" ref="BL60:BL75">MMULT(aggregation!$B$28:$AP$33,BL8:BL48)</f>
        <v>3.1855192819452687</v>
      </c>
      <c r="BM60" s="75">
        <f t="array" ref="BM60:BM75">MMULT(aggregation!$B$28:$AP$33,BM8:BM48)</f>
        <v>21.630481362749549</v>
      </c>
      <c r="BN60" s="75">
        <f t="array" ref="BN60:BN75">MMULT(aggregation!$B$28:$AP$33,BN8:BN48)</f>
        <v>24.816000644694821</v>
      </c>
      <c r="BO60" s="75"/>
      <c r="BP60" s="30">
        <f t="shared" ref="BP60:BP75" si="55">IF(BQ60&gt;0,((1+(BS60/BQ60))^(1/($A$101-$A$100))-1)*100,0)</f>
        <v>2.7251222269226272</v>
      </c>
      <c r="BQ60" s="75">
        <f t="array" ref="BQ60:BQ75">MMULT(aggregation!$B$28:$AP$33,BQ8:BQ48)</f>
        <v>21.313466482402312</v>
      </c>
      <c r="BR60" s="75">
        <f t="array" ref="BR60:BR75">MMULT(aggregation!$B$28:$AP$33,BR8:BR48)</f>
        <v>2.2115741481730335</v>
      </c>
      <c r="BS60" s="75">
        <f t="array" ref="BS60:BS75">MMULT(aggregation!$B$28:$AP$33,BS8:BS48)</f>
        <v>6.5747510351346579</v>
      </c>
      <c r="BT60" s="75">
        <f t="array" ref="BT60:BT75">MMULT(aggregation!$B$28:$AP$33,BT8:BT48)</f>
        <v>8.7863251833076923</v>
      </c>
      <c r="BU60" s="72" t="e">
        <f>AW60</f>
        <v>#REF!</v>
      </c>
      <c r="BV60" s="30">
        <f t="shared" ref="BV60:BV75" si="56">IF(BW60&gt;0,((1+(BY60/BW60))^(1/($A$101-$A$100))-1)*100,0)</f>
        <v>3.485095393773241</v>
      </c>
      <c r="BW60" s="75">
        <f t="array" ref="BW60:BW75">MMULT(aggregation!$B$28:$AP$33,BW8:BW48)</f>
        <v>65.409196417553474</v>
      </c>
      <c r="BX60" s="75">
        <f t="array" ref="BX60:BX75">MMULT(aggregation!$B$28:$AP$33,BX8:BX48)</f>
        <v>-7.2725784365581729</v>
      </c>
      <c r="BY60" s="75">
        <f t="array" ref="BY60:BY75">MMULT(aggregation!$B$28:$AP$33,BY8:BY48)</f>
        <v>26.724152418105156</v>
      </c>
      <c r="BZ60" s="75">
        <f t="array" ref="BZ60:BZ75">MMULT(aggregation!$B$28:$AP$33,BZ8:BZ48)</f>
        <v>19.451573981546982</v>
      </c>
      <c r="CB60" s="30">
        <f t="shared" ref="CB60:CB75" si="57">IF(CC60&gt;0,((1+(CE60/CC60))^(1/($A$101-$A$100))-1)*100,0)</f>
        <v>3.3945866942973302</v>
      </c>
      <c r="CC60" s="75">
        <f t="array" ref="CC60:CC75">MMULT(aggregation!$B$28:$AP$33,CC8:CC48)</f>
        <v>21.05053288471078</v>
      </c>
      <c r="CD60" s="75">
        <f t="array" ref="CD60:CD75">MMULT(aggregation!$B$28:$AP$33,CD8:CD48)</f>
        <v>-8.6356916223892384</v>
      </c>
      <c r="CE60" s="75">
        <f t="array" ref="CE60:CE75">MMULT(aggregation!$B$28:$AP$33,CE8:CE48)</f>
        <v>8.342277262525851</v>
      </c>
      <c r="CF60" s="75">
        <f t="array" ref="CF60:CF75">MMULT(aggregation!$B$28:$AP$33,CF8:CF48)</f>
        <v>-0.2934143598633871</v>
      </c>
      <c r="CH60" s="30">
        <f t="shared" ref="CH60:CH75" si="58">IF(CI60&gt;0,((1+(CK60/CI60))^(1/($A$101-$A$100))-1)*100,0)</f>
        <v>3.4521857773551767</v>
      </c>
      <c r="CI60" s="75">
        <f t="array" ref="CI60:CI75">MMULT(aggregation!$B$28:$AP$33,CI8:CI48)</f>
        <v>34.546886160025707</v>
      </c>
      <c r="CJ60" s="75">
        <f t="array" ref="CJ60:CJ75">MMULT(aggregation!$B$28:$AP$33,CJ8:CJ48)</f>
        <v>-1.2189766380635714</v>
      </c>
      <c r="CK60" s="75">
        <f t="array" ref="CK60:CK75">MMULT(aggregation!$B$28:$AP$33,CK8:CK48)</f>
        <v>13.96024826295576</v>
      </c>
      <c r="CL60" s="75">
        <f t="array" ref="CL60:CL75">MMULT(aggregation!$B$28:$AP$33,CL8:CL48)</f>
        <v>12.741271624892187</v>
      </c>
      <c r="CM60" s="75"/>
      <c r="CN60" s="30">
        <f t="shared" ref="CN60:CN75" si="59">IF(CO60&gt;0,((1+(CQ60/CO60))^(1/($A$101-$A$100))-1)*100,0)</f>
        <v>3.7901429015048116</v>
      </c>
      <c r="CO60" s="75">
        <f t="array" ref="CO60:CO75">MMULT(aggregation!$B$28:$AP$33,CO8:CO48)</f>
        <v>9.8117773728169944</v>
      </c>
      <c r="CP60" s="75">
        <f t="array" ref="CP60:CP75">MMULT(aggregation!$B$28:$AP$33,CP8:CP48)</f>
        <v>2.5820898238946395</v>
      </c>
      <c r="CQ60" s="75">
        <f t="array" ref="CQ60:CQ75">MMULT(aggregation!$B$28:$AP$33,CQ8:CQ48)</f>
        <v>4.421626892623542</v>
      </c>
      <c r="CR60" s="75">
        <f t="array" ref="CR60:CR75">MMULT(aggregation!$B$28:$AP$33,CR8:CR48)</f>
        <v>7.0037167165181815</v>
      </c>
      <c r="CS60" s="72" t="e">
        <f>BU60</f>
        <v>#REF!</v>
      </c>
      <c r="CT60" s="30">
        <f t="shared" ref="CT60:CT75" si="60">IF(CU60&gt;0,((1+(CW60/CU60))^(1/($A$101-$A$100))-1)*100,0)</f>
        <v>2.6068626107773829</v>
      </c>
      <c r="CU60" s="75">
        <f t="array" ref="CU60:CU75">MMULT(aggregation!$B$28:$AP$33,CU8:CU48)</f>
        <v>57.854771524208537</v>
      </c>
      <c r="CV60" s="75">
        <f t="array" ref="CV60:CV75">MMULT(aggregation!$B$28:$AP$33,CV8:CV48)</f>
        <v>7.2534754986667886</v>
      </c>
      <c r="CW60" s="75">
        <f t="array" ref="CW60:CW75">MMULT(aggregation!$B$28:$AP$33,CW8:CW48)</f>
        <v>16.979970803791471</v>
      </c>
      <c r="CX60" s="75">
        <f t="array" ref="CX60:CX75">MMULT(aggregation!$B$28:$AP$33,CX8:CX48)</f>
        <v>24.233446302458258</v>
      </c>
      <c r="CZ60" s="30">
        <f t="shared" ref="CZ60:CZ75" si="61">IF(DA60&gt;0,((1+(DC60/DA60))^(1/($A$101-$A$100))-1)*100,0)</f>
        <v>2.5796471633499296</v>
      </c>
      <c r="DA60" s="75">
        <f t="array" ref="DA60:DA75">MMULT(aggregation!$B$28:$AP$33,DA8:DA48)</f>
        <v>24.397029178457057</v>
      </c>
      <c r="DB60" s="75">
        <f t="array" ref="DB60:DB75">MMULT(aggregation!$B$28:$AP$33,DB8:DB48)</f>
        <v>-5.1089043474145921</v>
      </c>
      <c r="DC60" s="75">
        <f t="array" ref="DC60:DC75">MMULT(aggregation!$B$28:$AP$33,DC8:DC48)</f>
        <v>7.0767544434361751</v>
      </c>
      <c r="DD60" s="75">
        <f t="array" ref="DD60:DD75">MMULT(aggregation!$B$28:$AP$33,DD8:DD48)</f>
        <v>1.967850096021583</v>
      </c>
      <c r="DF60" s="30">
        <f t="shared" ref="DF60:DF75" si="62">IF(DG60&gt;0,((1+(DI60/DG60))^(1/($A$101-$A$100))-1)*100,0)</f>
        <v>2.5822546806152147</v>
      </c>
      <c r="DG60" s="75">
        <f t="array" ref="DG60:DG75">MMULT(aggregation!$B$28:$AP$33,DG8:DG48)</f>
        <v>27.030998812491621</v>
      </c>
      <c r="DH60" s="75">
        <f t="array" ref="DH60:DH75">MMULT(aggregation!$B$28:$AP$33,DH8:DH48)</f>
        <v>6.0344293953067005</v>
      </c>
      <c r="DI60" s="75">
        <f t="array" ref="DI60:DI75">MMULT(aggregation!$B$28:$AP$33,DI8:DI48)</f>
        <v>7.8496453282949643</v>
      </c>
      <c r="DJ60" s="75">
        <f t="array" ref="DJ60:DJ75">MMULT(aggregation!$B$28:$AP$33,DJ8:DJ48)</f>
        <v>13.884074723601664</v>
      </c>
      <c r="DK60" s="75"/>
      <c r="DL60" s="30">
        <f t="shared" ref="DL60:DL75" si="63">IF(DM60&gt;0,((1+(DO60/DM60))^(1/($A$101-$A$100))-1)*100,0)</f>
        <v>2.8115955969045814</v>
      </c>
      <c r="DM60" s="75">
        <f t="array" ref="DM60:DM75">MMULT(aggregation!$B$28:$AP$33,DM8:DM48)</f>
        <v>6.426743533259863</v>
      </c>
      <c r="DN60" s="75">
        <f t="array" ref="DN60:DN75">MMULT(aggregation!$B$28:$AP$33,DN8:DN48)</f>
        <v>6.3279504507746802</v>
      </c>
      <c r="DO60" s="75">
        <f t="array" ref="DO60:DO75">MMULT(aggregation!$B$28:$AP$33,DO8:DO48)</f>
        <v>2.0535710320603289</v>
      </c>
      <c r="DP60" s="75">
        <f t="array" ref="DP60:DP75">MMULT(aggregation!$B$28:$AP$33,DP8:DP48)</f>
        <v>8.3815214828350086</v>
      </c>
    </row>
    <row r="61" spans="1:120">
      <c r="A61" s="72" t="e">
        <f>name!#REF!</f>
        <v>#REF!</v>
      </c>
      <c r="B61" s="30">
        <f t="shared" si="44"/>
        <v>2.6428578302956751</v>
      </c>
      <c r="C61" s="75">
        <v>1531.9705805222009</v>
      </c>
      <c r="D61" s="75">
        <v>38.373634438141572</v>
      </c>
      <c r="E61" s="75">
        <v>456.58520540961894</v>
      </c>
      <c r="F61" s="75">
        <v>494.95883984776049</v>
      </c>
      <c r="H61" s="30">
        <f t="shared" si="45"/>
        <v>2.4792103651163355</v>
      </c>
      <c r="I61" s="75">
        <v>346.9543032994946</v>
      </c>
      <c r="J61" s="75">
        <v>-71.701267476699215</v>
      </c>
      <c r="K61" s="75">
        <v>96.27654812183178</v>
      </c>
      <c r="L61" s="75">
        <v>24.575280645132562</v>
      </c>
      <c r="N61" s="30">
        <f t="shared" si="46"/>
        <v>2.5614670093909275</v>
      </c>
      <c r="O61" s="75">
        <v>814.35141810968503</v>
      </c>
      <c r="P61" s="75">
        <v>55.745517961636317</v>
      </c>
      <c r="Q61" s="75">
        <v>234.35541894926229</v>
      </c>
      <c r="R61" s="75">
        <v>290.10093691089861</v>
      </c>
      <c r="S61" s="75"/>
      <c r="T61" s="30">
        <f t="shared" si="47"/>
        <v>2.9684351632191186</v>
      </c>
      <c r="U61" s="75">
        <v>370.66485911302107</v>
      </c>
      <c r="V61" s="75">
        <v>54.329383953204463</v>
      </c>
      <c r="W61" s="75">
        <v>125.95323833852494</v>
      </c>
      <c r="X61" s="75">
        <v>180.28262229172944</v>
      </c>
      <c r="Y61" s="72" t="e">
        <f t="shared" ref="Y61:Y75" si="64">A61</f>
        <v>#REF!</v>
      </c>
      <c r="Z61" s="30">
        <f t="shared" si="48"/>
        <v>3.09935723132575</v>
      </c>
      <c r="AA61" s="75">
        <v>449.17774942270398</v>
      </c>
      <c r="AB61" s="75">
        <v>50.084024973176945</v>
      </c>
      <c r="AC61" s="75">
        <v>160.32800726207913</v>
      </c>
      <c r="AD61" s="75">
        <v>210.41203223525608</v>
      </c>
      <c r="AF61" s="30">
        <f t="shared" si="49"/>
        <v>3.0553735251015013</v>
      </c>
      <c r="AG61" s="75">
        <v>43.103207322115679</v>
      </c>
      <c r="AH61" s="75">
        <v>0.19587937567616226</v>
      </c>
      <c r="AI61" s="75">
        <v>15.136073680613812</v>
      </c>
      <c r="AJ61" s="75">
        <v>15.331953056289972</v>
      </c>
      <c r="AL61" s="30">
        <f t="shared" si="50"/>
        <v>3.0511586415955083</v>
      </c>
      <c r="AM61" s="75">
        <v>165.52931783494364</v>
      </c>
      <c r="AN61" s="75">
        <v>19.535586179291034</v>
      </c>
      <c r="AO61" s="75">
        <v>58.035631729329729</v>
      </c>
      <c r="AP61" s="75">
        <v>77.571217908620767</v>
      </c>
      <c r="AQ61" s="75"/>
      <c r="AR61" s="30">
        <f t="shared" si="51"/>
        <v>3.1402482773775109</v>
      </c>
      <c r="AS61" s="75">
        <v>240.54522426564475</v>
      </c>
      <c r="AT61" s="75">
        <v>30.35255941820974</v>
      </c>
      <c r="AU61" s="75">
        <v>87.156301852135613</v>
      </c>
      <c r="AV61" s="75">
        <v>117.50886127034535</v>
      </c>
      <c r="AW61" s="72" t="e">
        <f t="shared" ref="AW61:AW75" si="65">Y61</f>
        <v>#REF!</v>
      </c>
      <c r="AX61" s="30">
        <f t="shared" si="52"/>
        <v>2.5119602836049859</v>
      </c>
      <c r="AY61" s="75">
        <v>382.12363836563554</v>
      </c>
      <c r="AZ61" s="75">
        <v>14.987876400880856</v>
      </c>
      <c r="BA61" s="75">
        <v>107.597993602248</v>
      </c>
      <c r="BB61" s="75">
        <v>122.58587000312885</v>
      </c>
      <c r="BD61" s="30">
        <f t="shared" si="53"/>
        <v>2.4324488727566429</v>
      </c>
      <c r="BE61" s="75">
        <v>68.87792182820661</v>
      </c>
      <c r="BF61" s="75">
        <v>-12.980223779533098</v>
      </c>
      <c r="BG61" s="75">
        <v>18.712292944480623</v>
      </c>
      <c r="BH61" s="75">
        <v>5.7320691649475206</v>
      </c>
      <c r="BJ61" s="30">
        <f t="shared" si="54"/>
        <v>2.4743901795061252</v>
      </c>
      <c r="BK61" s="75">
        <v>227.41154731887079</v>
      </c>
      <c r="BL61" s="75">
        <v>20.277004150306102</v>
      </c>
      <c r="BM61" s="75">
        <v>62.967942886752354</v>
      </c>
      <c r="BN61" s="75">
        <v>83.244947037058452</v>
      </c>
      <c r="BO61" s="75"/>
      <c r="BP61" s="30">
        <f t="shared" si="55"/>
        <v>2.6737634790460207</v>
      </c>
      <c r="BQ61" s="75">
        <v>85.834169218558088</v>
      </c>
      <c r="BR61" s="75">
        <v>7.6910960301078566</v>
      </c>
      <c r="BS61" s="75">
        <v>25.917757771015022</v>
      </c>
      <c r="BT61" s="75">
        <v>33.608853801122876</v>
      </c>
      <c r="BU61" s="72" t="e">
        <f t="shared" ref="BU61:BU75" si="66">AW61</f>
        <v>#REF!</v>
      </c>
      <c r="BV61" s="30">
        <f t="shared" si="56"/>
        <v>2.4273686289485896</v>
      </c>
      <c r="BW61" s="75">
        <v>618.6998990746248</v>
      </c>
      <c r="BX61" s="75">
        <v>-37.145990679902553</v>
      </c>
      <c r="BY61" s="75">
        <v>167.69412219711813</v>
      </c>
      <c r="BZ61" s="75">
        <v>130.54813151721558</v>
      </c>
      <c r="CB61" s="30">
        <f t="shared" si="57"/>
        <v>2.3908219482846826</v>
      </c>
      <c r="CC61" s="75">
        <v>200.76690413153926</v>
      </c>
      <c r="CD61" s="75">
        <v>-51.773551523444716</v>
      </c>
      <c r="CE61" s="75">
        <v>53.507365477367323</v>
      </c>
      <c r="CF61" s="75">
        <v>1.7338139539226114</v>
      </c>
      <c r="CH61" s="30">
        <f t="shared" si="58"/>
        <v>2.4281776316902093</v>
      </c>
      <c r="CI61" s="75">
        <v>377.66885349128535</v>
      </c>
      <c r="CJ61" s="75">
        <v>2.3971579400366365</v>
      </c>
      <c r="CK61" s="75">
        <v>102.40232056245216</v>
      </c>
      <c r="CL61" s="75">
        <v>104.79947850248878</v>
      </c>
      <c r="CM61" s="75"/>
      <c r="CN61" s="30">
        <f t="shared" si="59"/>
        <v>2.6003972395548303</v>
      </c>
      <c r="CO61" s="75">
        <v>40.264141451800178</v>
      </c>
      <c r="CP61" s="75">
        <v>12.230402903505531</v>
      </c>
      <c r="CQ61" s="75">
        <v>11.78443615729863</v>
      </c>
      <c r="CR61" s="75">
        <v>24.014839060804167</v>
      </c>
      <c r="CS61" s="72" t="e">
        <f t="shared" ref="CS61:CS75" si="67">BU61</f>
        <v>#REF!</v>
      </c>
      <c r="CT61" s="30">
        <f t="shared" si="60"/>
        <v>2.3036018395404811</v>
      </c>
      <c r="CU61" s="75">
        <v>81.969293659236243</v>
      </c>
      <c r="CV61" s="75">
        <v>10.447723743986325</v>
      </c>
      <c r="CW61" s="75">
        <v>20.965082348173706</v>
      </c>
      <c r="CX61" s="75">
        <v>31.412806092160039</v>
      </c>
      <c r="CZ61" s="30">
        <f t="shared" si="61"/>
        <v>2.3444837267214247</v>
      </c>
      <c r="DA61" s="75">
        <v>34.206270017633031</v>
      </c>
      <c r="DB61" s="75">
        <v>-7.1433715493975534</v>
      </c>
      <c r="DC61" s="75">
        <v>8.920816019370017</v>
      </c>
      <c r="DD61" s="75">
        <v>1.7774444699724654</v>
      </c>
      <c r="DF61" s="30">
        <f t="shared" si="62"/>
        <v>2.2591547110890398</v>
      </c>
      <c r="DG61" s="75">
        <v>43.741699464585146</v>
      </c>
      <c r="DH61" s="75">
        <v>13.535769692002548</v>
      </c>
      <c r="DI61" s="75">
        <v>10.949523770728023</v>
      </c>
      <c r="DJ61" s="75">
        <v>24.485293462730571</v>
      </c>
      <c r="DK61" s="75"/>
      <c r="DL61" s="30">
        <f t="shared" si="63"/>
        <v>2.4369670928403142</v>
      </c>
      <c r="DM61" s="75">
        <v>4.0213241770180499</v>
      </c>
      <c r="DN61" s="75">
        <v>4.055325601381333</v>
      </c>
      <c r="DO61" s="75">
        <v>1.0947425580756691</v>
      </c>
      <c r="DP61" s="75">
        <v>5.1500681594570024</v>
      </c>
    </row>
    <row r="62" spans="1:120">
      <c r="A62" s="72" t="e">
        <f>name!#REF!</f>
        <v>#REF!</v>
      </c>
      <c r="B62" s="30">
        <f t="shared" si="44"/>
        <v>2.9873927143805101</v>
      </c>
      <c r="C62" s="75">
        <v>223.45199999999954</v>
      </c>
      <c r="D62" s="75">
        <v>16.32099999999997</v>
      </c>
      <c r="E62" s="75">
        <v>76.481434511542574</v>
      </c>
      <c r="F62" s="75">
        <v>92.802434511542543</v>
      </c>
      <c r="H62" s="30">
        <f t="shared" si="45"/>
        <v>2.7027065972447861</v>
      </c>
      <c r="I62" s="75">
        <v>10.129605191491642</v>
      </c>
      <c r="J62" s="75">
        <v>-0.34252249973408699</v>
      </c>
      <c r="K62" s="75">
        <v>3.0958737684558137</v>
      </c>
      <c r="L62" s="75">
        <v>2.753351268721727</v>
      </c>
      <c r="N62" s="30">
        <f t="shared" si="46"/>
        <v>2.7752129639048606</v>
      </c>
      <c r="O62" s="75">
        <v>49.401211396935132</v>
      </c>
      <c r="P62" s="75">
        <v>-7.2343121603684377</v>
      </c>
      <c r="Q62" s="75">
        <v>15.555114540422643</v>
      </c>
      <c r="R62" s="75">
        <v>8.3208023800542072</v>
      </c>
      <c r="S62" s="75"/>
      <c r="T62" s="30">
        <f t="shared" si="47"/>
        <v>3.0678398412407049</v>
      </c>
      <c r="U62" s="75">
        <v>163.92118341157277</v>
      </c>
      <c r="V62" s="75">
        <v>23.897834660102497</v>
      </c>
      <c r="W62" s="75">
        <v>57.830446202664113</v>
      </c>
      <c r="X62" s="75">
        <v>81.72828086276661</v>
      </c>
      <c r="Y62" s="72" t="e">
        <f t="shared" si="64"/>
        <v>#REF!</v>
      </c>
      <c r="Z62" s="30">
        <f t="shared" si="48"/>
        <v>3.115253870350565</v>
      </c>
      <c r="AA62" s="75">
        <v>152.77157011744924</v>
      </c>
      <c r="AB62" s="75">
        <v>23.667742514510199</v>
      </c>
      <c r="AC62" s="75">
        <v>54.849629303140759</v>
      </c>
      <c r="AD62" s="75">
        <v>78.517371817650954</v>
      </c>
      <c r="AF62" s="30">
        <f t="shared" si="49"/>
        <v>2.8153091738603475</v>
      </c>
      <c r="AG62" s="75">
        <v>4.0545970665235638</v>
      </c>
      <c r="AH62" s="75">
        <v>1.1763868580624641</v>
      </c>
      <c r="AI62" s="75">
        <v>1.2975194554462604</v>
      </c>
      <c r="AJ62" s="75">
        <v>2.4739063135087247</v>
      </c>
      <c r="AL62" s="30">
        <f t="shared" si="50"/>
        <v>2.9300260019708757</v>
      </c>
      <c r="AM62" s="75">
        <v>25.201713800358746</v>
      </c>
      <c r="AN62" s="75">
        <v>-0.99571290511587751</v>
      </c>
      <c r="AO62" s="75">
        <v>8.4378921676941143</v>
      </c>
      <c r="AP62" s="75">
        <v>7.4421792625782359</v>
      </c>
      <c r="AQ62" s="75"/>
      <c r="AR62" s="30">
        <f t="shared" si="51"/>
        <v>3.162364541262197</v>
      </c>
      <c r="AS62" s="75">
        <v>123.5152592505669</v>
      </c>
      <c r="AT62" s="75">
        <v>23.487068561563614</v>
      </c>
      <c r="AU62" s="75">
        <v>45.11421768000038</v>
      </c>
      <c r="AV62" s="75">
        <v>68.601286241563997</v>
      </c>
      <c r="AW62" s="72" t="e">
        <f t="shared" si="65"/>
        <v>#REF!</v>
      </c>
      <c r="AX62" s="30">
        <f t="shared" si="52"/>
        <v>2.7074686991907182</v>
      </c>
      <c r="AY62" s="75">
        <v>63.099183012426266</v>
      </c>
      <c r="AZ62" s="75">
        <v>-8.1666011273025987</v>
      </c>
      <c r="BA62" s="75">
        <v>19.322977545320413</v>
      </c>
      <c r="BB62" s="75">
        <v>11.156376418017812</v>
      </c>
      <c r="BD62" s="30">
        <f t="shared" si="53"/>
        <v>2.5809393895366073</v>
      </c>
      <c r="BE62" s="75">
        <v>3.8989278482616347</v>
      </c>
      <c r="BF62" s="75">
        <v>-1.4264888386863785</v>
      </c>
      <c r="BG62" s="75">
        <v>1.13158099277498</v>
      </c>
      <c r="BH62" s="75">
        <v>-0.29490784591139857</v>
      </c>
      <c r="BJ62" s="30">
        <f t="shared" si="54"/>
        <v>2.6099720549441985</v>
      </c>
      <c r="BK62" s="75">
        <v>20.535319575677597</v>
      </c>
      <c r="BL62" s="75">
        <v>-6.6729139331144127</v>
      </c>
      <c r="BM62" s="75">
        <v>6.0350233240421796</v>
      </c>
      <c r="BN62" s="75">
        <v>-0.63789060907223316</v>
      </c>
      <c r="BO62" s="75"/>
      <c r="BP62" s="30">
        <f t="shared" si="55"/>
        <v>2.7715378913155231</v>
      </c>
      <c r="BQ62" s="75">
        <v>38.66493558848704</v>
      </c>
      <c r="BR62" s="75">
        <v>-6.719835550180675E-2</v>
      </c>
      <c r="BS62" s="75">
        <v>12.156373228503252</v>
      </c>
      <c r="BT62" s="75">
        <v>12.089174873001445</v>
      </c>
      <c r="BU62" s="72" t="e">
        <f t="shared" si="66"/>
        <v>#REF!</v>
      </c>
      <c r="BV62" s="30">
        <f t="shared" si="56"/>
        <v>2.6220470512831273</v>
      </c>
      <c r="BW62" s="75">
        <v>5.5023713341610581</v>
      </c>
      <c r="BX62" s="75">
        <v>0.709064831134398</v>
      </c>
      <c r="BY62" s="75">
        <v>1.6254471384354698</v>
      </c>
      <c r="BZ62" s="75">
        <v>2.334511969569868</v>
      </c>
      <c r="CB62" s="30">
        <f t="shared" si="57"/>
        <v>2.5681173483516284</v>
      </c>
      <c r="CC62" s="75">
        <v>1.2121650788045106</v>
      </c>
      <c r="CD62" s="75">
        <v>0.18730291694992937</v>
      </c>
      <c r="CE62" s="75">
        <v>0.3498513913772372</v>
      </c>
      <c r="CF62" s="75">
        <v>0.53715430832716649</v>
      </c>
      <c r="CH62" s="30">
        <f t="shared" si="58"/>
        <v>2.5816875541381901</v>
      </c>
      <c r="CI62" s="75">
        <v>3.0029888388418309</v>
      </c>
      <c r="CJ62" s="75">
        <v>0.29040114785941096</v>
      </c>
      <c r="CK62" s="75">
        <v>0.87183632094087737</v>
      </c>
      <c r="CL62" s="75">
        <v>1.1622374688002883</v>
      </c>
      <c r="CM62" s="75"/>
      <c r="CN62" s="30">
        <f t="shared" si="59"/>
        <v>2.765792391549815</v>
      </c>
      <c r="CO62" s="75">
        <v>1.2872174165147163</v>
      </c>
      <c r="CP62" s="75">
        <v>0.23136076632505748</v>
      </c>
      <c r="CQ62" s="75">
        <v>0.40375942611735538</v>
      </c>
      <c r="CR62" s="75">
        <v>0.6351201924424128</v>
      </c>
      <c r="CS62" s="72" t="e">
        <f t="shared" si="67"/>
        <v>#REF!</v>
      </c>
      <c r="CT62" s="30">
        <f t="shared" si="60"/>
        <v>2.882982269596579</v>
      </c>
      <c r="CU62" s="75">
        <v>2.0788755359629878</v>
      </c>
      <c r="CV62" s="75">
        <v>0.11079378165796983</v>
      </c>
      <c r="CW62" s="75">
        <v>0.68338052464593657</v>
      </c>
      <c r="CX62" s="75">
        <v>0.7941743063039064</v>
      </c>
      <c r="CZ62" s="30">
        <f t="shared" si="61"/>
        <v>2.8834473778163394</v>
      </c>
      <c r="DA62" s="75">
        <v>0.9639151979019317</v>
      </c>
      <c r="DB62" s="75">
        <v>-0.27972343606010208</v>
      </c>
      <c r="DC62" s="75">
        <v>0.31692192885733617</v>
      </c>
      <c r="DD62" s="75">
        <v>3.7198492797234056E-2</v>
      </c>
      <c r="DF62" s="30">
        <f t="shared" si="62"/>
        <v>2.8008609727499634</v>
      </c>
      <c r="DG62" s="75">
        <v>0.66118918205696109</v>
      </c>
      <c r="DH62" s="75">
        <v>0.14391353000244075</v>
      </c>
      <c r="DI62" s="75">
        <v>0.21036272774547143</v>
      </c>
      <c r="DJ62" s="75">
        <v>0.35427625774791216</v>
      </c>
      <c r="DK62" s="75"/>
      <c r="DL62" s="30">
        <f t="shared" si="63"/>
        <v>3.0006170576280633</v>
      </c>
      <c r="DM62" s="75">
        <v>0.45377115600409529</v>
      </c>
      <c r="DN62" s="75">
        <v>0.24660368771563115</v>
      </c>
      <c r="DO62" s="75">
        <v>0.15609586804312911</v>
      </c>
      <c r="DP62" s="75">
        <v>0.40269955575876026</v>
      </c>
    </row>
    <row r="63" spans="1:120">
      <c r="A63" s="72" t="e">
        <f>name!#REF!</f>
        <v>#REF!</v>
      </c>
      <c r="B63" s="30">
        <f t="shared" si="44"/>
        <v>2.8318785937824886</v>
      </c>
      <c r="C63" s="75">
        <v>2280.697111816894</v>
      </c>
      <c r="D63" s="75">
        <v>333.85127836326922</v>
      </c>
      <c r="E63" s="75">
        <v>734.70552907606873</v>
      </c>
      <c r="F63" s="75">
        <v>1068.5568074393379</v>
      </c>
      <c r="H63" s="30">
        <f t="shared" si="45"/>
        <v>2.7549207370162865</v>
      </c>
      <c r="I63" s="75">
        <v>283.04810837105344</v>
      </c>
      <c r="J63" s="75">
        <v>-0.74752589975027828</v>
      </c>
      <c r="K63" s="75">
        <v>88.390071573508365</v>
      </c>
      <c r="L63" s="75">
        <v>87.642545673758079</v>
      </c>
      <c r="N63" s="30">
        <f t="shared" si="46"/>
        <v>2.7471439144256316</v>
      </c>
      <c r="O63" s="75">
        <v>699.77572635201216</v>
      </c>
      <c r="P63" s="75">
        <v>138.82655476432222</v>
      </c>
      <c r="Q63" s="75">
        <v>217.83072664942705</v>
      </c>
      <c r="R63" s="75">
        <v>356.65728141374927</v>
      </c>
      <c r="S63" s="75"/>
      <c r="T63" s="30">
        <f t="shared" si="47"/>
        <v>2.8939541756485054</v>
      </c>
      <c r="U63" s="75">
        <v>1297.8732770938286</v>
      </c>
      <c r="V63" s="75">
        <v>195.77224949869728</v>
      </c>
      <c r="W63" s="75">
        <v>428.48473085313316</v>
      </c>
      <c r="X63" s="75">
        <v>624.25698035183052</v>
      </c>
      <c r="Y63" s="72" t="e">
        <f t="shared" si="64"/>
        <v>#REF!</v>
      </c>
      <c r="Z63" s="30">
        <f t="shared" si="48"/>
        <v>2.8785897697706897</v>
      </c>
      <c r="AA63" s="75">
        <v>1376.3410743701511</v>
      </c>
      <c r="AB63" s="75">
        <v>228.17890869238147</v>
      </c>
      <c r="AC63" s="75">
        <v>451.65852053812984</v>
      </c>
      <c r="AD63" s="75">
        <v>679.83742923051125</v>
      </c>
      <c r="AF63" s="30">
        <f t="shared" si="49"/>
        <v>2.7957231009731576</v>
      </c>
      <c r="AG63" s="75">
        <v>50.44110866811203</v>
      </c>
      <c r="AH63" s="75">
        <v>12.529196374543888</v>
      </c>
      <c r="AI63" s="75">
        <v>16.015026714248812</v>
      </c>
      <c r="AJ63" s="75">
        <v>28.544223088792698</v>
      </c>
      <c r="AL63" s="30">
        <f t="shared" si="50"/>
        <v>2.7886108998469661</v>
      </c>
      <c r="AM63" s="75">
        <v>237.91538858222418</v>
      </c>
      <c r="AN63" s="75">
        <v>57.839439754593094</v>
      </c>
      <c r="AO63" s="75">
        <v>75.321212862289059</v>
      </c>
      <c r="AP63" s="75">
        <v>133.16065261688217</v>
      </c>
      <c r="AQ63" s="75"/>
      <c r="AR63" s="30">
        <f t="shared" si="51"/>
        <v>2.9019926640608151</v>
      </c>
      <c r="AS63" s="75">
        <v>1087.984577119815</v>
      </c>
      <c r="AT63" s="75">
        <v>157.81027256324452</v>
      </c>
      <c r="AU63" s="75">
        <v>360.32228096159196</v>
      </c>
      <c r="AV63" s="75">
        <v>518.13255352483634</v>
      </c>
      <c r="AW63" s="72" t="e">
        <f t="shared" si="65"/>
        <v>#REF!</v>
      </c>
      <c r="AX63" s="30">
        <f t="shared" si="52"/>
        <v>2.6424249686811008</v>
      </c>
      <c r="AY63" s="75">
        <v>523.22518477326673</v>
      </c>
      <c r="AZ63" s="75">
        <v>52.913801027885178</v>
      </c>
      <c r="BA63" s="75">
        <v>155.91226381320303</v>
      </c>
      <c r="BB63" s="75">
        <v>208.82606484108817</v>
      </c>
      <c r="BD63" s="30">
        <f t="shared" si="53"/>
        <v>2.5567595525065601</v>
      </c>
      <c r="BE63" s="75">
        <v>71.038062853520373</v>
      </c>
      <c r="BF63" s="75">
        <v>-0.99683372471191745</v>
      </c>
      <c r="BG63" s="75">
        <v>20.401472725463666</v>
      </c>
      <c r="BH63" s="75">
        <v>19.40463900075175</v>
      </c>
      <c r="BJ63" s="30">
        <f t="shared" si="54"/>
        <v>2.5991209312550723</v>
      </c>
      <c r="BK63" s="75">
        <v>287.37783213184116</v>
      </c>
      <c r="BL63" s="75">
        <v>26.153950013495834</v>
      </c>
      <c r="BM63" s="75">
        <v>84.063015645700077</v>
      </c>
      <c r="BN63" s="75">
        <v>110.21696565919591</v>
      </c>
      <c r="BO63" s="75"/>
      <c r="BP63" s="30">
        <f t="shared" si="55"/>
        <v>2.7540294923941611</v>
      </c>
      <c r="BQ63" s="75">
        <v>164.80928978790524</v>
      </c>
      <c r="BR63" s="75">
        <v>27.756684739101249</v>
      </c>
      <c r="BS63" s="75">
        <v>51.44777544203928</v>
      </c>
      <c r="BT63" s="75">
        <v>79.204460181140519</v>
      </c>
      <c r="BU63" s="72" t="e">
        <f t="shared" si="66"/>
        <v>#REF!</v>
      </c>
      <c r="BV63" s="30">
        <f t="shared" si="56"/>
        <v>3.0340414804767457</v>
      </c>
      <c r="BW63" s="75">
        <v>85.622354303695573</v>
      </c>
      <c r="BX63" s="75">
        <v>25.553340948968874</v>
      </c>
      <c r="BY63" s="75">
        <v>29.827799955063963</v>
      </c>
      <c r="BZ63" s="75">
        <v>55.38114090403284</v>
      </c>
      <c r="CB63" s="30">
        <f t="shared" si="57"/>
        <v>2.8104311558199369</v>
      </c>
      <c r="CC63" s="75">
        <v>30.284463826404377</v>
      </c>
      <c r="CD63" s="75">
        <v>8.1375545884132379</v>
      </c>
      <c r="CE63" s="75">
        <v>9.6724276046623192</v>
      </c>
      <c r="CF63" s="75">
        <v>17.809982193075562</v>
      </c>
      <c r="CH63" s="30">
        <f t="shared" si="58"/>
        <v>3.032601937255075</v>
      </c>
      <c r="CI63" s="75">
        <v>41.892604481564547</v>
      </c>
      <c r="CJ63" s="75">
        <v>15.854631919648618</v>
      </c>
      <c r="CK63" s="75">
        <v>14.586010214101943</v>
      </c>
      <c r="CL63" s="75">
        <v>30.440642133750558</v>
      </c>
      <c r="CM63" s="75"/>
      <c r="CN63" s="30">
        <f t="shared" si="59"/>
        <v>3.5265698752577679</v>
      </c>
      <c r="CO63" s="75">
        <v>13.445285995726644</v>
      </c>
      <c r="CP63" s="75">
        <v>1.5611544409070162</v>
      </c>
      <c r="CQ63" s="75">
        <v>5.569362136299703</v>
      </c>
      <c r="CR63" s="75">
        <v>7.1305165772067181</v>
      </c>
      <c r="CS63" s="72" t="e">
        <f t="shared" si="67"/>
        <v>#REF!</v>
      </c>
      <c r="CT63" s="30">
        <f t="shared" si="60"/>
        <v>2.8873206920158934</v>
      </c>
      <c r="CU63" s="75">
        <v>295.50849836978091</v>
      </c>
      <c r="CV63" s="75">
        <v>27.205227694033695</v>
      </c>
      <c r="CW63" s="75">
        <v>97.30694476967183</v>
      </c>
      <c r="CX63" s="75">
        <v>124.51217246370554</v>
      </c>
      <c r="CZ63" s="30">
        <f t="shared" si="61"/>
        <v>2.8324154996547835</v>
      </c>
      <c r="DA63" s="75">
        <v>131.28447302301666</v>
      </c>
      <c r="DB63" s="75">
        <v>-20.417443137995487</v>
      </c>
      <c r="DC63" s="75">
        <v>42.301144529133552</v>
      </c>
      <c r="DD63" s="75">
        <v>21.883701391138072</v>
      </c>
      <c r="DF63" s="30">
        <f t="shared" si="62"/>
        <v>2.8990149638167262</v>
      </c>
      <c r="DG63" s="75">
        <v>132.58990115638235</v>
      </c>
      <c r="DH63" s="75">
        <v>38.978533076584675</v>
      </c>
      <c r="DI63" s="75">
        <v>43.860487927335967</v>
      </c>
      <c r="DJ63" s="75">
        <v>82.839021003920635</v>
      </c>
      <c r="DK63" s="75"/>
      <c r="DL63" s="30">
        <f t="shared" si="63"/>
        <v>3.0642208582672747</v>
      </c>
      <c r="DM63" s="75">
        <v>31.634124190381911</v>
      </c>
      <c r="DN63" s="75">
        <v>8.6441377554445076</v>
      </c>
      <c r="DO63" s="75">
        <v>11.145312313202311</v>
      </c>
      <c r="DP63" s="75">
        <v>19.789450068646818</v>
      </c>
    </row>
    <row r="64" spans="1:120">
      <c r="A64" s="72" t="e">
        <f>name!#REF!</f>
        <v>#REF!</v>
      </c>
      <c r="B64" s="30">
        <f t="shared" si="44"/>
        <v>2.8169915417421754</v>
      </c>
      <c r="C64" s="75">
        <v>158.75130574877755</v>
      </c>
      <c r="D64" s="75">
        <v>31.053175488358242</v>
      </c>
      <c r="E64" s="75">
        <v>50.836604439456309</v>
      </c>
      <c r="F64" s="75">
        <v>81.889779927814544</v>
      </c>
      <c r="H64" s="30">
        <f t="shared" si="45"/>
        <v>2.7131406842493488</v>
      </c>
      <c r="I64" s="75">
        <v>37.269430586923946</v>
      </c>
      <c r="J64" s="75">
        <v>2.0080357660646397</v>
      </c>
      <c r="K64" s="75">
        <v>11.439976930786587</v>
      </c>
      <c r="L64" s="75">
        <v>13.448012696851226</v>
      </c>
      <c r="N64" s="30">
        <f t="shared" si="46"/>
        <v>2.6835187325179533</v>
      </c>
      <c r="O64" s="75">
        <v>64.168727676686729</v>
      </c>
      <c r="P64" s="75">
        <v>9.648746828409589</v>
      </c>
      <c r="Q64" s="75">
        <v>19.45525621806194</v>
      </c>
      <c r="R64" s="75">
        <v>29.104003046471529</v>
      </c>
      <c r="S64" s="75"/>
      <c r="T64" s="30">
        <f t="shared" si="47"/>
        <v>3.0307741956072665</v>
      </c>
      <c r="U64" s="75">
        <v>57.313147485166859</v>
      </c>
      <c r="V64" s="75">
        <v>19.396392893884016</v>
      </c>
      <c r="W64" s="75">
        <v>19.941371290607766</v>
      </c>
      <c r="X64" s="75">
        <v>39.337764184491782</v>
      </c>
      <c r="Y64" s="72" t="e">
        <f t="shared" si="64"/>
        <v>#REF!</v>
      </c>
      <c r="Z64" s="30">
        <f t="shared" si="48"/>
        <v>3.0844034831169376</v>
      </c>
      <c r="AA64" s="75">
        <v>54.043501876163091</v>
      </c>
      <c r="AB64" s="75">
        <v>16.838248878570081</v>
      </c>
      <c r="AC64" s="75">
        <v>19.18381203425853</v>
      </c>
      <c r="AD64" s="75">
        <v>36.022060912828607</v>
      </c>
      <c r="AF64" s="30">
        <f t="shared" si="49"/>
        <v>3.0687126992563263</v>
      </c>
      <c r="AG64" s="75">
        <v>2.872339077635929</v>
      </c>
      <c r="AH64" s="75">
        <v>0.88105911598627318</v>
      </c>
      <c r="AI64" s="75">
        <v>1.0136737094918047</v>
      </c>
      <c r="AJ64" s="75">
        <v>1.8947328254780778</v>
      </c>
      <c r="AL64" s="30">
        <f t="shared" si="50"/>
        <v>2.9854531104971826</v>
      </c>
      <c r="AM64" s="75">
        <v>8.4616752757594771</v>
      </c>
      <c r="AN64" s="75">
        <v>0.5129240985808613</v>
      </c>
      <c r="AO64" s="75">
        <v>2.8940583365838495</v>
      </c>
      <c r="AP64" s="75">
        <v>3.4069824351647107</v>
      </c>
      <c r="AQ64" s="75"/>
      <c r="AR64" s="30">
        <f t="shared" si="51"/>
        <v>3.1049593059016889</v>
      </c>
      <c r="AS64" s="75">
        <v>42.709487522767688</v>
      </c>
      <c r="AT64" s="75">
        <v>15.444265664002945</v>
      </c>
      <c r="AU64" s="75">
        <v>15.276079988182877</v>
      </c>
      <c r="AV64" s="75">
        <v>30.72034565218582</v>
      </c>
      <c r="AW64" s="72" t="e">
        <f t="shared" si="65"/>
        <v>#REF!</v>
      </c>
      <c r="AX64" s="30">
        <f t="shared" si="52"/>
        <v>2.6049805214462873</v>
      </c>
      <c r="AY64" s="75">
        <v>67.279720597550053</v>
      </c>
      <c r="AZ64" s="75">
        <v>-1.7061260839949342</v>
      </c>
      <c r="BA64" s="75">
        <v>19.73016584504331</v>
      </c>
      <c r="BB64" s="75">
        <v>18.024039761048375</v>
      </c>
      <c r="BD64" s="30">
        <f t="shared" si="53"/>
        <v>2.5409532368865007</v>
      </c>
      <c r="BE64" s="75">
        <v>14.926976334729311</v>
      </c>
      <c r="BF64" s="75">
        <v>-1.3830273865244627</v>
      </c>
      <c r="BG64" s="75">
        <v>4.2572967639145958</v>
      </c>
      <c r="BH64" s="75">
        <v>2.8742693773901333</v>
      </c>
      <c r="BJ64" s="30">
        <f t="shared" si="54"/>
        <v>2.5796718808031471</v>
      </c>
      <c r="BK64" s="75">
        <v>40.385319730226364</v>
      </c>
      <c r="BL64" s="75">
        <v>-0.75084702548436888</v>
      </c>
      <c r="BM64" s="75">
        <v>11.714543255967428</v>
      </c>
      <c r="BN64" s="75">
        <v>10.963696230483059</v>
      </c>
      <c r="BO64" s="75"/>
      <c r="BP64" s="30">
        <f t="shared" si="55"/>
        <v>2.7687485385664345</v>
      </c>
      <c r="BQ64" s="75">
        <v>11.967424532594377</v>
      </c>
      <c r="BR64" s="75">
        <v>0.42774832801389723</v>
      </c>
      <c r="BS64" s="75">
        <v>3.7583258251612852</v>
      </c>
      <c r="BT64" s="75">
        <v>4.1860741531751824</v>
      </c>
      <c r="BU64" s="72" t="e">
        <f t="shared" si="66"/>
        <v>#REF!</v>
      </c>
      <c r="BV64" s="30">
        <f t="shared" si="56"/>
        <v>2.518201489640326</v>
      </c>
      <c r="BW64" s="75">
        <v>11.027664527945932</v>
      </c>
      <c r="BX64" s="75">
        <v>1.3879359269084375</v>
      </c>
      <c r="BY64" s="75">
        <v>3.1137656010156576</v>
      </c>
      <c r="BZ64" s="75">
        <v>4.5017015279240953</v>
      </c>
      <c r="CB64" s="30">
        <f t="shared" si="57"/>
        <v>2.4600010102901804</v>
      </c>
      <c r="CC64" s="75">
        <v>4.6043551889988352</v>
      </c>
      <c r="CD64" s="75">
        <v>-9.4762721156135488E-2</v>
      </c>
      <c r="CE64" s="75">
        <v>1.2666488182504458</v>
      </c>
      <c r="CF64" s="75">
        <v>1.1718860970943104</v>
      </c>
      <c r="CH64" s="30">
        <f t="shared" si="58"/>
        <v>2.5135092689739569</v>
      </c>
      <c r="CI64" s="75">
        <v>5.3897928205850842</v>
      </c>
      <c r="CJ64" s="75">
        <v>0.93986804735963958</v>
      </c>
      <c r="CK64" s="75">
        <v>1.5186963016257615</v>
      </c>
      <c r="CL64" s="75">
        <v>2.458564348985401</v>
      </c>
      <c r="CM64" s="75"/>
      <c r="CN64" s="30">
        <f t="shared" si="59"/>
        <v>2.7978329732376128</v>
      </c>
      <c r="CO64" s="75">
        <v>1.0335165183620134</v>
      </c>
      <c r="CP64" s="75">
        <v>0.5428306007049335</v>
      </c>
      <c r="CQ64" s="75">
        <v>0.32842048113944977</v>
      </c>
      <c r="CR64" s="75">
        <v>0.87125108184438327</v>
      </c>
      <c r="CS64" s="72" t="e">
        <f t="shared" si="67"/>
        <v>#REF!</v>
      </c>
      <c r="CT64" s="30">
        <f t="shared" si="60"/>
        <v>2.9211505487475975</v>
      </c>
      <c r="CU64" s="75">
        <v>26.400418747118454</v>
      </c>
      <c r="CV64" s="75">
        <v>14.533116766874658</v>
      </c>
      <c r="CW64" s="75">
        <v>8.8088609591388032</v>
      </c>
      <c r="CX64" s="75">
        <v>23.341977726013461</v>
      </c>
      <c r="CZ64" s="30">
        <f t="shared" si="61"/>
        <v>2.8911023071172881</v>
      </c>
      <c r="DA64" s="75">
        <v>14.865759985559873</v>
      </c>
      <c r="DB64" s="75">
        <v>2.6047667577589646</v>
      </c>
      <c r="DC64" s="75">
        <v>4.9023576391297414</v>
      </c>
      <c r="DD64" s="75">
        <v>7.507124396888706</v>
      </c>
      <c r="DF64" s="30">
        <f t="shared" si="62"/>
        <v>2.9320472834624356</v>
      </c>
      <c r="DG64" s="75">
        <v>9.9319398501158016</v>
      </c>
      <c r="DH64" s="75">
        <v>8.9468017079534565</v>
      </c>
      <c r="DI64" s="75">
        <v>3.3279583238849022</v>
      </c>
      <c r="DJ64" s="75">
        <v>12.274760031838358</v>
      </c>
      <c r="DK64" s="75"/>
      <c r="DL64" s="30">
        <f t="shared" si="63"/>
        <v>3.1300160142738953</v>
      </c>
      <c r="DM64" s="75">
        <v>1.6027189114427818</v>
      </c>
      <c r="DN64" s="75">
        <v>2.981548301162237</v>
      </c>
      <c r="DO64" s="75">
        <v>0.57854499612415899</v>
      </c>
      <c r="DP64" s="75">
        <v>3.5600932972863961</v>
      </c>
    </row>
    <row r="65" spans="1:120">
      <c r="A65" s="72" t="e">
        <f>name!#REF!</f>
        <v>#REF!</v>
      </c>
      <c r="B65" s="30">
        <f t="shared" si="44"/>
        <v>0</v>
      </c>
      <c r="C65" s="75">
        <v>0</v>
      </c>
      <c r="D65" s="75">
        <v>0</v>
      </c>
      <c r="E65" s="75">
        <v>0</v>
      </c>
      <c r="F65" s="75">
        <v>0</v>
      </c>
      <c r="H65" s="30">
        <f t="shared" si="45"/>
        <v>0</v>
      </c>
      <c r="I65" s="75">
        <v>0</v>
      </c>
      <c r="J65" s="75">
        <v>0</v>
      </c>
      <c r="K65" s="75">
        <v>0</v>
      </c>
      <c r="L65" s="75">
        <v>0</v>
      </c>
      <c r="N65" s="30">
        <f t="shared" si="46"/>
        <v>0</v>
      </c>
      <c r="O65" s="75">
        <v>0</v>
      </c>
      <c r="P65" s="75">
        <v>0</v>
      </c>
      <c r="Q65" s="75">
        <v>0</v>
      </c>
      <c r="R65" s="75">
        <v>0</v>
      </c>
      <c r="S65" s="75"/>
      <c r="T65" s="30">
        <f t="shared" si="47"/>
        <v>0</v>
      </c>
      <c r="U65" s="75">
        <v>0</v>
      </c>
      <c r="V65" s="75">
        <v>0</v>
      </c>
      <c r="W65" s="75">
        <v>0</v>
      </c>
      <c r="X65" s="75">
        <v>0</v>
      </c>
      <c r="Y65" s="72" t="e">
        <f t="shared" si="64"/>
        <v>#REF!</v>
      </c>
      <c r="Z65" s="30">
        <f t="shared" si="48"/>
        <v>0</v>
      </c>
      <c r="AA65" s="75">
        <v>0</v>
      </c>
      <c r="AB65" s="75">
        <v>0</v>
      </c>
      <c r="AC65" s="75">
        <v>0</v>
      </c>
      <c r="AD65" s="75">
        <v>0</v>
      </c>
      <c r="AF65" s="30">
        <f t="shared" si="49"/>
        <v>0</v>
      </c>
      <c r="AG65" s="75">
        <v>0</v>
      </c>
      <c r="AH65" s="75">
        <v>0</v>
      </c>
      <c r="AI65" s="75">
        <v>0</v>
      </c>
      <c r="AJ65" s="75">
        <v>0</v>
      </c>
      <c r="AL65" s="30">
        <f t="shared" si="50"/>
        <v>0</v>
      </c>
      <c r="AM65" s="75">
        <v>0</v>
      </c>
      <c r="AN65" s="75">
        <v>0</v>
      </c>
      <c r="AO65" s="75">
        <v>0</v>
      </c>
      <c r="AP65" s="75">
        <v>0</v>
      </c>
      <c r="AQ65" s="75"/>
      <c r="AR65" s="30">
        <f t="shared" si="51"/>
        <v>0</v>
      </c>
      <c r="AS65" s="75">
        <v>0</v>
      </c>
      <c r="AT65" s="75">
        <v>0</v>
      </c>
      <c r="AU65" s="75">
        <v>0</v>
      </c>
      <c r="AV65" s="75">
        <v>0</v>
      </c>
      <c r="AW65" s="72" t="e">
        <f t="shared" si="65"/>
        <v>#REF!</v>
      </c>
      <c r="AX65" s="30">
        <f t="shared" si="52"/>
        <v>0</v>
      </c>
      <c r="AY65" s="75">
        <v>0</v>
      </c>
      <c r="AZ65" s="75">
        <v>0</v>
      </c>
      <c r="BA65" s="75">
        <v>0</v>
      </c>
      <c r="BB65" s="75">
        <v>0</v>
      </c>
      <c r="BD65" s="30">
        <f t="shared" si="53"/>
        <v>0</v>
      </c>
      <c r="BE65" s="75">
        <v>0</v>
      </c>
      <c r="BF65" s="75">
        <v>0</v>
      </c>
      <c r="BG65" s="75">
        <v>0</v>
      </c>
      <c r="BH65" s="75">
        <v>0</v>
      </c>
      <c r="BJ65" s="30">
        <f t="shared" si="54"/>
        <v>0</v>
      </c>
      <c r="BK65" s="75">
        <v>0</v>
      </c>
      <c r="BL65" s="75">
        <v>0</v>
      </c>
      <c r="BM65" s="75">
        <v>0</v>
      </c>
      <c r="BN65" s="75">
        <v>0</v>
      </c>
      <c r="BO65" s="75"/>
      <c r="BP65" s="30">
        <f t="shared" si="55"/>
        <v>0</v>
      </c>
      <c r="BQ65" s="75">
        <v>0</v>
      </c>
      <c r="BR65" s="75">
        <v>0</v>
      </c>
      <c r="BS65" s="75">
        <v>0</v>
      </c>
      <c r="BT65" s="75">
        <v>0</v>
      </c>
      <c r="BU65" s="72" t="e">
        <f t="shared" si="66"/>
        <v>#REF!</v>
      </c>
      <c r="BV65" s="30">
        <f t="shared" si="56"/>
        <v>0</v>
      </c>
      <c r="BW65" s="75">
        <v>0</v>
      </c>
      <c r="BX65" s="75">
        <v>0</v>
      </c>
      <c r="BY65" s="75">
        <v>0</v>
      </c>
      <c r="BZ65" s="75">
        <v>0</v>
      </c>
      <c r="CB65" s="30">
        <f t="shared" si="57"/>
        <v>0</v>
      </c>
      <c r="CC65" s="75">
        <v>0</v>
      </c>
      <c r="CD65" s="75">
        <v>0</v>
      </c>
      <c r="CE65" s="75">
        <v>0</v>
      </c>
      <c r="CF65" s="75">
        <v>0</v>
      </c>
      <c r="CH65" s="30">
        <f t="shared" si="58"/>
        <v>0</v>
      </c>
      <c r="CI65" s="75">
        <v>0</v>
      </c>
      <c r="CJ65" s="75">
        <v>0</v>
      </c>
      <c r="CK65" s="75">
        <v>0</v>
      </c>
      <c r="CL65" s="75">
        <v>0</v>
      </c>
      <c r="CM65" s="75"/>
      <c r="CN65" s="30">
        <f t="shared" si="59"/>
        <v>0</v>
      </c>
      <c r="CO65" s="75">
        <v>0</v>
      </c>
      <c r="CP65" s="75">
        <v>0</v>
      </c>
      <c r="CQ65" s="75">
        <v>0</v>
      </c>
      <c r="CR65" s="75">
        <v>0</v>
      </c>
      <c r="CS65" s="72" t="e">
        <f t="shared" si="67"/>
        <v>#REF!</v>
      </c>
      <c r="CT65" s="30">
        <f t="shared" si="60"/>
        <v>0</v>
      </c>
      <c r="CU65" s="75">
        <v>0</v>
      </c>
      <c r="CV65" s="75">
        <v>0</v>
      </c>
      <c r="CW65" s="75">
        <v>0</v>
      </c>
      <c r="CX65" s="75">
        <v>0</v>
      </c>
      <c r="CZ65" s="30">
        <f t="shared" si="61"/>
        <v>0</v>
      </c>
      <c r="DA65" s="75">
        <v>0</v>
      </c>
      <c r="DB65" s="75">
        <v>0</v>
      </c>
      <c r="DC65" s="75">
        <v>0</v>
      </c>
      <c r="DD65" s="75">
        <v>0</v>
      </c>
      <c r="DF65" s="30">
        <f t="shared" si="62"/>
        <v>0</v>
      </c>
      <c r="DG65" s="75">
        <v>0</v>
      </c>
      <c r="DH65" s="75">
        <v>0</v>
      </c>
      <c r="DI65" s="75">
        <v>0</v>
      </c>
      <c r="DJ65" s="75">
        <v>0</v>
      </c>
      <c r="DK65" s="75"/>
      <c r="DL65" s="30">
        <f t="shared" si="63"/>
        <v>0</v>
      </c>
      <c r="DM65" s="75">
        <v>0</v>
      </c>
      <c r="DN65" s="75">
        <v>0</v>
      </c>
      <c r="DO65" s="75">
        <v>0</v>
      </c>
      <c r="DP65" s="75">
        <v>0</v>
      </c>
    </row>
    <row r="66" spans="1:120">
      <c r="A66" s="72" t="e">
        <f>name!#REF!</f>
        <v>#REF!</v>
      </c>
      <c r="B66" s="30" t="e">
        <f t="shared" si="44"/>
        <v>#N/A</v>
      </c>
      <c r="C66" s="75" t="e">
        <v>#N/A</v>
      </c>
      <c r="D66" s="75" t="e">
        <v>#N/A</v>
      </c>
      <c r="E66" s="75" t="e">
        <v>#N/A</v>
      </c>
      <c r="F66" s="75" t="e">
        <v>#N/A</v>
      </c>
      <c r="H66" s="30" t="e">
        <f t="shared" si="45"/>
        <v>#N/A</v>
      </c>
      <c r="I66" s="75" t="e">
        <v>#N/A</v>
      </c>
      <c r="J66" s="75" t="e">
        <v>#N/A</v>
      </c>
      <c r="K66" s="75" t="e">
        <v>#N/A</v>
      </c>
      <c r="L66" s="75" t="e">
        <v>#N/A</v>
      </c>
      <c r="N66" s="30" t="e">
        <f t="shared" si="46"/>
        <v>#N/A</v>
      </c>
      <c r="O66" s="75" t="e">
        <v>#N/A</v>
      </c>
      <c r="P66" s="75" t="e">
        <v>#N/A</v>
      </c>
      <c r="Q66" s="75" t="e">
        <v>#N/A</v>
      </c>
      <c r="R66" s="75" t="e">
        <v>#N/A</v>
      </c>
      <c r="S66" s="75"/>
      <c r="T66" s="30" t="e">
        <f t="shared" si="47"/>
        <v>#N/A</v>
      </c>
      <c r="U66" s="75" t="e">
        <v>#N/A</v>
      </c>
      <c r="V66" s="75" t="e">
        <v>#N/A</v>
      </c>
      <c r="W66" s="75" t="e">
        <v>#N/A</v>
      </c>
      <c r="X66" s="75" t="e">
        <v>#N/A</v>
      </c>
      <c r="Y66" s="72" t="e">
        <f t="shared" si="64"/>
        <v>#REF!</v>
      </c>
      <c r="Z66" s="30" t="e">
        <f t="shared" si="48"/>
        <v>#N/A</v>
      </c>
      <c r="AA66" s="75" t="e">
        <v>#N/A</v>
      </c>
      <c r="AB66" s="75" t="e">
        <v>#N/A</v>
      </c>
      <c r="AC66" s="75" t="e">
        <v>#N/A</v>
      </c>
      <c r="AD66" s="75" t="e">
        <v>#N/A</v>
      </c>
      <c r="AF66" s="30" t="e">
        <f t="shared" si="49"/>
        <v>#N/A</v>
      </c>
      <c r="AG66" s="75" t="e">
        <v>#N/A</v>
      </c>
      <c r="AH66" s="75" t="e">
        <v>#N/A</v>
      </c>
      <c r="AI66" s="75" t="e">
        <v>#N/A</v>
      </c>
      <c r="AJ66" s="75" t="e">
        <v>#N/A</v>
      </c>
      <c r="AL66" s="30" t="e">
        <f t="shared" si="50"/>
        <v>#N/A</v>
      </c>
      <c r="AM66" s="75" t="e">
        <v>#N/A</v>
      </c>
      <c r="AN66" s="75" t="e">
        <v>#N/A</v>
      </c>
      <c r="AO66" s="75" t="e">
        <v>#N/A</v>
      </c>
      <c r="AP66" s="75" t="e">
        <v>#N/A</v>
      </c>
      <c r="AQ66" s="75"/>
      <c r="AR66" s="30" t="e">
        <f t="shared" si="51"/>
        <v>#N/A</v>
      </c>
      <c r="AS66" s="75" t="e">
        <v>#N/A</v>
      </c>
      <c r="AT66" s="75" t="e">
        <v>#N/A</v>
      </c>
      <c r="AU66" s="75" t="e">
        <v>#N/A</v>
      </c>
      <c r="AV66" s="75" t="e">
        <v>#N/A</v>
      </c>
      <c r="AW66" s="72" t="e">
        <f t="shared" si="65"/>
        <v>#REF!</v>
      </c>
      <c r="AX66" s="30" t="e">
        <f t="shared" si="52"/>
        <v>#N/A</v>
      </c>
      <c r="AY66" s="75" t="e">
        <v>#N/A</v>
      </c>
      <c r="AZ66" s="75" t="e">
        <v>#N/A</v>
      </c>
      <c r="BA66" s="75" t="e">
        <v>#N/A</v>
      </c>
      <c r="BB66" s="75" t="e">
        <v>#N/A</v>
      </c>
      <c r="BD66" s="30" t="e">
        <f t="shared" si="53"/>
        <v>#N/A</v>
      </c>
      <c r="BE66" s="75" t="e">
        <v>#N/A</v>
      </c>
      <c r="BF66" s="75" t="e">
        <v>#N/A</v>
      </c>
      <c r="BG66" s="75" t="e">
        <v>#N/A</v>
      </c>
      <c r="BH66" s="75" t="e">
        <v>#N/A</v>
      </c>
      <c r="BJ66" s="30" t="e">
        <f t="shared" si="54"/>
        <v>#N/A</v>
      </c>
      <c r="BK66" s="75" t="e">
        <v>#N/A</v>
      </c>
      <c r="BL66" s="75" t="e">
        <v>#N/A</v>
      </c>
      <c r="BM66" s="75" t="e">
        <v>#N/A</v>
      </c>
      <c r="BN66" s="75" t="e">
        <v>#N/A</v>
      </c>
      <c r="BO66" s="75"/>
      <c r="BP66" s="30" t="e">
        <f t="shared" si="55"/>
        <v>#N/A</v>
      </c>
      <c r="BQ66" s="75" t="e">
        <v>#N/A</v>
      </c>
      <c r="BR66" s="75" t="e">
        <v>#N/A</v>
      </c>
      <c r="BS66" s="75" t="e">
        <v>#N/A</v>
      </c>
      <c r="BT66" s="75" t="e">
        <v>#N/A</v>
      </c>
      <c r="BU66" s="72" t="e">
        <f t="shared" si="66"/>
        <v>#REF!</v>
      </c>
      <c r="BV66" s="30" t="e">
        <f t="shared" si="56"/>
        <v>#N/A</v>
      </c>
      <c r="BW66" s="75" t="e">
        <v>#N/A</v>
      </c>
      <c r="BX66" s="75" t="e">
        <v>#N/A</v>
      </c>
      <c r="BY66" s="75" t="e">
        <v>#N/A</v>
      </c>
      <c r="BZ66" s="75" t="e">
        <v>#N/A</v>
      </c>
      <c r="CB66" s="30" t="e">
        <f t="shared" si="57"/>
        <v>#N/A</v>
      </c>
      <c r="CC66" s="75" t="e">
        <v>#N/A</v>
      </c>
      <c r="CD66" s="75" t="e">
        <v>#N/A</v>
      </c>
      <c r="CE66" s="75" t="e">
        <v>#N/A</v>
      </c>
      <c r="CF66" s="75" t="e">
        <v>#N/A</v>
      </c>
      <c r="CH66" s="30" t="e">
        <f t="shared" si="58"/>
        <v>#N/A</v>
      </c>
      <c r="CI66" s="75" t="e">
        <v>#N/A</v>
      </c>
      <c r="CJ66" s="75" t="e">
        <v>#N/A</v>
      </c>
      <c r="CK66" s="75" t="e">
        <v>#N/A</v>
      </c>
      <c r="CL66" s="75" t="e">
        <v>#N/A</v>
      </c>
      <c r="CM66" s="75"/>
      <c r="CN66" s="30" t="e">
        <f t="shared" si="59"/>
        <v>#N/A</v>
      </c>
      <c r="CO66" s="75" t="e">
        <v>#N/A</v>
      </c>
      <c r="CP66" s="75" t="e">
        <v>#N/A</v>
      </c>
      <c r="CQ66" s="75" t="e">
        <v>#N/A</v>
      </c>
      <c r="CR66" s="75" t="e">
        <v>#N/A</v>
      </c>
      <c r="CS66" s="72" t="e">
        <f t="shared" si="67"/>
        <v>#REF!</v>
      </c>
      <c r="CT66" s="30" t="e">
        <f t="shared" si="60"/>
        <v>#N/A</v>
      </c>
      <c r="CU66" s="75" t="e">
        <v>#N/A</v>
      </c>
      <c r="CV66" s="75" t="e">
        <v>#N/A</v>
      </c>
      <c r="CW66" s="75" t="e">
        <v>#N/A</v>
      </c>
      <c r="CX66" s="75" t="e">
        <v>#N/A</v>
      </c>
      <c r="CZ66" s="30" t="e">
        <f t="shared" si="61"/>
        <v>#N/A</v>
      </c>
      <c r="DA66" s="75" t="e">
        <v>#N/A</v>
      </c>
      <c r="DB66" s="75" t="e">
        <v>#N/A</v>
      </c>
      <c r="DC66" s="75" t="e">
        <v>#N/A</v>
      </c>
      <c r="DD66" s="75" t="e">
        <v>#N/A</v>
      </c>
      <c r="DF66" s="30" t="e">
        <f t="shared" si="62"/>
        <v>#N/A</v>
      </c>
      <c r="DG66" s="75" t="e">
        <v>#N/A</v>
      </c>
      <c r="DH66" s="75" t="e">
        <v>#N/A</v>
      </c>
      <c r="DI66" s="75" t="e">
        <v>#N/A</v>
      </c>
      <c r="DJ66" s="75" t="e">
        <v>#N/A</v>
      </c>
      <c r="DK66" s="75"/>
      <c r="DL66" s="30" t="e">
        <f t="shared" si="63"/>
        <v>#N/A</v>
      </c>
      <c r="DM66" s="75" t="e">
        <v>#N/A</v>
      </c>
      <c r="DN66" s="75" t="e">
        <v>#N/A</v>
      </c>
      <c r="DO66" s="75" t="e">
        <v>#N/A</v>
      </c>
      <c r="DP66" s="75" t="e">
        <v>#N/A</v>
      </c>
    </row>
    <row r="67" spans="1:120">
      <c r="A67" s="72" t="e">
        <f>name!#REF!</f>
        <v>#REF!</v>
      </c>
      <c r="B67" s="30" t="e">
        <f t="shared" si="44"/>
        <v>#N/A</v>
      </c>
      <c r="C67" s="75" t="e">
        <v>#N/A</v>
      </c>
      <c r="D67" s="75" t="e">
        <v>#N/A</v>
      </c>
      <c r="E67" s="75" t="e">
        <v>#N/A</v>
      </c>
      <c r="F67" s="75" t="e">
        <v>#N/A</v>
      </c>
      <c r="H67" s="30" t="e">
        <f t="shared" si="45"/>
        <v>#N/A</v>
      </c>
      <c r="I67" s="75" t="e">
        <v>#N/A</v>
      </c>
      <c r="J67" s="75" t="e">
        <v>#N/A</v>
      </c>
      <c r="K67" s="75" t="e">
        <v>#N/A</v>
      </c>
      <c r="L67" s="75" t="e">
        <v>#N/A</v>
      </c>
      <c r="N67" s="30" t="e">
        <f t="shared" si="46"/>
        <v>#N/A</v>
      </c>
      <c r="O67" s="75" t="e">
        <v>#N/A</v>
      </c>
      <c r="P67" s="75" t="e">
        <v>#N/A</v>
      </c>
      <c r="Q67" s="75" t="e">
        <v>#N/A</v>
      </c>
      <c r="R67" s="75" t="e">
        <v>#N/A</v>
      </c>
      <c r="S67" s="75"/>
      <c r="T67" s="30" t="e">
        <f t="shared" si="47"/>
        <v>#N/A</v>
      </c>
      <c r="U67" s="75" t="e">
        <v>#N/A</v>
      </c>
      <c r="V67" s="75" t="e">
        <v>#N/A</v>
      </c>
      <c r="W67" s="75" t="e">
        <v>#N/A</v>
      </c>
      <c r="X67" s="75" t="e">
        <v>#N/A</v>
      </c>
      <c r="Y67" s="72" t="e">
        <f t="shared" si="64"/>
        <v>#REF!</v>
      </c>
      <c r="Z67" s="30" t="e">
        <f t="shared" si="48"/>
        <v>#N/A</v>
      </c>
      <c r="AA67" s="75" t="e">
        <v>#N/A</v>
      </c>
      <c r="AB67" s="75" t="e">
        <v>#N/A</v>
      </c>
      <c r="AC67" s="75" t="e">
        <v>#N/A</v>
      </c>
      <c r="AD67" s="75" t="e">
        <v>#N/A</v>
      </c>
      <c r="AF67" s="30" t="e">
        <f t="shared" si="49"/>
        <v>#N/A</v>
      </c>
      <c r="AG67" s="75" t="e">
        <v>#N/A</v>
      </c>
      <c r="AH67" s="75" t="e">
        <v>#N/A</v>
      </c>
      <c r="AI67" s="75" t="e">
        <v>#N/A</v>
      </c>
      <c r="AJ67" s="75" t="e">
        <v>#N/A</v>
      </c>
      <c r="AL67" s="30" t="e">
        <f t="shared" si="50"/>
        <v>#N/A</v>
      </c>
      <c r="AM67" s="75" t="e">
        <v>#N/A</v>
      </c>
      <c r="AN67" s="75" t="e">
        <v>#N/A</v>
      </c>
      <c r="AO67" s="75" t="e">
        <v>#N/A</v>
      </c>
      <c r="AP67" s="75" t="e">
        <v>#N/A</v>
      </c>
      <c r="AQ67" s="75"/>
      <c r="AR67" s="30" t="e">
        <f t="shared" si="51"/>
        <v>#N/A</v>
      </c>
      <c r="AS67" s="75" t="e">
        <v>#N/A</v>
      </c>
      <c r="AT67" s="75" t="e">
        <v>#N/A</v>
      </c>
      <c r="AU67" s="75" t="e">
        <v>#N/A</v>
      </c>
      <c r="AV67" s="75" t="e">
        <v>#N/A</v>
      </c>
      <c r="AW67" s="72" t="e">
        <f t="shared" si="65"/>
        <v>#REF!</v>
      </c>
      <c r="AX67" s="30" t="e">
        <f t="shared" si="52"/>
        <v>#N/A</v>
      </c>
      <c r="AY67" s="75" t="e">
        <v>#N/A</v>
      </c>
      <c r="AZ67" s="75" t="e">
        <v>#N/A</v>
      </c>
      <c r="BA67" s="75" t="e">
        <v>#N/A</v>
      </c>
      <c r="BB67" s="75" t="e">
        <v>#N/A</v>
      </c>
      <c r="BD67" s="30" t="e">
        <f t="shared" si="53"/>
        <v>#N/A</v>
      </c>
      <c r="BE67" s="75" t="e">
        <v>#N/A</v>
      </c>
      <c r="BF67" s="75" t="e">
        <v>#N/A</v>
      </c>
      <c r="BG67" s="75" t="e">
        <v>#N/A</v>
      </c>
      <c r="BH67" s="75" t="e">
        <v>#N/A</v>
      </c>
      <c r="BJ67" s="30" t="e">
        <f t="shared" si="54"/>
        <v>#N/A</v>
      </c>
      <c r="BK67" s="75" t="e">
        <v>#N/A</v>
      </c>
      <c r="BL67" s="75" t="e">
        <v>#N/A</v>
      </c>
      <c r="BM67" s="75" t="e">
        <v>#N/A</v>
      </c>
      <c r="BN67" s="75" t="e">
        <v>#N/A</v>
      </c>
      <c r="BO67" s="75"/>
      <c r="BP67" s="30" t="e">
        <f t="shared" si="55"/>
        <v>#N/A</v>
      </c>
      <c r="BQ67" s="75" t="e">
        <v>#N/A</v>
      </c>
      <c r="BR67" s="75" t="e">
        <v>#N/A</v>
      </c>
      <c r="BS67" s="75" t="e">
        <v>#N/A</v>
      </c>
      <c r="BT67" s="75" t="e">
        <v>#N/A</v>
      </c>
      <c r="BU67" s="72" t="e">
        <f t="shared" si="66"/>
        <v>#REF!</v>
      </c>
      <c r="BV67" s="30" t="e">
        <f t="shared" si="56"/>
        <v>#N/A</v>
      </c>
      <c r="BW67" s="75" t="e">
        <v>#N/A</v>
      </c>
      <c r="BX67" s="75" t="e">
        <v>#N/A</v>
      </c>
      <c r="BY67" s="75" t="e">
        <v>#N/A</v>
      </c>
      <c r="BZ67" s="75" t="e">
        <v>#N/A</v>
      </c>
      <c r="CB67" s="30" t="e">
        <f t="shared" si="57"/>
        <v>#N/A</v>
      </c>
      <c r="CC67" s="75" t="e">
        <v>#N/A</v>
      </c>
      <c r="CD67" s="75" t="e">
        <v>#N/A</v>
      </c>
      <c r="CE67" s="75" t="e">
        <v>#N/A</v>
      </c>
      <c r="CF67" s="75" t="e">
        <v>#N/A</v>
      </c>
      <c r="CH67" s="30" t="e">
        <f t="shared" si="58"/>
        <v>#N/A</v>
      </c>
      <c r="CI67" s="75" t="e">
        <v>#N/A</v>
      </c>
      <c r="CJ67" s="75" t="e">
        <v>#N/A</v>
      </c>
      <c r="CK67" s="75" t="e">
        <v>#N/A</v>
      </c>
      <c r="CL67" s="75" t="e">
        <v>#N/A</v>
      </c>
      <c r="CM67" s="75"/>
      <c r="CN67" s="30" t="e">
        <f t="shared" si="59"/>
        <v>#N/A</v>
      </c>
      <c r="CO67" s="75" t="e">
        <v>#N/A</v>
      </c>
      <c r="CP67" s="75" t="e">
        <v>#N/A</v>
      </c>
      <c r="CQ67" s="75" t="e">
        <v>#N/A</v>
      </c>
      <c r="CR67" s="75" t="e">
        <v>#N/A</v>
      </c>
      <c r="CS67" s="72" t="e">
        <f t="shared" si="67"/>
        <v>#REF!</v>
      </c>
      <c r="CT67" s="30" t="e">
        <f t="shared" si="60"/>
        <v>#N/A</v>
      </c>
      <c r="CU67" s="75" t="e">
        <v>#N/A</v>
      </c>
      <c r="CV67" s="75" t="e">
        <v>#N/A</v>
      </c>
      <c r="CW67" s="75" t="e">
        <v>#N/A</v>
      </c>
      <c r="CX67" s="75" t="e">
        <v>#N/A</v>
      </c>
      <c r="CZ67" s="30" t="e">
        <f t="shared" si="61"/>
        <v>#N/A</v>
      </c>
      <c r="DA67" s="75" t="e">
        <v>#N/A</v>
      </c>
      <c r="DB67" s="75" t="e">
        <v>#N/A</v>
      </c>
      <c r="DC67" s="75" t="e">
        <v>#N/A</v>
      </c>
      <c r="DD67" s="75" t="e">
        <v>#N/A</v>
      </c>
      <c r="DF67" s="30" t="e">
        <f t="shared" si="62"/>
        <v>#N/A</v>
      </c>
      <c r="DG67" s="75" t="e">
        <v>#N/A</v>
      </c>
      <c r="DH67" s="75" t="e">
        <v>#N/A</v>
      </c>
      <c r="DI67" s="75" t="e">
        <v>#N/A</v>
      </c>
      <c r="DJ67" s="75" t="e">
        <v>#N/A</v>
      </c>
      <c r="DK67" s="75"/>
      <c r="DL67" s="30" t="e">
        <f t="shared" si="63"/>
        <v>#N/A</v>
      </c>
      <c r="DM67" s="75" t="e">
        <v>#N/A</v>
      </c>
      <c r="DN67" s="75" t="e">
        <v>#N/A</v>
      </c>
      <c r="DO67" s="75" t="e">
        <v>#N/A</v>
      </c>
      <c r="DP67" s="75" t="e">
        <v>#N/A</v>
      </c>
    </row>
    <row r="68" spans="1:120">
      <c r="A68" s="72" t="e">
        <f>name!#REF!</f>
        <v>#REF!</v>
      </c>
      <c r="B68" s="30" t="e">
        <f t="shared" si="44"/>
        <v>#N/A</v>
      </c>
      <c r="C68" s="75" t="e">
        <v>#N/A</v>
      </c>
      <c r="D68" s="75" t="e">
        <v>#N/A</v>
      </c>
      <c r="E68" s="75" t="e">
        <v>#N/A</v>
      </c>
      <c r="F68" s="75" t="e">
        <v>#N/A</v>
      </c>
      <c r="H68" s="30" t="e">
        <f t="shared" si="45"/>
        <v>#N/A</v>
      </c>
      <c r="I68" s="75" t="e">
        <v>#N/A</v>
      </c>
      <c r="J68" s="75" t="e">
        <v>#N/A</v>
      </c>
      <c r="K68" s="75" t="e">
        <v>#N/A</v>
      </c>
      <c r="L68" s="75" t="e">
        <v>#N/A</v>
      </c>
      <c r="N68" s="30" t="e">
        <f t="shared" si="46"/>
        <v>#N/A</v>
      </c>
      <c r="O68" s="75" t="e">
        <v>#N/A</v>
      </c>
      <c r="P68" s="75" t="e">
        <v>#N/A</v>
      </c>
      <c r="Q68" s="75" t="e">
        <v>#N/A</v>
      </c>
      <c r="R68" s="75" t="e">
        <v>#N/A</v>
      </c>
      <c r="S68" s="75"/>
      <c r="T68" s="30" t="e">
        <f t="shared" si="47"/>
        <v>#N/A</v>
      </c>
      <c r="U68" s="75" t="e">
        <v>#N/A</v>
      </c>
      <c r="V68" s="75" t="e">
        <v>#N/A</v>
      </c>
      <c r="W68" s="75" t="e">
        <v>#N/A</v>
      </c>
      <c r="X68" s="75" t="e">
        <v>#N/A</v>
      </c>
      <c r="Y68" s="72" t="e">
        <f t="shared" si="64"/>
        <v>#REF!</v>
      </c>
      <c r="Z68" s="30" t="e">
        <f t="shared" si="48"/>
        <v>#N/A</v>
      </c>
      <c r="AA68" s="75" t="e">
        <v>#N/A</v>
      </c>
      <c r="AB68" s="75" t="e">
        <v>#N/A</v>
      </c>
      <c r="AC68" s="75" t="e">
        <v>#N/A</v>
      </c>
      <c r="AD68" s="75" t="e">
        <v>#N/A</v>
      </c>
      <c r="AF68" s="30" t="e">
        <f t="shared" si="49"/>
        <v>#N/A</v>
      </c>
      <c r="AG68" s="75" t="e">
        <v>#N/A</v>
      </c>
      <c r="AH68" s="75" t="e">
        <v>#N/A</v>
      </c>
      <c r="AI68" s="75" t="e">
        <v>#N/A</v>
      </c>
      <c r="AJ68" s="75" t="e">
        <v>#N/A</v>
      </c>
      <c r="AL68" s="30" t="e">
        <f t="shared" si="50"/>
        <v>#N/A</v>
      </c>
      <c r="AM68" s="75" t="e">
        <v>#N/A</v>
      </c>
      <c r="AN68" s="75" t="e">
        <v>#N/A</v>
      </c>
      <c r="AO68" s="75" t="e">
        <v>#N/A</v>
      </c>
      <c r="AP68" s="75" t="e">
        <v>#N/A</v>
      </c>
      <c r="AQ68" s="75"/>
      <c r="AR68" s="30" t="e">
        <f t="shared" si="51"/>
        <v>#N/A</v>
      </c>
      <c r="AS68" s="75" t="e">
        <v>#N/A</v>
      </c>
      <c r="AT68" s="75" t="e">
        <v>#N/A</v>
      </c>
      <c r="AU68" s="75" t="e">
        <v>#N/A</v>
      </c>
      <c r="AV68" s="75" t="e">
        <v>#N/A</v>
      </c>
      <c r="AW68" s="72" t="e">
        <f t="shared" si="65"/>
        <v>#REF!</v>
      </c>
      <c r="AX68" s="30" t="e">
        <f t="shared" si="52"/>
        <v>#N/A</v>
      </c>
      <c r="AY68" s="75" t="e">
        <v>#N/A</v>
      </c>
      <c r="AZ68" s="75" t="e">
        <v>#N/A</v>
      </c>
      <c r="BA68" s="75" t="e">
        <v>#N/A</v>
      </c>
      <c r="BB68" s="75" t="e">
        <v>#N/A</v>
      </c>
      <c r="BD68" s="30" t="e">
        <f t="shared" si="53"/>
        <v>#N/A</v>
      </c>
      <c r="BE68" s="75" t="e">
        <v>#N/A</v>
      </c>
      <c r="BF68" s="75" t="e">
        <v>#N/A</v>
      </c>
      <c r="BG68" s="75" t="e">
        <v>#N/A</v>
      </c>
      <c r="BH68" s="75" t="e">
        <v>#N/A</v>
      </c>
      <c r="BJ68" s="30" t="e">
        <f t="shared" si="54"/>
        <v>#N/A</v>
      </c>
      <c r="BK68" s="75" t="e">
        <v>#N/A</v>
      </c>
      <c r="BL68" s="75" t="e">
        <v>#N/A</v>
      </c>
      <c r="BM68" s="75" t="e">
        <v>#N/A</v>
      </c>
      <c r="BN68" s="75" t="e">
        <v>#N/A</v>
      </c>
      <c r="BO68" s="75"/>
      <c r="BP68" s="30" t="e">
        <f t="shared" si="55"/>
        <v>#N/A</v>
      </c>
      <c r="BQ68" s="75" t="e">
        <v>#N/A</v>
      </c>
      <c r="BR68" s="75" t="e">
        <v>#N/A</v>
      </c>
      <c r="BS68" s="75" t="e">
        <v>#N/A</v>
      </c>
      <c r="BT68" s="75" t="e">
        <v>#N/A</v>
      </c>
      <c r="BU68" s="72" t="e">
        <f t="shared" si="66"/>
        <v>#REF!</v>
      </c>
      <c r="BV68" s="30" t="e">
        <f t="shared" si="56"/>
        <v>#N/A</v>
      </c>
      <c r="BW68" s="75" t="e">
        <v>#N/A</v>
      </c>
      <c r="BX68" s="75" t="e">
        <v>#N/A</v>
      </c>
      <c r="BY68" s="75" t="e">
        <v>#N/A</v>
      </c>
      <c r="BZ68" s="75" t="e">
        <v>#N/A</v>
      </c>
      <c r="CB68" s="30" t="e">
        <f t="shared" si="57"/>
        <v>#N/A</v>
      </c>
      <c r="CC68" s="75" t="e">
        <v>#N/A</v>
      </c>
      <c r="CD68" s="75" t="e">
        <v>#N/A</v>
      </c>
      <c r="CE68" s="75" t="e">
        <v>#N/A</v>
      </c>
      <c r="CF68" s="75" t="e">
        <v>#N/A</v>
      </c>
      <c r="CH68" s="30" t="e">
        <f t="shared" si="58"/>
        <v>#N/A</v>
      </c>
      <c r="CI68" s="75" t="e">
        <v>#N/A</v>
      </c>
      <c r="CJ68" s="75" t="e">
        <v>#N/A</v>
      </c>
      <c r="CK68" s="75" t="e">
        <v>#N/A</v>
      </c>
      <c r="CL68" s="75" t="e">
        <v>#N/A</v>
      </c>
      <c r="CM68" s="75"/>
      <c r="CN68" s="30" t="e">
        <f t="shared" si="59"/>
        <v>#N/A</v>
      </c>
      <c r="CO68" s="75" t="e">
        <v>#N/A</v>
      </c>
      <c r="CP68" s="75" t="e">
        <v>#N/A</v>
      </c>
      <c r="CQ68" s="75" t="e">
        <v>#N/A</v>
      </c>
      <c r="CR68" s="75" t="e">
        <v>#N/A</v>
      </c>
      <c r="CS68" s="72" t="e">
        <f t="shared" si="67"/>
        <v>#REF!</v>
      </c>
      <c r="CT68" s="30" t="e">
        <f t="shared" si="60"/>
        <v>#N/A</v>
      </c>
      <c r="CU68" s="75" t="e">
        <v>#N/A</v>
      </c>
      <c r="CV68" s="75" t="e">
        <v>#N/A</v>
      </c>
      <c r="CW68" s="75" t="e">
        <v>#N/A</v>
      </c>
      <c r="CX68" s="75" t="e">
        <v>#N/A</v>
      </c>
      <c r="CZ68" s="30" t="e">
        <f t="shared" si="61"/>
        <v>#N/A</v>
      </c>
      <c r="DA68" s="75" t="e">
        <v>#N/A</v>
      </c>
      <c r="DB68" s="75" t="e">
        <v>#N/A</v>
      </c>
      <c r="DC68" s="75" t="e">
        <v>#N/A</v>
      </c>
      <c r="DD68" s="75" t="e">
        <v>#N/A</v>
      </c>
      <c r="DF68" s="30" t="e">
        <f t="shared" si="62"/>
        <v>#N/A</v>
      </c>
      <c r="DG68" s="75" t="e">
        <v>#N/A</v>
      </c>
      <c r="DH68" s="75" t="e">
        <v>#N/A</v>
      </c>
      <c r="DI68" s="75" t="e">
        <v>#N/A</v>
      </c>
      <c r="DJ68" s="75" t="e">
        <v>#N/A</v>
      </c>
      <c r="DK68" s="75"/>
      <c r="DL68" s="30" t="e">
        <f t="shared" si="63"/>
        <v>#N/A</v>
      </c>
      <c r="DM68" s="75" t="e">
        <v>#N/A</v>
      </c>
      <c r="DN68" s="75" t="e">
        <v>#N/A</v>
      </c>
      <c r="DO68" s="75" t="e">
        <v>#N/A</v>
      </c>
      <c r="DP68" s="75" t="e">
        <v>#N/A</v>
      </c>
    </row>
    <row r="69" spans="1:120">
      <c r="A69" s="72" t="e">
        <f>name!#REF!</f>
        <v>#REF!</v>
      </c>
      <c r="B69" s="30" t="e">
        <f t="shared" si="44"/>
        <v>#N/A</v>
      </c>
      <c r="C69" s="75" t="e">
        <v>#N/A</v>
      </c>
      <c r="D69" s="75" t="e">
        <v>#N/A</v>
      </c>
      <c r="E69" s="75" t="e">
        <v>#N/A</v>
      </c>
      <c r="F69" s="75" t="e">
        <v>#N/A</v>
      </c>
      <c r="H69" s="30" t="e">
        <f t="shared" si="45"/>
        <v>#N/A</v>
      </c>
      <c r="I69" s="75" t="e">
        <v>#N/A</v>
      </c>
      <c r="J69" s="75" t="e">
        <v>#N/A</v>
      </c>
      <c r="K69" s="75" t="e">
        <v>#N/A</v>
      </c>
      <c r="L69" s="75" t="e">
        <v>#N/A</v>
      </c>
      <c r="N69" s="30" t="e">
        <f t="shared" si="46"/>
        <v>#N/A</v>
      </c>
      <c r="O69" s="75" t="e">
        <v>#N/A</v>
      </c>
      <c r="P69" s="75" t="e">
        <v>#N/A</v>
      </c>
      <c r="Q69" s="75" t="e">
        <v>#N/A</v>
      </c>
      <c r="R69" s="75" t="e">
        <v>#N/A</v>
      </c>
      <c r="S69" s="75"/>
      <c r="T69" s="30" t="e">
        <f t="shared" si="47"/>
        <v>#N/A</v>
      </c>
      <c r="U69" s="75" t="e">
        <v>#N/A</v>
      </c>
      <c r="V69" s="75" t="e">
        <v>#N/A</v>
      </c>
      <c r="W69" s="75" t="e">
        <v>#N/A</v>
      </c>
      <c r="X69" s="75" t="e">
        <v>#N/A</v>
      </c>
      <c r="Y69" s="72" t="e">
        <f t="shared" si="64"/>
        <v>#REF!</v>
      </c>
      <c r="Z69" s="30" t="e">
        <f t="shared" si="48"/>
        <v>#N/A</v>
      </c>
      <c r="AA69" s="75" t="e">
        <v>#N/A</v>
      </c>
      <c r="AB69" s="75" t="e">
        <v>#N/A</v>
      </c>
      <c r="AC69" s="75" t="e">
        <v>#N/A</v>
      </c>
      <c r="AD69" s="75" t="e">
        <v>#N/A</v>
      </c>
      <c r="AF69" s="30" t="e">
        <f t="shared" si="49"/>
        <v>#N/A</v>
      </c>
      <c r="AG69" s="75" t="e">
        <v>#N/A</v>
      </c>
      <c r="AH69" s="75" t="e">
        <v>#N/A</v>
      </c>
      <c r="AI69" s="75" t="e">
        <v>#N/A</v>
      </c>
      <c r="AJ69" s="75" t="e">
        <v>#N/A</v>
      </c>
      <c r="AL69" s="30" t="e">
        <f t="shared" si="50"/>
        <v>#N/A</v>
      </c>
      <c r="AM69" s="75" t="e">
        <v>#N/A</v>
      </c>
      <c r="AN69" s="75" t="e">
        <v>#N/A</v>
      </c>
      <c r="AO69" s="75" t="e">
        <v>#N/A</v>
      </c>
      <c r="AP69" s="75" t="e">
        <v>#N/A</v>
      </c>
      <c r="AQ69" s="75"/>
      <c r="AR69" s="30" t="e">
        <f t="shared" si="51"/>
        <v>#N/A</v>
      </c>
      <c r="AS69" s="75" t="e">
        <v>#N/A</v>
      </c>
      <c r="AT69" s="75" t="e">
        <v>#N/A</v>
      </c>
      <c r="AU69" s="75" t="e">
        <v>#N/A</v>
      </c>
      <c r="AV69" s="75" t="e">
        <v>#N/A</v>
      </c>
      <c r="AW69" s="72" t="e">
        <f t="shared" si="65"/>
        <v>#REF!</v>
      </c>
      <c r="AX69" s="30" t="e">
        <f t="shared" si="52"/>
        <v>#N/A</v>
      </c>
      <c r="AY69" s="75" t="e">
        <v>#N/A</v>
      </c>
      <c r="AZ69" s="75" t="e">
        <v>#N/A</v>
      </c>
      <c r="BA69" s="75" t="e">
        <v>#N/A</v>
      </c>
      <c r="BB69" s="75" t="e">
        <v>#N/A</v>
      </c>
      <c r="BD69" s="30" t="e">
        <f t="shared" si="53"/>
        <v>#N/A</v>
      </c>
      <c r="BE69" s="75" t="e">
        <v>#N/A</v>
      </c>
      <c r="BF69" s="75" t="e">
        <v>#N/A</v>
      </c>
      <c r="BG69" s="75" t="e">
        <v>#N/A</v>
      </c>
      <c r="BH69" s="75" t="e">
        <v>#N/A</v>
      </c>
      <c r="BJ69" s="30" t="e">
        <f t="shared" si="54"/>
        <v>#N/A</v>
      </c>
      <c r="BK69" s="75" t="e">
        <v>#N/A</v>
      </c>
      <c r="BL69" s="75" t="e">
        <v>#N/A</v>
      </c>
      <c r="BM69" s="75" t="e">
        <v>#N/A</v>
      </c>
      <c r="BN69" s="75" t="e">
        <v>#N/A</v>
      </c>
      <c r="BO69" s="75"/>
      <c r="BP69" s="30" t="e">
        <f t="shared" si="55"/>
        <v>#N/A</v>
      </c>
      <c r="BQ69" s="75" t="e">
        <v>#N/A</v>
      </c>
      <c r="BR69" s="75" t="e">
        <v>#N/A</v>
      </c>
      <c r="BS69" s="75" t="e">
        <v>#N/A</v>
      </c>
      <c r="BT69" s="75" t="e">
        <v>#N/A</v>
      </c>
      <c r="BU69" s="72" t="e">
        <f t="shared" si="66"/>
        <v>#REF!</v>
      </c>
      <c r="BV69" s="30" t="e">
        <f t="shared" si="56"/>
        <v>#N/A</v>
      </c>
      <c r="BW69" s="75" t="e">
        <v>#N/A</v>
      </c>
      <c r="BX69" s="75" t="e">
        <v>#N/A</v>
      </c>
      <c r="BY69" s="75" t="e">
        <v>#N/A</v>
      </c>
      <c r="BZ69" s="75" t="e">
        <v>#N/A</v>
      </c>
      <c r="CB69" s="30" t="e">
        <f t="shared" si="57"/>
        <v>#N/A</v>
      </c>
      <c r="CC69" s="75" t="e">
        <v>#N/A</v>
      </c>
      <c r="CD69" s="75" t="e">
        <v>#N/A</v>
      </c>
      <c r="CE69" s="75" t="e">
        <v>#N/A</v>
      </c>
      <c r="CF69" s="75" t="e">
        <v>#N/A</v>
      </c>
      <c r="CH69" s="30" t="e">
        <f t="shared" si="58"/>
        <v>#N/A</v>
      </c>
      <c r="CI69" s="75" t="e">
        <v>#N/A</v>
      </c>
      <c r="CJ69" s="75" t="e">
        <v>#N/A</v>
      </c>
      <c r="CK69" s="75" t="e">
        <v>#N/A</v>
      </c>
      <c r="CL69" s="75" t="e">
        <v>#N/A</v>
      </c>
      <c r="CM69" s="75"/>
      <c r="CN69" s="30" t="e">
        <f t="shared" si="59"/>
        <v>#N/A</v>
      </c>
      <c r="CO69" s="75" t="e">
        <v>#N/A</v>
      </c>
      <c r="CP69" s="75" t="e">
        <v>#N/A</v>
      </c>
      <c r="CQ69" s="75" t="e">
        <v>#N/A</v>
      </c>
      <c r="CR69" s="75" t="e">
        <v>#N/A</v>
      </c>
      <c r="CS69" s="72" t="e">
        <f t="shared" si="67"/>
        <v>#REF!</v>
      </c>
      <c r="CT69" s="30" t="e">
        <f t="shared" si="60"/>
        <v>#N/A</v>
      </c>
      <c r="CU69" s="75" t="e">
        <v>#N/A</v>
      </c>
      <c r="CV69" s="75" t="e">
        <v>#N/A</v>
      </c>
      <c r="CW69" s="75" t="e">
        <v>#N/A</v>
      </c>
      <c r="CX69" s="75" t="e">
        <v>#N/A</v>
      </c>
      <c r="CZ69" s="30" t="e">
        <f t="shared" si="61"/>
        <v>#N/A</v>
      </c>
      <c r="DA69" s="75" t="e">
        <v>#N/A</v>
      </c>
      <c r="DB69" s="75" t="e">
        <v>#N/A</v>
      </c>
      <c r="DC69" s="75" t="e">
        <v>#N/A</v>
      </c>
      <c r="DD69" s="75" t="e">
        <v>#N/A</v>
      </c>
      <c r="DF69" s="30" t="e">
        <f t="shared" si="62"/>
        <v>#N/A</v>
      </c>
      <c r="DG69" s="75" t="e">
        <v>#N/A</v>
      </c>
      <c r="DH69" s="75" t="e">
        <v>#N/A</v>
      </c>
      <c r="DI69" s="75" t="e">
        <v>#N/A</v>
      </c>
      <c r="DJ69" s="75" t="e">
        <v>#N/A</v>
      </c>
      <c r="DK69" s="75"/>
      <c r="DL69" s="30" t="e">
        <f t="shared" si="63"/>
        <v>#N/A</v>
      </c>
      <c r="DM69" s="75" t="e">
        <v>#N/A</v>
      </c>
      <c r="DN69" s="75" t="e">
        <v>#N/A</v>
      </c>
      <c r="DO69" s="75" t="e">
        <v>#N/A</v>
      </c>
      <c r="DP69" s="75" t="e">
        <v>#N/A</v>
      </c>
    </row>
    <row r="70" spans="1:120">
      <c r="A70" s="72" t="e">
        <f>name!#REF!</f>
        <v>#REF!</v>
      </c>
      <c r="B70" s="30" t="e">
        <f t="shared" si="44"/>
        <v>#N/A</v>
      </c>
      <c r="C70" s="75" t="e">
        <v>#N/A</v>
      </c>
      <c r="D70" s="75" t="e">
        <v>#N/A</v>
      </c>
      <c r="E70" s="75" t="e">
        <v>#N/A</v>
      </c>
      <c r="F70" s="75" t="e">
        <v>#N/A</v>
      </c>
      <c r="H70" s="30" t="e">
        <f t="shared" si="45"/>
        <v>#N/A</v>
      </c>
      <c r="I70" s="75" t="e">
        <v>#N/A</v>
      </c>
      <c r="J70" s="75" t="e">
        <v>#N/A</v>
      </c>
      <c r="K70" s="75" t="e">
        <v>#N/A</v>
      </c>
      <c r="L70" s="75" t="e">
        <v>#N/A</v>
      </c>
      <c r="N70" s="30" t="e">
        <f t="shared" si="46"/>
        <v>#N/A</v>
      </c>
      <c r="O70" s="75" t="e">
        <v>#N/A</v>
      </c>
      <c r="P70" s="75" t="e">
        <v>#N/A</v>
      </c>
      <c r="Q70" s="75" t="e">
        <v>#N/A</v>
      </c>
      <c r="R70" s="75" t="e">
        <v>#N/A</v>
      </c>
      <c r="S70" s="75"/>
      <c r="T70" s="30" t="e">
        <f t="shared" si="47"/>
        <v>#N/A</v>
      </c>
      <c r="U70" s="75" t="e">
        <v>#N/A</v>
      </c>
      <c r="V70" s="75" t="e">
        <v>#N/A</v>
      </c>
      <c r="W70" s="75" t="e">
        <v>#N/A</v>
      </c>
      <c r="X70" s="75" t="e">
        <v>#N/A</v>
      </c>
      <c r="Y70" s="72" t="e">
        <f t="shared" si="64"/>
        <v>#REF!</v>
      </c>
      <c r="Z70" s="30" t="e">
        <f t="shared" si="48"/>
        <v>#N/A</v>
      </c>
      <c r="AA70" s="75" t="e">
        <v>#N/A</v>
      </c>
      <c r="AB70" s="75" t="e">
        <v>#N/A</v>
      </c>
      <c r="AC70" s="75" t="e">
        <v>#N/A</v>
      </c>
      <c r="AD70" s="75" t="e">
        <v>#N/A</v>
      </c>
      <c r="AF70" s="30" t="e">
        <f t="shared" si="49"/>
        <v>#N/A</v>
      </c>
      <c r="AG70" s="75" t="e">
        <v>#N/A</v>
      </c>
      <c r="AH70" s="75" t="e">
        <v>#N/A</v>
      </c>
      <c r="AI70" s="75" t="e">
        <v>#N/A</v>
      </c>
      <c r="AJ70" s="75" t="e">
        <v>#N/A</v>
      </c>
      <c r="AL70" s="30" t="e">
        <f t="shared" si="50"/>
        <v>#N/A</v>
      </c>
      <c r="AM70" s="75" t="e">
        <v>#N/A</v>
      </c>
      <c r="AN70" s="75" t="e">
        <v>#N/A</v>
      </c>
      <c r="AO70" s="75" t="e">
        <v>#N/A</v>
      </c>
      <c r="AP70" s="75" t="e">
        <v>#N/A</v>
      </c>
      <c r="AQ70" s="75"/>
      <c r="AR70" s="30" t="e">
        <f t="shared" si="51"/>
        <v>#N/A</v>
      </c>
      <c r="AS70" s="75" t="e">
        <v>#N/A</v>
      </c>
      <c r="AT70" s="75" t="e">
        <v>#N/A</v>
      </c>
      <c r="AU70" s="75" t="e">
        <v>#N/A</v>
      </c>
      <c r="AV70" s="75" t="e">
        <v>#N/A</v>
      </c>
      <c r="AW70" s="72" t="e">
        <f t="shared" si="65"/>
        <v>#REF!</v>
      </c>
      <c r="AX70" s="30" t="e">
        <f t="shared" si="52"/>
        <v>#N/A</v>
      </c>
      <c r="AY70" s="75" t="e">
        <v>#N/A</v>
      </c>
      <c r="AZ70" s="75" t="e">
        <v>#N/A</v>
      </c>
      <c r="BA70" s="75" t="e">
        <v>#N/A</v>
      </c>
      <c r="BB70" s="75" t="e">
        <v>#N/A</v>
      </c>
      <c r="BD70" s="30" t="e">
        <f t="shared" si="53"/>
        <v>#N/A</v>
      </c>
      <c r="BE70" s="75" t="e">
        <v>#N/A</v>
      </c>
      <c r="BF70" s="75" t="e">
        <v>#N/A</v>
      </c>
      <c r="BG70" s="75" t="e">
        <v>#N/A</v>
      </c>
      <c r="BH70" s="75" t="e">
        <v>#N/A</v>
      </c>
      <c r="BJ70" s="30" t="e">
        <f t="shared" si="54"/>
        <v>#N/A</v>
      </c>
      <c r="BK70" s="75" t="e">
        <v>#N/A</v>
      </c>
      <c r="BL70" s="75" t="e">
        <v>#N/A</v>
      </c>
      <c r="BM70" s="75" t="e">
        <v>#N/A</v>
      </c>
      <c r="BN70" s="75" t="e">
        <v>#N/A</v>
      </c>
      <c r="BO70" s="75"/>
      <c r="BP70" s="30" t="e">
        <f t="shared" si="55"/>
        <v>#N/A</v>
      </c>
      <c r="BQ70" s="75" t="e">
        <v>#N/A</v>
      </c>
      <c r="BR70" s="75" t="e">
        <v>#N/A</v>
      </c>
      <c r="BS70" s="75" t="e">
        <v>#N/A</v>
      </c>
      <c r="BT70" s="75" t="e">
        <v>#N/A</v>
      </c>
      <c r="BU70" s="72" t="e">
        <f t="shared" si="66"/>
        <v>#REF!</v>
      </c>
      <c r="BV70" s="30" t="e">
        <f t="shared" si="56"/>
        <v>#N/A</v>
      </c>
      <c r="BW70" s="75" t="e">
        <v>#N/A</v>
      </c>
      <c r="BX70" s="75" t="e">
        <v>#N/A</v>
      </c>
      <c r="BY70" s="75" t="e">
        <v>#N/A</v>
      </c>
      <c r="BZ70" s="75" t="e">
        <v>#N/A</v>
      </c>
      <c r="CB70" s="30" t="e">
        <f t="shared" si="57"/>
        <v>#N/A</v>
      </c>
      <c r="CC70" s="75" t="e">
        <v>#N/A</v>
      </c>
      <c r="CD70" s="75" t="e">
        <v>#N/A</v>
      </c>
      <c r="CE70" s="75" t="e">
        <v>#N/A</v>
      </c>
      <c r="CF70" s="75" t="e">
        <v>#N/A</v>
      </c>
      <c r="CH70" s="30" t="e">
        <f t="shared" si="58"/>
        <v>#N/A</v>
      </c>
      <c r="CI70" s="75" t="e">
        <v>#N/A</v>
      </c>
      <c r="CJ70" s="75" t="e">
        <v>#N/A</v>
      </c>
      <c r="CK70" s="75" t="e">
        <v>#N/A</v>
      </c>
      <c r="CL70" s="75" t="e">
        <v>#N/A</v>
      </c>
      <c r="CM70" s="75"/>
      <c r="CN70" s="30" t="e">
        <f t="shared" si="59"/>
        <v>#N/A</v>
      </c>
      <c r="CO70" s="75" t="e">
        <v>#N/A</v>
      </c>
      <c r="CP70" s="75" t="e">
        <v>#N/A</v>
      </c>
      <c r="CQ70" s="75" t="e">
        <v>#N/A</v>
      </c>
      <c r="CR70" s="75" t="e">
        <v>#N/A</v>
      </c>
      <c r="CS70" s="72" t="e">
        <f t="shared" si="67"/>
        <v>#REF!</v>
      </c>
      <c r="CT70" s="30" t="e">
        <f t="shared" si="60"/>
        <v>#N/A</v>
      </c>
      <c r="CU70" s="75" t="e">
        <v>#N/A</v>
      </c>
      <c r="CV70" s="75" t="e">
        <v>#N/A</v>
      </c>
      <c r="CW70" s="75" t="e">
        <v>#N/A</v>
      </c>
      <c r="CX70" s="75" t="e">
        <v>#N/A</v>
      </c>
      <c r="CZ70" s="30" t="e">
        <f t="shared" si="61"/>
        <v>#N/A</v>
      </c>
      <c r="DA70" s="75" t="e">
        <v>#N/A</v>
      </c>
      <c r="DB70" s="75" t="e">
        <v>#N/A</v>
      </c>
      <c r="DC70" s="75" t="e">
        <v>#N/A</v>
      </c>
      <c r="DD70" s="75" t="e">
        <v>#N/A</v>
      </c>
      <c r="DF70" s="30" t="e">
        <f t="shared" si="62"/>
        <v>#N/A</v>
      </c>
      <c r="DG70" s="75" t="e">
        <v>#N/A</v>
      </c>
      <c r="DH70" s="75" t="e">
        <v>#N/A</v>
      </c>
      <c r="DI70" s="75" t="e">
        <v>#N/A</v>
      </c>
      <c r="DJ70" s="75" t="e">
        <v>#N/A</v>
      </c>
      <c r="DK70" s="75"/>
      <c r="DL70" s="30" t="e">
        <f t="shared" si="63"/>
        <v>#N/A</v>
      </c>
      <c r="DM70" s="75" t="e">
        <v>#N/A</v>
      </c>
      <c r="DN70" s="75" t="e">
        <v>#N/A</v>
      </c>
      <c r="DO70" s="75" t="e">
        <v>#N/A</v>
      </c>
      <c r="DP70" s="75" t="e">
        <v>#N/A</v>
      </c>
    </row>
    <row r="71" spans="1:120">
      <c r="A71" s="72" t="e">
        <f>name!#REF!</f>
        <v>#REF!</v>
      </c>
      <c r="B71" s="30" t="e">
        <f t="shared" si="44"/>
        <v>#N/A</v>
      </c>
      <c r="C71" s="75" t="e">
        <v>#N/A</v>
      </c>
      <c r="D71" s="75" t="e">
        <v>#N/A</v>
      </c>
      <c r="E71" s="75" t="e">
        <v>#N/A</v>
      </c>
      <c r="F71" s="75" t="e">
        <v>#N/A</v>
      </c>
      <c r="H71" s="30" t="e">
        <f t="shared" si="45"/>
        <v>#N/A</v>
      </c>
      <c r="I71" s="75" t="e">
        <v>#N/A</v>
      </c>
      <c r="J71" s="75" t="e">
        <v>#N/A</v>
      </c>
      <c r="K71" s="75" t="e">
        <v>#N/A</v>
      </c>
      <c r="L71" s="75" t="e">
        <v>#N/A</v>
      </c>
      <c r="N71" s="30" t="e">
        <f t="shared" si="46"/>
        <v>#N/A</v>
      </c>
      <c r="O71" s="75" t="e">
        <v>#N/A</v>
      </c>
      <c r="P71" s="75" t="e">
        <v>#N/A</v>
      </c>
      <c r="Q71" s="75" t="e">
        <v>#N/A</v>
      </c>
      <c r="R71" s="75" t="e">
        <v>#N/A</v>
      </c>
      <c r="S71" s="75"/>
      <c r="T71" s="30" t="e">
        <f t="shared" si="47"/>
        <v>#N/A</v>
      </c>
      <c r="U71" s="75" t="e">
        <v>#N/A</v>
      </c>
      <c r="V71" s="75" t="e">
        <v>#N/A</v>
      </c>
      <c r="W71" s="75" t="e">
        <v>#N/A</v>
      </c>
      <c r="X71" s="75" t="e">
        <v>#N/A</v>
      </c>
      <c r="Y71" s="72" t="e">
        <f t="shared" si="64"/>
        <v>#REF!</v>
      </c>
      <c r="Z71" s="30" t="e">
        <f t="shared" si="48"/>
        <v>#N/A</v>
      </c>
      <c r="AA71" s="75" t="e">
        <v>#N/A</v>
      </c>
      <c r="AB71" s="75" t="e">
        <v>#N/A</v>
      </c>
      <c r="AC71" s="75" t="e">
        <v>#N/A</v>
      </c>
      <c r="AD71" s="75" t="e">
        <v>#N/A</v>
      </c>
      <c r="AF71" s="30" t="e">
        <f t="shared" si="49"/>
        <v>#N/A</v>
      </c>
      <c r="AG71" s="75" t="e">
        <v>#N/A</v>
      </c>
      <c r="AH71" s="75" t="e">
        <v>#N/A</v>
      </c>
      <c r="AI71" s="75" t="e">
        <v>#N/A</v>
      </c>
      <c r="AJ71" s="75" t="e">
        <v>#N/A</v>
      </c>
      <c r="AL71" s="30" t="e">
        <f t="shared" si="50"/>
        <v>#N/A</v>
      </c>
      <c r="AM71" s="75" t="e">
        <v>#N/A</v>
      </c>
      <c r="AN71" s="75" t="e">
        <v>#N/A</v>
      </c>
      <c r="AO71" s="75" t="e">
        <v>#N/A</v>
      </c>
      <c r="AP71" s="75" t="e">
        <v>#N/A</v>
      </c>
      <c r="AQ71" s="75"/>
      <c r="AR71" s="30" t="e">
        <f t="shared" si="51"/>
        <v>#N/A</v>
      </c>
      <c r="AS71" s="75" t="e">
        <v>#N/A</v>
      </c>
      <c r="AT71" s="75" t="e">
        <v>#N/A</v>
      </c>
      <c r="AU71" s="75" t="e">
        <v>#N/A</v>
      </c>
      <c r="AV71" s="75" t="e">
        <v>#N/A</v>
      </c>
      <c r="AW71" s="72" t="e">
        <f t="shared" si="65"/>
        <v>#REF!</v>
      </c>
      <c r="AX71" s="30" t="e">
        <f t="shared" si="52"/>
        <v>#N/A</v>
      </c>
      <c r="AY71" s="75" t="e">
        <v>#N/A</v>
      </c>
      <c r="AZ71" s="75" t="e">
        <v>#N/A</v>
      </c>
      <c r="BA71" s="75" t="e">
        <v>#N/A</v>
      </c>
      <c r="BB71" s="75" t="e">
        <v>#N/A</v>
      </c>
      <c r="BD71" s="30" t="e">
        <f t="shared" si="53"/>
        <v>#N/A</v>
      </c>
      <c r="BE71" s="75" t="e">
        <v>#N/A</v>
      </c>
      <c r="BF71" s="75" t="e">
        <v>#N/A</v>
      </c>
      <c r="BG71" s="75" t="e">
        <v>#N/A</v>
      </c>
      <c r="BH71" s="75" t="e">
        <v>#N/A</v>
      </c>
      <c r="BJ71" s="30" t="e">
        <f t="shared" si="54"/>
        <v>#N/A</v>
      </c>
      <c r="BK71" s="75" t="e">
        <v>#N/A</v>
      </c>
      <c r="BL71" s="75" t="e">
        <v>#N/A</v>
      </c>
      <c r="BM71" s="75" t="e">
        <v>#N/A</v>
      </c>
      <c r="BN71" s="75" t="e">
        <v>#N/A</v>
      </c>
      <c r="BO71" s="75"/>
      <c r="BP71" s="30" t="e">
        <f t="shared" si="55"/>
        <v>#N/A</v>
      </c>
      <c r="BQ71" s="75" t="e">
        <v>#N/A</v>
      </c>
      <c r="BR71" s="75" t="e">
        <v>#N/A</v>
      </c>
      <c r="BS71" s="75" t="e">
        <v>#N/A</v>
      </c>
      <c r="BT71" s="75" t="e">
        <v>#N/A</v>
      </c>
      <c r="BU71" s="72" t="e">
        <f t="shared" si="66"/>
        <v>#REF!</v>
      </c>
      <c r="BV71" s="30" t="e">
        <f t="shared" si="56"/>
        <v>#N/A</v>
      </c>
      <c r="BW71" s="75" t="e">
        <v>#N/A</v>
      </c>
      <c r="BX71" s="75" t="e">
        <v>#N/A</v>
      </c>
      <c r="BY71" s="75" t="e">
        <v>#N/A</v>
      </c>
      <c r="BZ71" s="75" t="e">
        <v>#N/A</v>
      </c>
      <c r="CB71" s="30" t="e">
        <f t="shared" si="57"/>
        <v>#N/A</v>
      </c>
      <c r="CC71" s="75" t="e">
        <v>#N/A</v>
      </c>
      <c r="CD71" s="75" t="e">
        <v>#N/A</v>
      </c>
      <c r="CE71" s="75" t="e">
        <v>#N/A</v>
      </c>
      <c r="CF71" s="75" t="e">
        <v>#N/A</v>
      </c>
      <c r="CH71" s="30" t="e">
        <f t="shared" si="58"/>
        <v>#N/A</v>
      </c>
      <c r="CI71" s="75" t="e">
        <v>#N/A</v>
      </c>
      <c r="CJ71" s="75" t="e">
        <v>#N/A</v>
      </c>
      <c r="CK71" s="75" t="e">
        <v>#N/A</v>
      </c>
      <c r="CL71" s="75" t="e">
        <v>#N/A</v>
      </c>
      <c r="CM71" s="75"/>
      <c r="CN71" s="30" t="e">
        <f t="shared" si="59"/>
        <v>#N/A</v>
      </c>
      <c r="CO71" s="75" t="e">
        <v>#N/A</v>
      </c>
      <c r="CP71" s="75" t="e">
        <v>#N/A</v>
      </c>
      <c r="CQ71" s="75" t="e">
        <v>#N/A</v>
      </c>
      <c r="CR71" s="75" t="e">
        <v>#N/A</v>
      </c>
      <c r="CS71" s="72" t="e">
        <f t="shared" si="67"/>
        <v>#REF!</v>
      </c>
      <c r="CT71" s="30" t="e">
        <f t="shared" si="60"/>
        <v>#N/A</v>
      </c>
      <c r="CU71" s="75" t="e">
        <v>#N/A</v>
      </c>
      <c r="CV71" s="75" t="e">
        <v>#N/A</v>
      </c>
      <c r="CW71" s="75" t="e">
        <v>#N/A</v>
      </c>
      <c r="CX71" s="75" t="e">
        <v>#N/A</v>
      </c>
      <c r="CZ71" s="30" t="e">
        <f t="shared" si="61"/>
        <v>#N/A</v>
      </c>
      <c r="DA71" s="75" t="e">
        <v>#N/A</v>
      </c>
      <c r="DB71" s="75" t="e">
        <v>#N/A</v>
      </c>
      <c r="DC71" s="75" t="e">
        <v>#N/A</v>
      </c>
      <c r="DD71" s="75" t="e">
        <v>#N/A</v>
      </c>
      <c r="DF71" s="30" t="e">
        <f t="shared" si="62"/>
        <v>#N/A</v>
      </c>
      <c r="DG71" s="75" t="e">
        <v>#N/A</v>
      </c>
      <c r="DH71" s="75" t="e">
        <v>#N/A</v>
      </c>
      <c r="DI71" s="75" t="e">
        <v>#N/A</v>
      </c>
      <c r="DJ71" s="75" t="e">
        <v>#N/A</v>
      </c>
      <c r="DK71" s="75"/>
      <c r="DL71" s="30" t="e">
        <f t="shared" si="63"/>
        <v>#N/A</v>
      </c>
      <c r="DM71" s="75" t="e">
        <v>#N/A</v>
      </c>
      <c r="DN71" s="75" t="e">
        <v>#N/A</v>
      </c>
      <c r="DO71" s="75" t="e">
        <v>#N/A</v>
      </c>
      <c r="DP71" s="75" t="e">
        <v>#N/A</v>
      </c>
    </row>
    <row r="72" spans="1:120">
      <c r="A72" s="72" t="e">
        <f>name!#REF!</f>
        <v>#REF!</v>
      </c>
      <c r="B72" s="30" t="e">
        <f t="shared" si="44"/>
        <v>#N/A</v>
      </c>
      <c r="C72" s="75" t="e">
        <v>#N/A</v>
      </c>
      <c r="D72" s="75" t="e">
        <v>#N/A</v>
      </c>
      <c r="E72" s="75" t="e">
        <v>#N/A</v>
      </c>
      <c r="F72" s="75" t="e">
        <v>#N/A</v>
      </c>
      <c r="H72" s="30" t="e">
        <f t="shared" si="45"/>
        <v>#N/A</v>
      </c>
      <c r="I72" s="75" t="e">
        <v>#N/A</v>
      </c>
      <c r="J72" s="75" t="e">
        <v>#N/A</v>
      </c>
      <c r="K72" s="75" t="e">
        <v>#N/A</v>
      </c>
      <c r="L72" s="75" t="e">
        <v>#N/A</v>
      </c>
      <c r="N72" s="30" t="e">
        <f t="shared" si="46"/>
        <v>#N/A</v>
      </c>
      <c r="O72" s="75" t="e">
        <v>#N/A</v>
      </c>
      <c r="P72" s="75" t="e">
        <v>#N/A</v>
      </c>
      <c r="Q72" s="75" t="e">
        <v>#N/A</v>
      </c>
      <c r="R72" s="75" t="e">
        <v>#N/A</v>
      </c>
      <c r="S72" s="75"/>
      <c r="T72" s="30" t="e">
        <f t="shared" si="47"/>
        <v>#N/A</v>
      </c>
      <c r="U72" s="75" t="e">
        <v>#N/A</v>
      </c>
      <c r="V72" s="75" t="e">
        <v>#N/A</v>
      </c>
      <c r="W72" s="75" t="e">
        <v>#N/A</v>
      </c>
      <c r="X72" s="75" t="e">
        <v>#N/A</v>
      </c>
      <c r="Y72" s="72" t="e">
        <f t="shared" si="64"/>
        <v>#REF!</v>
      </c>
      <c r="Z72" s="30" t="e">
        <f t="shared" si="48"/>
        <v>#N/A</v>
      </c>
      <c r="AA72" s="75" t="e">
        <v>#N/A</v>
      </c>
      <c r="AB72" s="75" t="e">
        <v>#N/A</v>
      </c>
      <c r="AC72" s="75" t="e">
        <v>#N/A</v>
      </c>
      <c r="AD72" s="75" t="e">
        <v>#N/A</v>
      </c>
      <c r="AF72" s="30" t="e">
        <f t="shared" si="49"/>
        <v>#N/A</v>
      </c>
      <c r="AG72" s="75" t="e">
        <v>#N/A</v>
      </c>
      <c r="AH72" s="75" t="e">
        <v>#N/A</v>
      </c>
      <c r="AI72" s="75" t="e">
        <v>#N/A</v>
      </c>
      <c r="AJ72" s="75" t="e">
        <v>#N/A</v>
      </c>
      <c r="AL72" s="30" t="e">
        <f t="shared" si="50"/>
        <v>#N/A</v>
      </c>
      <c r="AM72" s="75" t="e">
        <v>#N/A</v>
      </c>
      <c r="AN72" s="75" t="e">
        <v>#N/A</v>
      </c>
      <c r="AO72" s="75" t="e">
        <v>#N/A</v>
      </c>
      <c r="AP72" s="75" t="e">
        <v>#N/A</v>
      </c>
      <c r="AQ72" s="75"/>
      <c r="AR72" s="30" t="e">
        <f t="shared" si="51"/>
        <v>#N/A</v>
      </c>
      <c r="AS72" s="75" t="e">
        <v>#N/A</v>
      </c>
      <c r="AT72" s="75" t="e">
        <v>#N/A</v>
      </c>
      <c r="AU72" s="75" t="e">
        <v>#N/A</v>
      </c>
      <c r="AV72" s="75" t="e">
        <v>#N/A</v>
      </c>
      <c r="AW72" s="72" t="e">
        <f t="shared" si="65"/>
        <v>#REF!</v>
      </c>
      <c r="AX72" s="30" t="e">
        <f t="shared" si="52"/>
        <v>#N/A</v>
      </c>
      <c r="AY72" s="75" t="e">
        <v>#N/A</v>
      </c>
      <c r="AZ72" s="75" t="e">
        <v>#N/A</v>
      </c>
      <c r="BA72" s="75" t="e">
        <v>#N/A</v>
      </c>
      <c r="BB72" s="75" t="e">
        <v>#N/A</v>
      </c>
      <c r="BD72" s="30" t="e">
        <f t="shared" si="53"/>
        <v>#N/A</v>
      </c>
      <c r="BE72" s="75" t="e">
        <v>#N/A</v>
      </c>
      <c r="BF72" s="75" t="e">
        <v>#N/A</v>
      </c>
      <c r="BG72" s="75" t="e">
        <v>#N/A</v>
      </c>
      <c r="BH72" s="75" t="e">
        <v>#N/A</v>
      </c>
      <c r="BJ72" s="30" t="e">
        <f t="shared" si="54"/>
        <v>#N/A</v>
      </c>
      <c r="BK72" s="75" t="e">
        <v>#N/A</v>
      </c>
      <c r="BL72" s="75" t="e">
        <v>#N/A</v>
      </c>
      <c r="BM72" s="75" t="e">
        <v>#N/A</v>
      </c>
      <c r="BN72" s="75" t="e">
        <v>#N/A</v>
      </c>
      <c r="BO72" s="75"/>
      <c r="BP72" s="30" t="e">
        <f t="shared" si="55"/>
        <v>#N/A</v>
      </c>
      <c r="BQ72" s="75" t="e">
        <v>#N/A</v>
      </c>
      <c r="BR72" s="75" t="e">
        <v>#N/A</v>
      </c>
      <c r="BS72" s="75" t="e">
        <v>#N/A</v>
      </c>
      <c r="BT72" s="75" t="e">
        <v>#N/A</v>
      </c>
      <c r="BU72" s="72" t="e">
        <f t="shared" si="66"/>
        <v>#REF!</v>
      </c>
      <c r="BV72" s="30" t="e">
        <f t="shared" si="56"/>
        <v>#N/A</v>
      </c>
      <c r="BW72" s="75" t="e">
        <v>#N/A</v>
      </c>
      <c r="BX72" s="75" t="e">
        <v>#N/A</v>
      </c>
      <c r="BY72" s="75" t="e">
        <v>#N/A</v>
      </c>
      <c r="BZ72" s="75" t="e">
        <v>#N/A</v>
      </c>
      <c r="CB72" s="30" t="e">
        <f t="shared" si="57"/>
        <v>#N/A</v>
      </c>
      <c r="CC72" s="75" t="e">
        <v>#N/A</v>
      </c>
      <c r="CD72" s="75" t="e">
        <v>#N/A</v>
      </c>
      <c r="CE72" s="75" t="e">
        <v>#N/A</v>
      </c>
      <c r="CF72" s="75" t="e">
        <v>#N/A</v>
      </c>
      <c r="CH72" s="30" t="e">
        <f t="shared" si="58"/>
        <v>#N/A</v>
      </c>
      <c r="CI72" s="75" t="e">
        <v>#N/A</v>
      </c>
      <c r="CJ72" s="75" t="e">
        <v>#N/A</v>
      </c>
      <c r="CK72" s="75" t="e">
        <v>#N/A</v>
      </c>
      <c r="CL72" s="75" t="e">
        <v>#N/A</v>
      </c>
      <c r="CM72" s="75"/>
      <c r="CN72" s="30" t="e">
        <f t="shared" si="59"/>
        <v>#N/A</v>
      </c>
      <c r="CO72" s="75" t="e">
        <v>#N/A</v>
      </c>
      <c r="CP72" s="75" t="e">
        <v>#N/A</v>
      </c>
      <c r="CQ72" s="75" t="e">
        <v>#N/A</v>
      </c>
      <c r="CR72" s="75" t="e">
        <v>#N/A</v>
      </c>
      <c r="CS72" s="72" t="e">
        <f t="shared" si="67"/>
        <v>#REF!</v>
      </c>
      <c r="CT72" s="30" t="e">
        <f t="shared" si="60"/>
        <v>#N/A</v>
      </c>
      <c r="CU72" s="75" t="e">
        <v>#N/A</v>
      </c>
      <c r="CV72" s="75" t="e">
        <v>#N/A</v>
      </c>
      <c r="CW72" s="75" t="e">
        <v>#N/A</v>
      </c>
      <c r="CX72" s="75" t="e">
        <v>#N/A</v>
      </c>
      <c r="CZ72" s="30" t="e">
        <f t="shared" si="61"/>
        <v>#N/A</v>
      </c>
      <c r="DA72" s="75" t="e">
        <v>#N/A</v>
      </c>
      <c r="DB72" s="75" t="e">
        <v>#N/A</v>
      </c>
      <c r="DC72" s="75" t="e">
        <v>#N/A</v>
      </c>
      <c r="DD72" s="75" t="e">
        <v>#N/A</v>
      </c>
      <c r="DF72" s="30" t="e">
        <f t="shared" si="62"/>
        <v>#N/A</v>
      </c>
      <c r="DG72" s="75" t="e">
        <v>#N/A</v>
      </c>
      <c r="DH72" s="75" t="e">
        <v>#N/A</v>
      </c>
      <c r="DI72" s="75" t="e">
        <v>#N/A</v>
      </c>
      <c r="DJ72" s="75" t="e">
        <v>#N/A</v>
      </c>
      <c r="DK72" s="75"/>
      <c r="DL72" s="30" t="e">
        <f t="shared" si="63"/>
        <v>#N/A</v>
      </c>
      <c r="DM72" s="75" t="e">
        <v>#N/A</v>
      </c>
      <c r="DN72" s="75" t="e">
        <v>#N/A</v>
      </c>
      <c r="DO72" s="75" t="e">
        <v>#N/A</v>
      </c>
      <c r="DP72" s="75" t="e">
        <v>#N/A</v>
      </c>
    </row>
    <row r="73" spans="1:120">
      <c r="A73" s="72" t="e">
        <f>name!#REF!</f>
        <v>#REF!</v>
      </c>
      <c r="B73" s="30" t="e">
        <f t="shared" si="44"/>
        <v>#N/A</v>
      </c>
      <c r="C73" s="75" t="e">
        <v>#N/A</v>
      </c>
      <c r="D73" s="75" t="e">
        <v>#N/A</v>
      </c>
      <c r="E73" s="75" t="e">
        <v>#N/A</v>
      </c>
      <c r="F73" s="75" t="e">
        <v>#N/A</v>
      </c>
      <c r="H73" s="30" t="e">
        <f t="shared" si="45"/>
        <v>#N/A</v>
      </c>
      <c r="I73" s="75" t="e">
        <v>#N/A</v>
      </c>
      <c r="J73" s="75" t="e">
        <v>#N/A</v>
      </c>
      <c r="K73" s="75" t="e">
        <v>#N/A</v>
      </c>
      <c r="L73" s="75" t="e">
        <v>#N/A</v>
      </c>
      <c r="N73" s="30" t="e">
        <f t="shared" si="46"/>
        <v>#N/A</v>
      </c>
      <c r="O73" s="75" t="e">
        <v>#N/A</v>
      </c>
      <c r="P73" s="75" t="e">
        <v>#N/A</v>
      </c>
      <c r="Q73" s="75" t="e">
        <v>#N/A</v>
      </c>
      <c r="R73" s="75" t="e">
        <v>#N/A</v>
      </c>
      <c r="S73" s="75"/>
      <c r="T73" s="30" t="e">
        <f t="shared" si="47"/>
        <v>#N/A</v>
      </c>
      <c r="U73" s="75" t="e">
        <v>#N/A</v>
      </c>
      <c r="V73" s="75" t="e">
        <v>#N/A</v>
      </c>
      <c r="W73" s="75" t="e">
        <v>#N/A</v>
      </c>
      <c r="X73" s="75" t="e">
        <v>#N/A</v>
      </c>
      <c r="Y73" s="72" t="e">
        <f t="shared" si="64"/>
        <v>#REF!</v>
      </c>
      <c r="Z73" s="30" t="e">
        <f t="shared" si="48"/>
        <v>#N/A</v>
      </c>
      <c r="AA73" s="75" t="e">
        <v>#N/A</v>
      </c>
      <c r="AB73" s="75" t="e">
        <v>#N/A</v>
      </c>
      <c r="AC73" s="75" t="e">
        <v>#N/A</v>
      </c>
      <c r="AD73" s="75" t="e">
        <v>#N/A</v>
      </c>
      <c r="AF73" s="30" t="e">
        <f t="shared" si="49"/>
        <v>#N/A</v>
      </c>
      <c r="AG73" s="75" t="e">
        <v>#N/A</v>
      </c>
      <c r="AH73" s="75" t="e">
        <v>#N/A</v>
      </c>
      <c r="AI73" s="75" t="e">
        <v>#N/A</v>
      </c>
      <c r="AJ73" s="75" t="e">
        <v>#N/A</v>
      </c>
      <c r="AL73" s="30" t="e">
        <f t="shared" si="50"/>
        <v>#N/A</v>
      </c>
      <c r="AM73" s="75" t="e">
        <v>#N/A</v>
      </c>
      <c r="AN73" s="75" t="e">
        <v>#N/A</v>
      </c>
      <c r="AO73" s="75" t="e">
        <v>#N/A</v>
      </c>
      <c r="AP73" s="75" t="e">
        <v>#N/A</v>
      </c>
      <c r="AQ73" s="75"/>
      <c r="AR73" s="30" t="e">
        <f t="shared" si="51"/>
        <v>#N/A</v>
      </c>
      <c r="AS73" s="75" t="e">
        <v>#N/A</v>
      </c>
      <c r="AT73" s="75" t="e">
        <v>#N/A</v>
      </c>
      <c r="AU73" s="75" t="e">
        <v>#N/A</v>
      </c>
      <c r="AV73" s="75" t="e">
        <v>#N/A</v>
      </c>
      <c r="AW73" s="72" t="e">
        <f t="shared" si="65"/>
        <v>#REF!</v>
      </c>
      <c r="AX73" s="30" t="e">
        <f t="shared" si="52"/>
        <v>#N/A</v>
      </c>
      <c r="AY73" s="75" t="e">
        <v>#N/A</v>
      </c>
      <c r="AZ73" s="75" t="e">
        <v>#N/A</v>
      </c>
      <c r="BA73" s="75" t="e">
        <v>#N/A</v>
      </c>
      <c r="BB73" s="75" t="e">
        <v>#N/A</v>
      </c>
      <c r="BD73" s="30" t="e">
        <f t="shared" si="53"/>
        <v>#N/A</v>
      </c>
      <c r="BE73" s="75" t="e">
        <v>#N/A</v>
      </c>
      <c r="BF73" s="75" t="e">
        <v>#N/A</v>
      </c>
      <c r="BG73" s="75" t="e">
        <v>#N/A</v>
      </c>
      <c r="BH73" s="75" t="e">
        <v>#N/A</v>
      </c>
      <c r="BJ73" s="30" t="e">
        <f t="shared" si="54"/>
        <v>#N/A</v>
      </c>
      <c r="BK73" s="75" t="e">
        <v>#N/A</v>
      </c>
      <c r="BL73" s="75" t="e">
        <v>#N/A</v>
      </c>
      <c r="BM73" s="75" t="e">
        <v>#N/A</v>
      </c>
      <c r="BN73" s="75" t="e">
        <v>#N/A</v>
      </c>
      <c r="BO73" s="75"/>
      <c r="BP73" s="30" t="e">
        <f t="shared" si="55"/>
        <v>#N/A</v>
      </c>
      <c r="BQ73" s="75" t="e">
        <v>#N/A</v>
      </c>
      <c r="BR73" s="75" t="e">
        <v>#N/A</v>
      </c>
      <c r="BS73" s="75" t="e">
        <v>#N/A</v>
      </c>
      <c r="BT73" s="75" t="e">
        <v>#N/A</v>
      </c>
      <c r="BU73" s="72" t="e">
        <f t="shared" si="66"/>
        <v>#REF!</v>
      </c>
      <c r="BV73" s="30" t="e">
        <f t="shared" si="56"/>
        <v>#N/A</v>
      </c>
      <c r="BW73" s="75" t="e">
        <v>#N/A</v>
      </c>
      <c r="BX73" s="75" t="e">
        <v>#N/A</v>
      </c>
      <c r="BY73" s="75" t="e">
        <v>#N/A</v>
      </c>
      <c r="BZ73" s="75" t="e">
        <v>#N/A</v>
      </c>
      <c r="CB73" s="30" t="e">
        <f t="shared" si="57"/>
        <v>#N/A</v>
      </c>
      <c r="CC73" s="75" t="e">
        <v>#N/A</v>
      </c>
      <c r="CD73" s="75" t="e">
        <v>#N/A</v>
      </c>
      <c r="CE73" s="75" t="e">
        <v>#N/A</v>
      </c>
      <c r="CF73" s="75" t="e">
        <v>#N/A</v>
      </c>
      <c r="CH73" s="30" t="e">
        <f t="shared" si="58"/>
        <v>#N/A</v>
      </c>
      <c r="CI73" s="75" t="e">
        <v>#N/A</v>
      </c>
      <c r="CJ73" s="75" t="e">
        <v>#N/A</v>
      </c>
      <c r="CK73" s="75" t="e">
        <v>#N/A</v>
      </c>
      <c r="CL73" s="75" t="e">
        <v>#N/A</v>
      </c>
      <c r="CM73" s="75"/>
      <c r="CN73" s="30" t="e">
        <f t="shared" si="59"/>
        <v>#N/A</v>
      </c>
      <c r="CO73" s="75" t="e">
        <v>#N/A</v>
      </c>
      <c r="CP73" s="75" t="e">
        <v>#N/A</v>
      </c>
      <c r="CQ73" s="75" t="e">
        <v>#N/A</v>
      </c>
      <c r="CR73" s="75" t="e">
        <v>#N/A</v>
      </c>
      <c r="CS73" s="72" t="e">
        <f t="shared" si="67"/>
        <v>#REF!</v>
      </c>
      <c r="CT73" s="30" t="e">
        <f t="shared" si="60"/>
        <v>#N/A</v>
      </c>
      <c r="CU73" s="75" t="e">
        <v>#N/A</v>
      </c>
      <c r="CV73" s="75" t="e">
        <v>#N/A</v>
      </c>
      <c r="CW73" s="75" t="e">
        <v>#N/A</v>
      </c>
      <c r="CX73" s="75" t="e">
        <v>#N/A</v>
      </c>
      <c r="CZ73" s="30" t="e">
        <f t="shared" si="61"/>
        <v>#N/A</v>
      </c>
      <c r="DA73" s="75" t="e">
        <v>#N/A</v>
      </c>
      <c r="DB73" s="75" t="e">
        <v>#N/A</v>
      </c>
      <c r="DC73" s="75" t="e">
        <v>#N/A</v>
      </c>
      <c r="DD73" s="75" t="e">
        <v>#N/A</v>
      </c>
      <c r="DF73" s="30" t="e">
        <f t="shared" si="62"/>
        <v>#N/A</v>
      </c>
      <c r="DG73" s="75" t="e">
        <v>#N/A</v>
      </c>
      <c r="DH73" s="75" t="e">
        <v>#N/A</v>
      </c>
      <c r="DI73" s="75" t="e">
        <v>#N/A</v>
      </c>
      <c r="DJ73" s="75" t="e">
        <v>#N/A</v>
      </c>
      <c r="DK73" s="75"/>
      <c r="DL73" s="30" t="e">
        <f t="shared" si="63"/>
        <v>#N/A</v>
      </c>
      <c r="DM73" s="75" t="e">
        <v>#N/A</v>
      </c>
      <c r="DN73" s="75" t="e">
        <v>#N/A</v>
      </c>
      <c r="DO73" s="75" t="e">
        <v>#N/A</v>
      </c>
      <c r="DP73" s="75" t="e">
        <v>#N/A</v>
      </c>
    </row>
    <row r="74" spans="1:120">
      <c r="A74" s="72" t="e">
        <f>name!#REF!</f>
        <v>#REF!</v>
      </c>
      <c r="B74" s="30" t="e">
        <f t="shared" si="44"/>
        <v>#N/A</v>
      </c>
      <c r="C74" s="75" t="e">
        <v>#N/A</v>
      </c>
      <c r="D74" s="75" t="e">
        <v>#N/A</v>
      </c>
      <c r="E74" s="75" t="e">
        <v>#N/A</v>
      </c>
      <c r="F74" s="75" t="e">
        <v>#N/A</v>
      </c>
      <c r="H74" s="30" t="e">
        <f t="shared" si="45"/>
        <v>#N/A</v>
      </c>
      <c r="I74" s="75" t="e">
        <v>#N/A</v>
      </c>
      <c r="J74" s="75" t="e">
        <v>#N/A</v>
      </c>
      <c r="K74" s="75" t="e">
        <v>#N/A</v>
      </c>
      <c r="L74" s="75" t="e">
        <v>#N/A</v>
      </c>
      <c r="N74" s="30" t="e">
        <f t="shared" si="46"/>
        <v>#N/A</v>
      </c>
      <c r="O74" s="75" t="e">
        <v>#N/A</v>
      </c>
      <c r="P74" s="75" t="e">
        <v>#N/A</v>
      </c>
      <c r="Q74" s="75" t="e">
        <v>#N/A</v>
      </c>
      <c r="R74" s="75" t="e">
        <v>#N/A</v>
      </c>
      <c r="S74" s="75"/>
      <c r="T74" s="30" t="e">
        <f t="shared" si="47"/>
        <v>#N/A</v>
      </c>
      <c r="U74" s="75" t="e">
        <v>#N/A</v>
      </c>
      <c r="V74" s="75" t="e">
        <v>#N/A</v>
      </c>
      <c r="W74" s="75" t="e">
        <v>#N/A</v>
      </c>
      <c r="X74" s="75" t="e">
        <v>#N/A</v>
      </c>
      <c r="Y74" s="72" t="e">
        <f t="shared" si="64"/>
        <v>#REF!</v>
      </c>
      <c r="Z74" s="30" t="e">
        <f t="shared" si="48"/>
        <v>#N/A</v>
      </c>
      <c r="AA74" s="75" t="e">
        <v>#N/A</v>
      </c>
      <c r="AB74" s="75" t="e">
        <v>#N/A</v>
      </c>
      <c r="AC74" s="75" t="e">
        <v>#N/A</v>
      </c>
      <c r="AD74" s="75" t="e">
        <v>#N/A</v>
      </c>
      <c r="AF74" s="30" t="e">
        <f t="shared" si="49"/>
        <v>#N/A</v>
      </c>
      <c r="AG74" s="75" t="e">
        <v>#N/A</v>
      </c>
      <c r="AH74" s="75" t="e">
        <v>#N/A</v>
      </c>
      <c r="AI74" s="75" t="e">
        <v>#N/A</v>
      </c>
      <c r="AJ74" s="75" t="e">
        <v>#N/A</v>
      </c>
      <c r="AL74" s="30" t="e">
        <f t="shared" si="50"/>
        <v>#N/A</v>
      </c>
      <c r="AM74" s="75" t="e">
        <v>#N/A</v>
      </c>
      <c r="AN74" s="75" t="e">
        <v>#N/A</v>
      </c>
      <c r="AO74" s="75" t="e">
        <v>#N/A</v>
      </c>
      <c r="AP74" s="75" t="e">
        <v>#N/A</v>
      </c>
      <c r="AQ74" s="75"/>
      <c r="AR74" s="30" t="e">
        <f t="shared" si="51"/>
        <v>#N/A</v>
      </c>
      <c r="AS74" s="75" t="e">
        <v>#N/A</v>
      </c>
      <c r="AT74" s="75" t="e">
        <v>#N/A</v>
      </c>
      <c r="AU74" s="75" t="e">
        <v>#N/A</v>
      </c>
      <c r="AV74" s="75" t="e">
        <v>#N/A</v>
      </c>
      <c r="AW74" s="72" t="e">
        <f t="shared" si="65"/>
        <v>#REF!</v>
      </c>
      <c r="AX74" s="30" t="e">
        <f t="shared" si="52"/>
        <v>#N/A</v>
      </c>
      <c r="AY74" s="75" t="e">
        <v>#N/A</v>
      </c>
      <c r="AZ74" s="75" t="e">
        <v>#N/A</v>
      </c>
      <c r="BA74" s="75" t="e">
        <v>#N/A</v>
      </c>
      <c r="BB74" s="75" t="e">
        <v>#N/A</v>
      </c>
      <c r="BD74" s="30" t="e">
        <f t="shared" si="53"/>
        <v>#N/A</v>
      </c>
      <c r="BE74" s="75" t="e">
        <v>#N/A</v>
      </c>
      <c r="BF74" s="75" t="e">
        <v>#N/A</v>
      </c>
      <c r="BG74" s="75" t="e">
        <v>#N/A</v>
      </c>
      <c r="BH74" s="75" t="e">
        <v>#N/A</v>
      </c>
      <c r="BJ74" s="30" t="e">
        <f t="shared" si="54"/>
        <v>#N/A</v>
      </c>
      <c r="BK74" s="75" t="e">
        <v>#N/A</v>
      </c>
      <c r="BL74" s="75" t="e">
        <v>#N/A</v>
      </c>
      <c r="BM74" s="75" t="e">
        <v>#N/A</v>
      </c>
      <c r="BN74" s="75" t="e">
        <v>#N/A</v>
      </c>
      <c r="BO74" s="75"/>
      <c r="BP74" s="30" t="e">
        <f t="shared" si="55"/>
        <v>#N/A</v>
      </c>
      <c r="BQ74" s="75" t="e">
        <v>#N/A</v>
      </c>
      <c r="BR74" s="75" t="e">
        <v>#N/A</v>
      </c>
      <c r="BS74" s="75" t="e">
        <v>#N/A</v>
      </c>
      <c r="BT74" s="75" t="e">
        <v>#N/A</v>
      </c>
      <c r="BU74" s="72" t="e">
        <f t="shared" si="66"/>
        <v>#REF!</v>
      </c>
      <c r="BV74" s="30" t="e">
        <f t="shared" si="56"/>
        <v>#N/A</v>
      </c>
      <c r="BW74" s="75" t="e">
        <v>#N/A</v>
      </c>
      <c r="BX74" s="75" t="e">
        <v>#N/A</v>
      </c>
      <c r="BY74" s="75" t="e">
        <v>#N/A</v>
      </c>
      <c r="BZ74" s="75" t="e">
        <v>#N/A</v>
      </c>
      <c r="CB74" s="30" t="e">
        <f t="shared" si="57"/>
        <v>#N/A</v>
      </c>
      <c r="CC74" s="75" t="e">
        <v>#N/A</v>
      </c>
      <c r="CD74" s="75" t="e">
        <v>#N/A</v>
      </c>
      <c r="CE74" s="75" t="e">
        <v>#N/A</v>
      </c>
      <c r="CF74" s="75" t="e">
        <v>#N/A</v>
      </c>
      <c r="CH74" s="30" t="e">
        <f t="shared" si="58"/>
        <v>#N/A</v>
      </c>
      <c r="CI74" s="75" t="e">
        <v>#N/A</v>
      </c>
      <c r="CJ74" s="75" t="e">
        <v>#N/A</v>
      </c>
      <c r="CK74" s="75" t="e">
        <v>#N/A</v>
      </c>
      <c r="CL74" s="75" t="e">
        <v>#N/A</v>
      </c>
      <c r="CM74" s="75"/>
      <c r="CN74" s="30" t="e">
        <f t="shared" si="59"/>
        <v>#N/A</v>
      </c>
      <c r="CO74" s="75" t="e">
        <v>#N/A</v>
      </c>
      <c r="CP74" s="75" t="e">
        <v>#N/A</v>
      </c>
      <c r="CQ74" s="75" t="e">
        <v>#N/A</v>
      </c>
      <c r="CR74" s="75" t="e">
        <v>#N/A</v>
      </c>
      <c r="CS74" s="72" t="e">
        <f t="shared" si="67"/>
        <v>#REF!</v>
      </c>
      <c r="CT74" s="30" t="e">
        <f t="shared" si="60"/>
        <v>#N/A</v>
      </c>
      <c r="CU74" s="75" t="e">
        <v>#N/A</v>
      </c>
      <c r="CV74" s="75" t="e">
        <v>#N/A</v>
      </c>
      <c r="CW74" s="75" t="e">
        <v>#N/A</v>
      </c>
      <c r="CX74" s="75" t="e">
        <v>#N/A</v>
      </c>
      <c r="CZ74" s="30" t="e">
        <f t="shared" si="61"/>
        <v>#N/A</v>
      </c>
      <c r="DA74" s="75" t="e">
        <v>#N/A</v>
      </c>
      <c r="DB74" s="75" t="e">
        <v>#N/A</v>
      </c>
      <c r="DC74" s="75" t="e">
        <v>#N/A</v>
      </c>
      <c r="DD74" s="75" t="e">
        <v>#N/A</v>
      </c>
      <c r="DF74" s="30" t="e">
        <f t="shared" si="62"/>
        <v>#N/A</v>
      </c>
      <c r="DG74" s="75" t="e">
        <v>#N/A</v>
      </c>
      <c r="DH74" s="75" t="e">
        <v>#N/A</v>
      </c>
      <c r="DI74" s="75" t="e">
        <v>#N/A</v>
      </c>
      <c r="DJ74" s="75" t="e">
        <v>#N/A</v>
      </c>
      <c r="DK74" s="75"/>
      <c r="DL74" s="30" t="e">
        <f t="shared" si="63"/>
        <v>#N/A</v>
      </c>
      <c r="DM74" s="75" t="e">
        <v>#N/A</v>
      </c>
      <c r="DN74" s="75" t="e">
        <v>#N/A</v>
      </c>
      <c r="DO74" s="75" t="e">
        <v>#N/A</v>
      </c>
      <c r="DP74" s="75" t="e">
        <v>#N/A</v>
      </c>
    </row>
    <row r="75" spans="1:120">
      <c r="A75" s="72" t="e">
        <f>name!#REF!</f>
        <v>#REF!</v>
      </c>
      <c r="B75" s="30" t="e">
        <f t="shared" si="44"/>
        <v>#N/A</v>
      </c>
      <c r="C75" s="75" t="e">
        <v>#N/A</v>
      </c>
      <c r="D75" s="75" t="e">
        <v>#N/A</v>
      </c>
      <c r="E75" s="75" t="e">
        <v>#N/A</v>
      </c>
      <c r="F75" s="75" t="e">
        <v>#N/A</v>
      </c>
      <c r="H75" s="30" t="e">
        <f t="shared" si="45"/>
        <v>#N/A</v>
      </c>
      <c r="I75" s="75" t="e">
        <v>#N/A</v>
      </c>
      <c r="J75" s="75" t="e">
        <v>#N/A</v>
      </c>
      <c r="K75" s="75" t="e">
        <v>#N/A</v>
      </c>
      <c r="L75" s="75" t="e">
        <v>#N/A</v>
      </c>
      <c r="N75" s="30" t="e">
        <f t="shared" si="46"/>
        <v>#N/A</v>
      </c>
      <c r="O75" s="75" t="e">
        <v>#N/A</v>
      </c>
      <c r="P75" s="75" t="e">
        <v>#N/A</v>
      </c>
      <c r="Q75" s="75" t="e">
        <v>#N/A</v>
      </c>
      <c r="R75" s="75" t="e">
        <v>#N/A</v>
      </c>
      <c r="S75" s="75"/>
      <c r="T75" s="30" t="e">
        <f t="shared" si="47"/>
        <v>#N/A</v>
      </c>
      <c r="U75" s="75" t="e">
        <v>#N/A</v>
      </c>
      <c r="V75" s="75" t="e">
        <v>#N/A</v>
      </c>
      <c r="W75" s="75" t="e">
        <v>#N/A</v>
      </c>
      <c r="X75" s="75" t="e">
        <v>#N/A</v>
      </c>
      <c r="Y75" s="72" t="e">
        <f t="shared" si="64"/>
        <v>#REF!</v>
      </c>
      <c r="Z75" s="30" t="e">
        <f t="shared" si="48"/>
        <v>#N/A</v>
      </c>
      <c r="AA75" s="75" t="e">
        <v>#N/A</v>
      </c>
      <c r="AB75" s="75" t="e">
        <v>#N/A</v>
      </c>
      <c r="AC75" s="75" t="e">
        <v>#N/A</v>
      </c>
      <c r="AD75" s="75" t="e">
        <v>#N/A</v>
      </c>
      <c r="AF75" s="30" t="e">
        <f t="shared" si="49"/>
        <v>#N/A</v>
      </c>
      <c r="AG75" s="75" t="e">
        <v>#N/A</v>
      </c>
      <c r="AH75" s="75" t="e">
        <v>#N/A</v>
      </c>
      <c r="AI75" s="75" t="e">
        <v>#N/A</v>
      </c>
      <c r="AJ75" s="75" t="e">
        <v>#N/A</v>
      </c>
      <c r="AL75" s="30" t="e">
        <f t="shared" si="50"/>
        <v>#N/A</v>
      </c>
      <c r="AM75" s="75" t="e">
        <v>#N/A</v>
      </c>
      <c r="AN75" s="75" t="e">
        <v>#N/A</v>
      </c>
      <c r="AO75" s="75" t="e">
        <v>#N/A</v>
      </c>
      <c r="AP75" s="75" t="e">
        <v>#N/A</v>
      </c>
      <c r="AQ75" s="75"/>
      <c r="AR75" s="30" t="e">
        <f t="shared" si="51"/>
        <v>#N/A</v>
      </c>
      <c r="AS75" s="75" t="e">
        <v>#N/A</v>
      </c>
      <c r="AT75" s="75" t="e">
        <v>#N/A</v>
      </c>
      <c r="AU75" s="75" t="e">
        <v>#N/A</v>
      </c>
      <c r="AV75" s="75" t="e">
        <v>#N/A</v>
      </c>
      <c r="AW75" s="72" t="e">
        <f t="shared" si="65"/>
        <v>#REF!</v>
      </c>
      <c r="AX75" s="30" t="e">
        <f t="shared" si="52"/>
        <v>#N/A</v>
      </c>
      <c r="AY75" s="75" t="e">
        <v>#N/A</v>
      </c>
      <c r="AZ75" s="75" t="e">
        <v>#N/A</v>
      </c>
      <c r="BA75" s="75" t="e">
        <v>#N/A</v>
      </c>
      <c r="BB75" s="75" t="e">
        <v>#N/A</v>
      </c>
      <c r="BD75" s="30" t="e">
        <f t="shared" si="53"/>
        <v>#N/A</v>
      </c>
      <c r="BE75" s="75" t="e">
        <v>#N/A</v>
      </c>
      <c r="BF75" s="75" t="e">
        <v>#N/A</v>
      </c>
      <c r="BG75" s="75" t="e">
        <v>#N/A</v>
      </c>
      <c r="BH75" s="75" t="e">
        <v>#N/A</v>
      </c>
      <c r="BJ75" s="30" t="e">
        <f t="shared" si="54"/>
        <v>#N/A</v>
      </c>
      <c r="BK75" s="75" t="e">
        <v>#N/A</v>
      </c>
      <c r="BL75" s="75" t="e">
        <v>#N/A</v>
      </c>
      <c r="BM75" s="75" t="e">
        <v>#N/A</v>
      </c>
      <c r="BN75" s="75" t="e">
        <v>#N/A</v>
      </c>
      <c r="BO75" s="75"/>
      <c r="BP75" s="30" t="e">
        <f t="shared" si="55"/>
        <v>#N/A</v>
      </c>
      <c r="BQ75" s="75" t="e">
        <v>#N/A</v>
      </c>
      <c r="BR75" s="75" t="e">
        <v>#N/A</v>
      </c>
      <c r="BS75" s="75" t="e">
        <v>#N/A</v>
      </c>
      <c r="BT75" s="75" t="e">
        <v>#N/A</v>
      </c>
      <c r="BU75" s="72" t="e">
        <f t="shared" si="66"/>
        <v>#REF!</v>
      </c>
      <c r="BV75" s="30" t="e">
        <f t="shared" si="56"/>
        <v>#N/A</v>
      </c>
      <c r="BW75" s="75" t="e">
        <v>#N/A</v>
      </c>
      <c r="BX75" s="75" t="e">
        <v>#N/A</v>
      </c>
      <c r="BY75" s="75" t="e">
        <v>#N/A</v>
      </c>
      <c r="BZ75" s="75" t="e">
        <v>#N/A</v>
      </c>
      <c r="CB75" s="30" t="e">
        <f t="shared" si="57"/>
        <v>#N/A</v>
      </c>
      <c r="CC75" s="75" t="e">
        <v>#N/A</v>
      </c>
      <c r="CD75" s="75" t="e">
        <v>#N/A</v>
      </c>
      <c r="CE75" s="75" t="e">
        <v>#N/A</v>
      </c>
      <c r="CF75" s="75" t="e">
        <v>#N/A</v>
      </c>
      <c r="CH75" s="30" t="e">
        <f t="shared" si="58"/>
        <v>#N/A</v>
      </c>
      <c r="CI75" s="75" t="e">
        <v>#N/A</v>
      </c>
      <c r="CJ75" s="75" t="e">
        <v>#N/A</v>
      </c>
      <c r="CK75" s="75" t="e">
        <v>#N/A</v>
      </c>
      <c r="CL75" s="75" t="e">
        <v>#N/A</v>
      </c>
      <c r="CM75" s="75"/>
      <c r="CN75" s="30" t="e">
        <f t="shared" si="59"/>
        <v>#N/A</v>
      </c>
      <c r="CO75" s="75" t="e">
        <v>#N/A</v>
      </c>
      <c r="CP75" s="75" t="e">
        <v>#N/A</v>
      </c>
      <c r="CQ75" s="75" t="e">
        <v>#N/A</v>
      </c>
      <c r="CR75" s="75" t="e">
        <v>#N/A</v>
      </c>
      <c r="CS75" s="72" t="e">
        <f t="shared" si="67"/>
        <v>#REF!</v>
      </c>
      <c r="CT75" s="30" t="e">
        <f t="shared" si="60"/>
        <v>#N/A</v>
      </c>
      <c r="CU75" s="75" t="e">
        <v>#N/A</v>
      </c>
      <c r="CV75" s="75" t="e">
        <v>#N/A</v>
      </c>
      <c r="CW75" s="75" t="e">
        <v>#N/A</v>
      </c>
      <c r="CX75" s="75" t="e">
        <v>#N/A</v>
      </c>
      <c r="CZ75" s="30" t="e">
        <f t="shared" si="61"/>
        <v>#N/A</v>
      </c>
      <c r="DA75" s="75" t="e">
        <v>#N/A</v>
      </c>
      <c r="DB75" s="75" t="e">
        <v>#N/A</v>
      </c>
      <c r="DC75" s="75" t="e">
        <v>#N/A</v>
      </c>
      <c r="DD75" s="75" t="e">
        <v>#N/A</v>
      </c>
      <c r="DF75" s="30" t="e">
        <f t="shared" si="62"/>
        <v>#N/A</v>
      </c>
      <c r="DG75" s="75" t="e">
        <v>#N/A</v>
      </c>
      <c r="DH75" s="75" t="e">
        <v>#N/A</v>
      </c>
      <c r="DI75" s="75" t="e">
        <v>#N/A</v>
      </c>
      <c r="DJ75" s="75" t="e">
        <v>#N/A</v>
      </c>
      <c r="DK75" s="75"/>
      <c r="DL75" s="30" t="e">
        <f t="shared" si="63"/>
        <v>#N/A</v>
      </c>
      <c r="DM75" s="75" t="e">
        <v>#N/A</v>
      </c>
      <c r="DN75" s="75" t="e">
        <v>#N/A</v>
      </c>
      <c r="DO75" s="75" t="e">
        <v>#N/A</v>
      </c>
      <c r="DP75" s="75" t="e">
        <v>#N/A</v>
      </c>
    </row>
    <row r="76" spans="1:120">
      <c r="B76" s="30"/>
      <c r="H76" s="30"/>
      <c r="N76" s="30"/>
      <c r="T76" s="30"/>
      <c r="Z76" s="30"/>
      <c r="AF76" s="30"/>
      <c r="AL76" s="30"/>
      <c r="AR76" s="30"/>
      <c r="AX76" s="30"/>
      <c r="BD76" s="30"/>
      <c r="BJ76" s="30"/>
      <c r="BP76" s="30"/>
      <c r="BV76" s="30"/>
      <c r="CB76" s="30"/>
      <c r="CH76" s="30"/>
      <c r="CN76" s="30"/>
      <c r="CT76" s="30"/>
      <c r="CZ76" s="30"/>
      <c r="DF76" s="30"/>
      <c r="DL76" s="30"/>
    </row>
    <row r="77" spans="1:120">
      <c r="A77" s="73" t="e">
        <f>name!#REF!</f>
        <v>#REF!</v>
      </c>
      <c r="B77" s="33">
        <f t="shared" si="44"/>
        <v>2.7912372459239387</v>
      </c>
      <c r="C77" s="74">
        <f>C50</f>
        <v>4561.2992279926211</v>
      </c>
      <c r="D77" s="74">
        <f>D50</f>
        <v>431.97496524334053</v>
      </c>
      <c r="E77" s="74">
        <f>E50</f>
        <v>1445.5882710202891</v>
      </c>
      <c r="F77" s="74">
        <f>F50</f>
        <v>1877.5632362636297</v>
      </c>
      <c r="G77" s="73"/>
      <c r="H77" s="33">
        <f t="shared" si="45"/>
        <v>2.6517730789267446</v>
      </c>
      <c r="I77" s="74">
        <f>I50</f>
        <v>774.77767553257945</v>
      </c>
      <c r="J77" s="74">
        <f>J50</f>
        <v>-90.9176985646708</v>
      </c>
      <c r="K77" s="74">
        <f>K50</f>
        <v>231.78692033646578</v>
      </c>
      <c r="L77" s="74">
        <f>L50</f>
        <v>140.86922177179497</v>
      </c>
      <c r="M77" s="73"/>
      <c r="N77" s="33">
        <f t="shared" si="46"/>
        <v>2.6893242464146816</v>
      </c>
      <c r="O77" s="74">
        <f>O50</f>
        <v>1810.6123702397726</v>
      </c>
      <c r="P77" s="74">
        <f>P50</f>
        <v>208.84741372398935</v>
      </c>
      <c r="Q77" s="74">
        <f>Q50</f>
        <v>550.29225403969679</v>
      </c>
      <c r="R77" s="74">
        <f>R50</f>
        <v>759.13966776368613</v>
      </c>
      <c r="S77" s="74"/>
      <c r="T77" s="33">
        <f t="shared" si="47"/>
        <v>2.9376202991175049</v>
      </c>
      <c r="U77" s="74">
        <f>U50</f>
        <v>1975.9091822202711</v>
      </c>
      <c r="V77" s="74">
        <f>V50</f>
        <v>314.04525008402186</v>
      </c>
      <c r="W77" s="74">
        <f>W50</f>
        <v>663.50909664412427</v>
      </c>
      <c r="X77" s="74">
        <f>X50</f>
        <v>977.55434672814613</v>
      </c>
      <c r="Y77" s="73" t="e">
        <f>A77</f>
        <v>#REF!</v>
      </c>
      <c r="Z77" s="33">
        <f>IF(AA77&gt;0,((1+(AC77/AA77))^(1/($A$101-$A$100))-1)*100,0)</f>
        <v>2.9771972098236787</v>
      </c>
      <c r="AA77" s="74">
        <f>AA50</f>
        <v>2141.7348734083043</v>
      </c>
      <c r="AB77" s="74">
        <f>AB50</f>
        <v>328.18012130131888</v>
      </c>
      <c r="AC77" s="74">
        <f>AC50</f>
        <v>730.21185757939747</v>
      </c>
      <c r="AD77" s="74">
        <f>AD50</f>
        <v>1058.3919788807164</v>
      </c>
      <c r="AE77" s="73"/>
      <c r="AF77" s="33">
        <f>IF(AG77&gt;0,((1+(AI77/AG77))^(1/($A$101-$A$100))-1)*100,0)</f>
        <v>3.0280155732974823</v>
      </c>
      <c r="AG77" s="74">
        <f>AG50</f>
        <v>114.36183531349347</v>
      </c>
      <c r="AH77" s="74">
        <f>AH50</f>
        <v>10.806009020856356</v>
      </c>
      <c r="AI77" s="74">
        <f>AI50</f>
        <v>39.749458273691218</v>
      </c>
      <c r="AJ77" s="74">
        <f>AJ50</f>
        <v>50.555467294547576</v>
      </c>
      <c r="AK77" s="73"/>
      <c r="AL77" s="33">
        <f>IF(AM77&gt;0,((1+(AO77/AM77))^(1/($A$101-$A$100))-1)*100,0)</f>
        <v>2.9663353480916088</v>
      </c>
      <c r="AM77" s="74">
        <f>AM50</f>
        <v>484.03376220781502</v>
      </c>
      <c r="AN77" s="74">
        <f>AN50</f>
        <v>80.752171418150368</v>
      </c>
      <c r="AO77" s="74">
        <f>AO50</f>
        <v>164.34415782441963</v>
      </c>
      <c r="AP77" s="74">
        <f>AP50</f>
        <v>245.09632924256999</v>
      </c>
      <c r="AQ77" s="74"/>
      <c r="AR77" s="33">
        <f>IF(AS77&gt;0,((1+(AU77/AS77))^(1/($A$101-$A$100))-1)*100,0)</f>
        <v>2.9768281396108875</v>
      </c>
      <c r="AS77" s="74">
        <f>AS50</f>
        <v>1543.3392758869961</v>
      </c>
      <c r="AT77" s="74">
        <f>AT50</f>
        <v>236.62194086231219</v>
      </c>
      <c r="AU77" s="74">
        <f>AU50</f>
        <v>526.11824148128676</v>
      </c>
      <c r="AV77" s="74">
        <f>AV50</f>
        <v>762.74018234359892</v>
      </c>
      <c r="AW77" s="73" t="e">
        <f>Y77</f>
        <v>#REF!</v>
      </c>
      <c r="AX77" s="33">
        <f>IF(AY77&gt;0,((1+(BA77/AY77))^(1/($A$101-$A$100))-1)*100,0)</f>
        <v>2.5960689907792656</v>
      </c>
      <c r="AY77" s="74">
        <f>AY50</f>
        <v>1169.4910110900296</v>
      </c>
      <c r="AZ77" s="74">
        <f>AZ50</f>
        <v>61.012733866251224</v>
      </c>
      <c r="BA77" s="74">
        <f>BA50</f>
        <v>341.64688672572964</v>
      </c>
      <c r="BB77" s="74">
        <f>BB50</f>
        <v>402.65962059198085</v>
      </c>
      <c r="BC77" s="73"/>
      <c r="BD77" s="33">
        <f>IF(BE77&gt;0,((1+(BG77/BE77))^(1/($A$101-$A$100))-1)*100,0)</f>
        <v>2.5108134589674425</v>
      </c>
      <c r="BE77" s="74">
        <f>BE50</f>
        <v>196.77997170605971</v>
      </c>
      <c r="BF77" s="74">
        <f>BF50</f>
        <v>-19.19988351079143</v>
      </c>
      <c r="BG77" s="74">
        <f>BG50</f>
        <v>55.380896948664599</v>
      </c>
      <c r="BH77" s="74">
        <f>BH50</f>
        <v>36.181013437873169</v>
      </c>
      <c r="BI77" s="73"/>
      <c r="BJ77" s="33">
        <f>IF(BK77&gt;0,((1+(BM77/BK77))^(1/($A$101-$A$100))-1)*100,0)</f>
        <v>2.5531077119064882</v>
      </c>
      <c r="BK77" s="74">
        <f>BK50</f>
        <v>650.12175377402275</v>
      </c>
      <c r="BL77" s="74">
        <f>BL50</f>
        <v>42.192712487148434</v>
      </c>
      <c r="BM77" s="74">
        <f>BM50</f>
        <v>186.41100647521165</v>
      </c>
      <c r="BN77" s="74">
        <f>BN50</f>
        <v>228.60371896236009</v>
      </c>
      <c r="BO77" s="74"/>
      <c r="BP77" s="33">
        <f>IF(BQ77&gt;0,((1+(BS77/BQ77))^(1/($A$101-$A$100))-1)*100,0)</f>
        <v>2.7334678665663192</v>
      </c>
      <c r="BQ77" s="74">
        <f>BQ50</f>
        <v>322.58928560994713</v>
      </c>
      <c r="BR77" s="74">
        <f>BR50</f>
        <v>38.019904889894228</v>
      </c>
      <c r="BS77" s="74">
        <f>BS50</f>
        <v>99.854983301853494</v>
      </c>
      <c r="BT77" s="74">
        <f>BT50</f>
        <v>137.87488819174771</v>
      </c>
      <c r="BU77" s="73" t="e">
        <f>AW77</f>
        <v>#REF!</v>
      </c>
      <c r="BV77" s="33">
        <f>IF(BW77&gt;0,((1+(BY77/BW77))^(1/($A$101-$A$100))-1)*100,0)</f>
        <v>2.5889208699682698</v>
      </c>
      <c r="BW77" s="74">
        <f>BW50</f>
        <v>786.26148565798121</v>
      </c>
      <c r="BX77" s="74">
        <f>BX50</f>
        <v>-16.768227409449015</v>
      </c>
      <c r="BY77" s="74">
        <f>BY50</f>
        <v>228.98528730973825</v>
      </c>
      <c r="BZ77" s="74">
        <f>BZ50</f>
        <v>212.21705990028923</v>
      </c>
      <c r="CA77" s="73"/>
      <c r="CB77" s="33">
        <f>IF(CC77&gt;0,((1+(CE77/CC77))^(1/($A$101-$A$100))-1)*100,0)</f>
        <v>2.5278948366694864</v>
      </c>
      <c r="CC77" s="74">
        <f>CC50</f>
        <v>257.91842111045776</v>
      </c>
      <c r="CD77" s="74">
        <f>CD50</f>
        <v>-52.179148361626908</v>
      </c>
      <c r="CE77" s="74">
        <f>CE50</f>
        <v>73.138570554183204</v>
      </c>
      <c r="CF77" s="74">
        <f>CF50</f>
        <v>20.959422192556296</v>
      </c>
      <c r="CG77" s="73"/>
      <c r="CH77" s="33">
        <f>IF(CI77&gt;0,((1+(CK77/CI77))^(1/($A$101-$A$100))-1)*100,0)</f>
        <v>2.5655949055339189</v>
      </c>
      <c r="CI77" s="74">
        <f>CI50</f>
        <v>462.50112579230256</v>
      </c>
      <c r="CJ77" s="74">
        <f>CJ50</f>
        <v>18.263082416840735</v>
      </c>
      <c r="CK77" s="74">
        <f>CK50</f>
        <v>133.33911166207648</v>
      </c>
      <c r="CL77" s="74">
        <f>CL50</f>
        <v>151.60219407891722</v>
      </c>
      <c r="CM77" s="74"/>
      <c r="CN77" s="33">
        <f>IF(CO77&gt;0,((1+(CQ77/CO77))^(1/($A$101-$A$100))-1)*100,0)</f>
        <v>2.9840981402702971</v>
      </c>
      <c r="CO77" s="74">
        <f>CO50</f>
        <v>65.841938755220539</v>
      </c>
      <c r="CP77" s="74">
        <f>CP50</f>
        <v>17.147838535337179</v>
      </c>
      <c r="CQ77" s="74">
        <f>CQ50</f>
        <v>22.507605093478684</v>
      </c>
      <c r="CR77" s="74">
        <f>CR50</f>
        <v>39.65544362881586</v>
      </c>
      <c r="CS77" s="73" t="e">
        <f>BU77</f>
        <v>#REF!</v>
      </c>
      <c r="CT77" s="33">
        <f>IF(CU77&gt;0,((1+(CW77/CU77))^(1/($A$101-$A$100))-1)*100,0)</f>
        <v>2.7533233225370157</v>
      </c>
      <c r="CU77" s="74">
        <f>CU50</f>
        <v>463.81185783630696</v>
      </c>
      <c r="CV77" s="74">
        <f>CV50</f>
        <v>59.550337485219423</v>
      </c>
      <c r="CW77" s="74">
        <f>CW50</f>
        <v>144.74423940542175</v>
      </c>
      <c r="CX77" s="74">
        <f>CX50</f>
        <v>204.29457689064117</v>
      </c>
      <c r="CY77" s="73"/>
      <c r="CZ77" s="33">
        <f>IF(DA77&gt;0,((1+(DC77/DA77))^(1/($A$101-$A$100))-1)*100,0)</f>
        <v>2.7273559755584653</v>
      </c>
      <c r="DA77" s="74">
        <f>DA50</f>
        <v>205.71744740256855</v>
      </c>
      <c r="DB77" s="74">
        <f>DB50</f>
        <v>-30.344675713108767</v>
      </c>
      <c r="DC77" s="74">
        <f>DC50</f>
        <v>63.517994559926827</v>
      </c>
      <c r="DD77" s="74">
        <f>DD50</f>
        <v>33.173318846818063</v>
      </c>
      <c r="DE77" s="73"/>
      <c r="DF77" s="33">
        <f>IF(DG77&gt;0,((1+(DI77/DG77))^(1/($A$101-$A$100))-1)*100,0)</f>
        <v>2.7323553670193235</v>
      </c>
      <c r="DG77" s="74">
        <f>DG50</f>
        <v>213.95572846563186</v>
      </c>
      <c r="DH77" s="74">
        <f>DH50</f>
        <v>67.639447401849822</v>
      </c>
      <c r="DI77" s="74">
        <f>DI50</f>
        <v>66.197978077989319</v>
      </c>
      <c r="DJ77" s="74">
        <f>DJ50</f>
        <v>133.83742547983914</v>
      </c>
      <c r="DK77" s="74"/>
      <c r="DL77" s="33">
        <f>IF(DM77&gt;0,((1+(DO77/DM77))^(1/($A$101-$A$100))-1)*100,0)</f>
        <v>2.9736201868302725</v>
      </c>
      <c r="DM77" s="74">
        <f>DM50</f>
        <v>44.13868196810671</v>
      </c>
      <c r="DN77" s="74">
        <f>DN50</f>
        <v>22.25556579647839</v>
      </c>
      <c r="DO77" s="74">
        <f>DO50</f>
        <v>15.028266767505601</v>
      </c>
      <c r="DP77" s="74">
        <f>DP50</f>
        <v>37.283832563983992</v>
      </c>
    </row>
    <row r="79" spans="1:120">
      <c r="A79" s="72" t="e">
        <f ca="1">CELL("filename")</f>
        <v>#VALUE!</v>
      </c>
      <c r="Y79" s="72" t="e">
        <f ca="1">CELL("filename")</f>
        <v>#VALUE!</v>
      </c>
      <c r="AW79" s="72" t="e">
        <f ca="1">CELL("filename")</f>
        <v>#VALUE!</v>
      </c>
      <c r="BU79" s="72" t="e">
        <f ca="1">CELL("filename")</f>
        <v>#VALUE!</v>
      </c>
      <c r="CS79" s="72" t="e">
        <f ca="1">CELL("filename")</f>
        <v>#VALUE!</v>
      </c>
    </row>
    <row r="80" spans="1:120" ht="15.6">
      <c r="A80" s="17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7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7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7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7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97" t="str">
        <f>$X$3</f>
        <v>thousands</v>
      </c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97" t="str">
        <f>$X$3</f>
        <v>thousands</v>
      </c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97" t="str">
        <f>$X$3</f>
        <v>thousands</v>
      </c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97" t="str">
        <f>$X$3</f>
        <v>thousands</v>
      </c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97" t="str">
        <f>$X$3</f>
        <v>thousands</v>
      </c>
    </row>
    <row r="83" spans="1:120" ht="12.95">
      <c r="B83" s="377" t="str">
        <f>B4</f>
        <v>All qualifications</v>
      </c>
      <c r="C83" s="377"/>
      <c r="D83" s="377"/>
      <c r="E83" s="377"/>
      <c r="F83" s="377"/>
      <c r="G83" s="95"/>
      <c r="H83" s="377" t="str">
        <f>H4</f>
        <v>RQF8 Doctorate</v>
      </c>
      <c r="I83" s="377"/>
      <c r="J83" s="377"/>
      <c r="K83" s="377"/>
      <c r="L83" s="377"/>
      <c r="M83" s="95"/>
      <c r="N83" s="376" t="str">
        <f>N4</f>
        <v>RQF7 Other higher degree</v>
      </c>
      <c r="O83" s="376"/>
      <c r="P83" s="376"/>
      <c r="Q83" s="376"/>
      <c r="R83" s="376"/>
      <c r="S83" s="92"/>
      <c r="T83" s="376" t="str">
        <f>T4</f>
        <v>RQF6 First degree</v>
      </c>
      <c r="U83" s="376"/>
      <c r="V83" s="376"/>
      <c r="W83" s="376"/>
      <c r="X83" s="376"/>
      <c r="Z83" s="377" t="str">
        <f>Z4</f>
        <v>All qualifications</v>
      </c>
      <c r="AA83" s="377"/>
      <c r="AB83" s="377"/>
      <c r="AC83" s="377"/>
      <c r="AD83" s="377"/>
      <c r="AE83" s="95"/>
      <c r="AF83" s="377" t="str">
        <f>AF4</f>
        <v>RQF8 Doctorate</v>
      </c>
      <c r="AG83" s="377"/>
      <c r="AH83" s="377"/>
      <c r="AI83" s="377"/>
      <c r="AJ83" s="377"/>
      <c r="AK83" s="95"/>
      <c r="AL83" s="376" t="str">
        <f>AL4</f>
        <v>RQF7 Other higher degree</v>
      </c>
      <c r="AM83" s="376"/>
      <c r="AN83" s="376"/>
      <c r="AO83" s="376"/>
      <c r="AP83" s="376"/>
      <c r="AQ83" s="92"/>
      <c r="AR83" s="376" t="str">
        <f>AR4</f>
        <v>RQF6 First degree</v>
      </c>
      <c r="AS83" s="376"/>
      <c r="AT83" s="376"/>
      <c r="AU83" s="376"/>
      <c r="AV83" s="376"/>
      <c r="AX83" s="377" t="str">
        <f>AX4</f>
        <v>All qualifications</v>
      </c>
      <c r="AY83" s="377"/>
      <c r="AZ83" s="377"/>
      <c r="BA83" s="377"/>
      <c r="BB83" s="377"/>
      <c r="BC83" s="95"/>
      <c r="BD83" s="377" t="str">
        <f>BD4</f>
        <v>RQF8 Doctorate</v>
      </c>
      <c r="BE83" s="377"/>
      <c r="BF83" s="377"/>
      <c r="BG83" s="377"/>
      <c r="BH83" s="377"/>
      <c r="BI83" s="95"/>
      <c r="BJ83" s="376" t="str">
        <f>BJ4</f>
        <v>RQF7 Other higher degree</v>
      </c>
      <c r="BK83" s="376"/>
      <c r="BL83" s="376"/>
      <c r="BM83" s="376"/>
      <c r="BN83" s="376"/>
      <c r="BO83" s="92"/>
      <c r="BP83" s="376" t="str">
        <f>BP4</f>
        <v>RQF6 First degree</v>
      </c>
      <c r="BQ83" s="376"/>
      <c r="BR83" s="376"/>
      <c r="BS83" s="376"/>
      <c r="BT83" s="376"/>
      <c r="BV83" s="377" t="str">
        <f>BV4</f>
        <v>All qualifications</v>
      </c>
      <c r="BW83" s="377"/>
      <c r="BX83" s="377"/>
      <c r="BY83" s="377"/>
      <c r="BZ83" s="377"/>
      <c r="CA83" s="95"/>
      <c r="CB83" s="377" t="str">
        <f>CB4</f>
        <v>RQF8 Doctorate</v>
      </c>
      <c r="CC83" s="377"/>
      <c r="CD83" s="377"/>
      <c r="CE83" s="377"/>
      <c r="CF83" s="377"/>
      <c r="CG83" s="95"/>
      <c r="CH83" s="376" t="str">
        <f>CH4</f>
        <v>RQF7 Other higher degree</v>
      </c>
      <c r="CI83" s="376"/>
      <c r="CJ83" s="376"/>
      <c r="CK83" s="376"/>
      <c r="CL83" s="376"/>
      <c r="CM83" s="92"/>
      <c r="CN83" s="376" t="str">
        <f>CN4</f>
        <v>RQF6 First degree</v>
      </c>
      <c r="CO83" s="376"/>
      <c r="CP83" s="376"/>
      <c r="CQ83" s="376"/>
      <c r="CR83" s="376"/>
      <c r="CT83" s="377" t="str">
        <f>CT4</f>
        <v>All qualifications</v>
      </c>
      <c r="CU83" s="377"/>
      <c r="CV83" s="377"/>
      <c r="CW83" s="377"/>
      <c r="CX83" s="377"/>
      <c r="CY83" s="95"/>
      <c r="CZ83" s="377" t="str">
        <f>CZ4</f>
        <v>RQF8 Doctorate</v>
      </c>
      <c r="DA83" s="377"/>
      <c r="DB83" s="377"/>
      <c r="DC83" s="377"/>
      <c r="DD83" s="377"/>
      <c r="DE83" s="95"/>
      <c r="DF83" s="376" t="str">
        <f>DF4</f>
        <v>RQF7 Other higher degree</v>
      </c>
      <c r="DG83" s="376"/>
      <c r="DH83" s="376"/>
      <c r="DI83" s="376"/>
      <c r="DJ83" s="376"/>
      <c r="DK83" s="92"/>
      <c r="DL83" s="376" t="str">
        <f>DL4</f>
        <v>RQF6 First degree</v>
      </c>
      <c r="DM83" s="376"/>
      <c r="DN83" s="376"/>
      <c r="DO83" s="376"/>
      <c r="DP83" s="376"/>
    </row>
    <row r="85" spans="1:120" ht="38.1">
      <c r="A85" s="94"/>
      <c r="B85" s="91" t="str">
        <f>B6</f>
        <v>RD p.a%</v>
      </c>
      <c r="C85" s="91" t="str">
        <f>C6</f>
        <v>2015 Level</v>
      </c>
      <c r="D85" s="91" t="str">
        <f>D6</f>
        <v>Net Change</v>
      </c>
      <c r="E85" s="91" t="str">
        <f>E6</f>
        <v>Replace-ment Demand</v>
      </c>
      <c r="F85" s="91" t="str">
        <f>F6</f>
        <v>Total Require-ment</v>
      </c>
      <c r="G85" s="90"/>
      <c r="H85" s="86" t="str">
        <f>B85</f>
        <v>RD p.a%</v>
      </c>
      <c r="I85" s="86" t="str">
        <f>C85</f>
        <v>2015 Level</v>
      </c>
      <c r="J85" s="86" t="str">
        <f>D85</f>
        <v>Net Change</v>
      </c>
      <c r="K85" s="86" t="str">
        <f>E85</f>
        <v>Replace-ment Demand</v>
      </c>
      <c r="L85" s="86" t="str">
        <f>F85</f>
        <v>Total Require-ment</v>
      </c>
      <c r="M85" s="85"/>
      <c r="N85" s="87" t="str">
        <f>H85</f>
        <v>RD p.a%</v>
      </c>
      <c r="O85" s="87" t="str">
        <f>I85</f>
        <v>2015 Level</v>
      </c>
      <c r="P85" s="87" t="str">
        <f>J85</f>
        <v>Net Change</v>
      </c>
      <c r="Q85" s="87" t="str">
        <f>K85</f>
        <v>Replace-ment Demand</v>
      </c>
      <c r="R85" s="87" t="str">
        <f>L85</f>
        <v>Total Require-ment</v>
      </c>
      <c r="S85" s="85"/>
      <c r="T85" s="87" t="str">
        <f>N85</f>
        <v>RD p.a%</v>
      </c>
      <c r="U85" s="87" t="str">
        <f>O85</f>
        <v>2015 Level</v>
      </c>
      <c r="V85" s="87" t="str">
        <f>P85</f>
        <v>Net Change</v>
      </c>
      <c r="W85" s="87" t="str">
        <f>Q85</f>
        <v>Replace-ment Demand</v>
      </c>
      <c r="X85" s="87" t="str">
        <f>R85</f>
        <v>Total Require-ment</v>
      </c>
      <c r="Y85" s="94"/>
      <c r="Z85" s="91" t="str">
        <f>Z6</f>
        <v>RD p.a%</v>
      </c>
      <c r="AA85" s="91" t="str">
        <f>AA6</f>
        <v>2015 Level</v>
      </c>
      <c r="AB85" s="91" t="str">
        <f>AB6</f>
        <v>Net Change</v>
      </c>
      <c r="AC85" s="91" t="str">
        <f>AC6</f>
        <v>Replace-ment Demand</v>
      </c>
      <c r="AD85" s="91" t="str">
        <f>AD6</f>
        <v>Total Require-ment</v>
      </c>
      <c r="AE85" s="90"/>
      <c r="AF85" s="86" t="str">
        <f>Z85</f>
        <v>RD p.a%</v>
      </c>
      <c r="AG85" s="86" t="str">
        <f>AA85</f>
        <v>2015 Level</v>
      </c>
      <c r="AH85" s="86" t="str">
        <f>AB85</f>
        <v>Net Change</v>
      </c>
      <c r="AI85" s="86" t="str">
        <f>AC85</f>
        <v>Replace-ment Demand</v>
      </c>
      <c r="AJ85" s="86" t="str">
        <f>AD85</f>
        <v>Total Require-ment</v>
      </c>
      <c r="AK85" s="85"/>
      <c r="AL85" s="87" t="str">
        <f>AF85</f>
        <v>RD p.a%</v>
      </c>
      <c r="AM85" s="87" t="str">
        <f>AG85</f>
        <v>2015 Level</v>
      </c>
      <c r="AN85" s="87" t="str">
        <f>AH85</f>
        <v>Net Change</v>
      </c>
      <c r="AO85" s="87" t="str">
        <f>AI85</f>
        <v>Replace-ment Demand</v>
      </c>
      <c r="AP85" s="87" t="str">
        <f>AJ85</f>
        <v>Total Require-ment</v>
      </c>
      <c r="AQ85" s="85"/>
      <c r="AR85" s="87" t="str">
        <f>AL85</f>
        <v>RD p.a%</v>
      </c>
      <c r="AS85" s="87" t="str">
        <f>AM85</f>
        <v>2015 Level</v>
      </c>
      <c r="AT85" s="87" t="str">
        <f>AN85</f>
        <v>Net Change</v>
      </c>
      <c r="AU85" s="87" t="str">
        <f>AO85</f>
        <v>Replace-ment Demand</v>
      </c>
      <c r="AV85" s="87" t="str">
        <f>AP85</f>
        <v>Total Require-ment</v>
      </c>
      <c r="AW85" s="94"/>
      <c r="AX85" s="91" t="str">
        <f>AX6</f>
        <v>RD p.a%</v>
      </c>
      <c r="AY85" s="91" t="str">
        <f>AY6</f>
        <v>2015 Level</v>
      </c>
      <c r="AZ85" s="91" t="str">
        <f>AZ6</f>
        <v>Net Change</v>
      </c>
      <c r="BA85" s="91" t="str">
        <f>BA6</f>
        <v>Replace-ment Demand</v>
      </c>
      <c r="BB85" s="91" t="str">
        <f>BB6</f>
        <v>Total Require-ment</v>
      </c>
      <c r="BC85" s="90"/>
      <c r="BD85" s="86" t="str">
        <f>AX85</f>
        <v>RD p.a%</v>
      </c>
      <c r="BE85" s="86" t="str">
        <f>AY85</f>
        <v>2015 Level</v>
      </c>
      <c r="BF85" s="86" t="str">
        <f>AZ85</f>
        <v>Net Change</v>
      </c>
      <c r="BG85" s="86" t="str">
        <f>BA85</f>
        <v>Replace-ment Demand</v>
      </c>
      <c r="BH85" s="86" t="str">
        <f>BB85</f>
        <v>Total Require-ment</v>
      </c>
      <c r="BI85" s="85"/>
      <c r="BJ85" s="87" t="str">
        <f>BD85</f>
        <v>RD p.a%</v>
      </c>
      <c r="BK85" s="87" t="str">
        <f>BE85</f>
        <v>2015 Level</v>
      </c>
      <c r="BL85" s="87" t="str">
        <f>BF85</f>
        <v>Net Change</v>
      </c>
      <c r="BM85" s="87" t="str">
        <f>BG85</f>
        <v>Replace-ment Demand</v>
      </c>
      <c r="BN85" s="87" t="str">
        <f>BH85</f>
        <v>Total Require-ment</v>
      </c>
      <c r="BO85" s="85"/>
      <c r="BP85" s="87" t="str">
        <f>BJ85</f>
        <v>RD p.a%</v>
      </c>
      <c r="BQ85" s="87" t="str">
        <f>BK85</f>
        <v>2015 Level</v>
      </c>
      <c r="BR85" s="87" t="str">
        <f>BL85</f>
        <v>Net Change</v>
      </c>
      <c r="BS85" s="87" t="str">
        <f>BM85</f>
        <v>Replace-ment Demand</v>
      </c>
      <c r="BT85" s="87" t="str">
        <f>BN85</f>
        <v>Total Require-ment</v>
      </c>
      <c r="BU85" s="94"/>
      <c r="BV85" s="91" t="str">
        <f>BV6</f>
        <v>RD p.a%</v>
      </c>
      <c r="BW85" s="91" t="str">
        <f>BW6</f>
        <v>2015 Level</v>
      </c>
      <c r="BX85" s="91" t="str">
        <f>BX6</f>
        <v>Net Change</v>
      </c>
      <c r="BY85" s="91" t="str">
        <f>BY6</f>
        <v>Replace-ment Demand</v>
      </c>
      <c r="BZ85" s="91" t="str">
        <f>BZ6</f>
        <v>Total Require-ment</v>
      </c>
      <c r="CA85" s="90"/>
      <c r="CB85" s="86" t="str">
        <f>BV85</f>
        <v>RD p.a%</v>
      </c>
      <c r="CC85" s="86" t="str">
        <f>BW85</f>
        <v>2015 Level</v>
      </c>
      <c r="CD85" s="86" t="str">
        <f>BX85</f>
        <v>Net Change</v>
      </c>
      <c r="CE85" s="86" t="str">
        <f>BY85</f>
        <v>Replace-ment Demand</v>
      </c>
      <c r="CF85" s="86" t="str">
        <f>BZ85</f>
        <v>Total Require-ment</v>
      </c>
      <c r="CG85" s="85"/>
      <c r="CH85" s="87" t="str">
        <f>CB85</f>
        <v>RD p.a%</v>
      </c>
      <c r="CI85" s="87" t="str">
        <f>CC85</f>
        <v>2015 Level</v>
      </c>
      <c r="CJ85" s="87" t="str">
        <f>CD85</f>
        <v>Net Change</v>
      </c>
      <c r="CK85" s="87" t="str">
        <f>CE85</f>
        <v>Replace-ment Demand</v>
      </c>
      <c r="CL85" s="87" t="str">
        <f>CF85</f>
        <v>Total Require-ment</v>
      </c>
      <c r="CM85" s="85"/>
      <c r="CN85" s="87" t="str">
        <f>CH85</f>
        <v>RD p.a%</v>
      </c>
      <c r="CO85" s="87" t="str">
        <f>CI85</f>
        <v>2015 Level</v>
      </c>
      <c r="CP85" s="87" t="str">
        <f>CJ85</f>
        <v>Net Change</v>
      </c>
      <c r="CQ85" s="87" t="str">
        <f>CK85</f>
        <v>Replace-ment Demand</v>
      </c>
      <c r="CR85" s="87" t="str">
        <f>CL85</f>
        <v>Total Require-ment</v>
      </c>
      <c r="CS85" s="94"/>
      <c r="CT85" s="91" t="str">
        <f>CT6</f>
        <v>RD p.a%</v>
      </c>
      <c r="CU85" s="91" t="str">
        <f>CU6</f>
        <v>2015 Level</v>
      </c>
      <c r="CV85" s="91" t="str">
        <f>CV6</f>
        <v>Net Change</v>
      </c>
      <c r="CW85" s="91" t="str">
        <f>CW6</f>
        <v>Replace-ment Demand</v>
      </c>
      <c r="CX85" s="91" t="str">
        <f>CX6</f>
        <v>Total Require-ment</v>
      </c>
      <c r="CY85" s="90"/>
      <c r="CZ85" s="86" t="str">
        <f>CT85</f>
        <v>RD p.a%</v>
      </c>
      <c r="DA85" s="86" t="str">
        <f>CU85</f>
        <v>2015 Level</v>
      </c>
      <c r="DB85" s="86" t="str">
        <f>CV85</f>
        <v>Net Change</v>
      </c>
      <c r="DC85" s="86" t="str">
        <f>CW85</f>
        <v>Replace-ment Demand</v>
      </c>
      <c r="DD85" s="86" t="str">
        <f>CX85</f>
        <v>Total Require-ment</v>
      </c>
      <c r="DE85" s="85"/>
      <c r="DF85" s="87" t="str">
        <f>CZ85</f>
        <v>RD p.a%</v>
      </c>
      <c r="DG85" s="87" t="str">
        <f>DA85</f>
        <v>2015 Level</v>
      </c>
      <c r="DH85" s="87" t="str">
        <f>DB85</f>
        <v>Net Change</v>
      </c>
      <c r="DI85" s="87" t="str">
        <f>DC85</f>
        <v>Replace-ment Demand</v>
      </c>
      <c r="DJ85" s="87" t="str">
        <f>DD85</f>
        <v>Total Require-ment</v>
      </c>
      <c r="DK85" s="85"/>
      <c r="DL85" s="87" t="str">
        <f>DF85</f>
        <v>RD p.a%</v>
      </c>
      <c r="DM85" s="87" t="str">
        <f>DG85</f>
        <v>2015 Level</v>
      </c>
      <c r="DN85" s="87" t="str">
        <f>DH85</f>
        <v>Net Change</v>
      </c>
      <c r="DO85" s="87" t="str">
        <f>DI85</f>
        <v>Replace-ment Demand</v>
      </c>
      <c r="DP85" s="87" t="str">
        <f>DJ85</f>
        <v>Total Require-ment</v>
      </c>
    </row>
    <row r="87" spans="1:120">
      <c r="A87" s="72" t="str">
        <f>name!C4</f>
        <v>Primary sector and utilities</v>
      </c>
      <c r="B87" s="30" t="e">
        <f t="shared" ref="B87:B94" si="68">IF(C87&gt;0,((1+(E87/C87))^(1/($A$101-$A$100))-1)*100,0)</f>
        <v>#REF!</v>
      </c>
      <c r="C87" s="75" t="e">
        <f t="array" ref="C87:C92">MMULT(aggregation!#REF!,BasicTable5!C8:C48)</f>
        <v>#REF!</v>
      </c>
      <c r="D87" s="75" t="e">
        <f t="array" ref="D87:D92">MMULT(aggregation!#REF!,BasicTable5!D8:D48)</f>
        <v>#REF!</v>
      </c>
      <c r="E87" s="75" t="e">
        <f t="array" ref="E87:E92">MMULT(aggregation!#REF!,BasicTable5!E8:E48)</f>
        <v>#REF!</v>
      </c>
      <c r="F87" s="75" t="e">
        <f t="array" ref="F87:F92">MMULT(aggregation!#REF!,BasicTable5!F8:F48)</f>
        <v>#REF!</v>
      </c>
      <c r="H87" s="30" t="e">
        <f t="shared" ref="H87:H94" si="69">IF(I87&gt;0,((1+(K87/I87))^(1/($A$101-$A$100))-1)*100,0)</f>
        <v>#REF!</v>
      </c>
      <c r="I87" s="75" t="e">
        <f t="array" ref="I87:I92">MMULT(aggregation!#REF!,BasicTable5!I8:I48)</f>
        <v>#REF!</v>
      </c>
      <c r="J87" s="75" t="e">
        <f t="array" ref="J87:J92">MMULT(aggregation!#REF!,BasicTable5!J8:J48)</f>
        <v>#REF!</v>
      </c>
      <c r="K87" s="75" t="e">
        <f t="array" ref="K87:K92">MMULT(aggregation!#REF!,BasicTable5!K8:K48)</f>
        <v>#REF!</v>
      </c>
      <c r="L87" s="75" t="e">
        <f t="array" ref="L87:L92">MMULT(aggregation!#REF!,BasicTable5!L8:L48)</f>
        <v>#REF!</v>
      </c>
      <c r="N87" s="30" t="e">
        <f t="shared" ref="N87:N94" si="70">IF(O87&gt;0,((1+(Q87/O87))^(1/($A$101-$A$100))-1)*100,0)</f>
        <v>#REF!</v>
      </c>
      <c r="O87" s="75" t="e">
        <f t="array" ref="O87:O92">MMULT(aggregation!#REF!,BasicTable5!O8:O48)</f>
        <v>#REF!</v>
      </c>
      <c r="P87" s="75" t="e">
        <f t="array" ref="P87:P92">MMULT(aggregation!#REF!,BasicTable5!P8:P48)</f>
        <v>#REF!</v>
      </c>
      <c r="Q87" s="75" t="e">
        <f t="array" ref="Q87:Q92">MMULT(aggregation!#REF!,BasicTable5!Q8:Q48)</f>
        <v>#REF!</v>
      </c>
      <c r="R87" s="75" t="e">
        <f t="array" ref="R87:R92">MMULT(aggregation!#REF!,BasicTable5!R8:R48)</f>
        <v>#REF!</v>
      </c>
      <c r="S87" s="75"/>
      <c r="T87" s="30" t="e">
        <f t="shared" ref="T87:T94" si="71">IF(U87&gt;0,((1+(W87/U87))^(1/($A$101-$A$100))-1)*100,0)</f>
        <v>#REF!</v>
      </c>
      <c r="U87" s="75" t="e">
        <f t="array" ref="U87:U92">MMULT(aggregation!#REF!,BasicTable5!U8:U48)</f>
        <v>#REF!</v>
      </c>
      <c r="V87" s="75" t="e">
        <f t="array" ref="V87:V92">MMULT(aggregation!#REF!,BasicTable5!V8:V48)</f>
        <v>#REF!</v>
      </c>
      <c r="W87" s="75" t="e">
        <f t="array" ref="W87:W92">MMULT(aggregation!#REF!,BasicTable5!W8:W48)</f>
        <v>#REF!</v>
      </c>
      <c r="X87" s="75" t="e">
        <f t="array" ref="X87:X92">MMULT(aggregation!#REF!,BasicTable5!X8:X48)</f>
        <v>#REF!</v>
      </c>
      <c r="Y87" s="72" t="str">
        <f t="shared" ref="Y87:Y92" si="72">A87</f>
        <v>Primary sector and utilities</v>
      </c>
      <c r="Z87" s="30" t="e">
        <f t="shared" ref="Z87:Z92" si="73">IF(AA87&gt;0,((1+(AC87/AA87))^(1/($A$101-$A$100))-1)*100,0)</f>
        <v>#REF!</v>
      </c>
      <c r="AA87" s="75" t="e">
        <f t="array" ref="AA87:AA92">MMULT(aggregation!#REF!,BasicTable5!AA8:AA48)</f>
        <v>#REF!</v>
      </c>
      <c r="AB87" s="75" t="e">
        <f t="array" ref="AB87:AB92">MMULT(aggregation!#REF!,BasicTable5!AB8:AB48)</f>
        <v>#REF!</v>
      </c>
      <c r="AC87" s="75" t="e">
        <f t="array" ref="AC87:AC92">MMULT(aggregation!#REF!,BasicTable5!AC8:AC48)</f>
        <v>#REF!</v>
      </c>
      <c r="AD87" s="75" t="e">
        <f t="array" ref="AD87:AD92">MMULT(aggregation!#REF!,BasicTable5!AD8:AD48)</f>
        <v>#REF!</v>
      </c>
      <c r="AF87" s="30" t="e">
        <f t="shared" ref="AF87:AF92" si="74">IF(AG87&gt;0,((1+(AI87/AG87))^(1/($A$101-$A$100))-1)*100,0)</f>
        <v>#REF!</v>
      </c>
      <c r="AG87" s="75" t="e">
        <f t="array" ref="AG87:AG92">MMULT(aggregation!#REF!,BasicTable5!AG8:AG48)</f>
        <v>#REF!</v>
      </c>
      <c r="AH87" s="75" t="e">
        <f t="array" ref="AH87:AH92">MMULT(aggregation!#REF!,BasicTable5!AH8:AH48)</f>
        <v>#REF!</v>
      </c>
      <c r="AI87" s="75" t="e">
        <f t="array" ref="AI87:AI92">MMULT(aggregation!#REF!,BasicTable5!AI8:AI48)</f>
        <v>#REF!</v>
      </c>
      <c r="AJ87" s="75" t="e">
        <f t="array" ref="AJ87:AJ92">MMULT(aggregation!#REF!,BasicTable5!AJ8:AJ48)</f>
        <v>#REF!</v>
      </c>
      <c r="AL87" s="30" t="e">
        <f t="shared" ref="AL87:AL92" si="75">IF(AM87&gt;0,((1+(AO87/AM87))^(1/($A$101-$A$100))-1)*100,0)</f>
        <v>#REF!</v>
      </c>
      <c r="AM87" s="75" t="e">
        <f t="array" ref="AM87:AM92">MMULT(aggregation!#REF!,BasicTable5!AM8:AM48)</f>
        <v>#REF!</v>
      </c>
      <c r="AN87" s="75" t="e">
        <f t="array" ref="AN87:AN92">MMULT(aggregation!#REF!,BasicTable5!AN8:AN48)</f>
        <v>#REF!</v>
      </c>
      <c r="AO87" s="75" t="e">
        <f t="array" ref="AO87:AO92">MMULT(aggregation!#REF!,BasicTable5!AO8:AO48)</f>
        <v>#REF!</v>
      </c>
      <c r="AP87" s="75" t="e">
        <f t="array" ref="AP87:AP92">MMULT(aggregation!#REF!,BasicTable5!AP8:AP48)</f>
        <v>#REF!</v>
      </c>
      <c r="AQ87" s="75"/>
      <c r="AR87" s="30" t="e">
        <f t="shared" ref="AR87:AR92" si="76">IF(AS87&gt;0,((1+(AU87/AS87))^(1/($A$101-$A$100))-1)*100,0)</f>
        <v>#REF!</v>
      </c>
      <c r="AS87" s="75" t="e">
        <f t="array" ref="AS87:AS92">MMULT(aggregation!#REF!,BasicTable5!AS8:AS48)</f>
        <v>#REF!</v>
      </c>
      <c r="AT87" s="75" t="e">
        <f t="array" ref="AT87:AT92">MMULT(aggregation!#REF!,BasicTable5!AT8:AT48)</f>
        <v>#REF!</v>
      </c>
      <c r="AU87" s="75" t="e">
        <f t="array" ref="AU87:AU92">MMULT(aggregation!#REF!,BasicTable5!AU8:AU48)</f>
        <v>#REF!</v>
      </c>
      <c r="AV87" s="75" t="e">
        <f t="array" ref="AV87:AV92">MMULT(aggregation!#REF!,BasicTable5!AV8:AV48)</f>
        <v>#REF!</v>
      </c>
      <c r="AW87" s="72" t="str">
        <f t="shared" ref="AW87:AW92" si="77">Y87</f>
        <v>Primary sector and utilities</v>
      </c>
      <c r="AX87" s="30" t="e">
        <f t="shared" ref="AX87:AX92" si="78">IF(AY87&gt;0,((1+(BA87/AY87))^(1/($A$101-$A$100))-1)*100,0)</f>
        <v>#REF!</v>
      </c>
      <c r="AY87" s="75" t="e">
        <f t="array" ref="AY87:AY92">MMULT(aggregation!#REF!,BasicTable5!AY8:AY48)</f>
        <v>#REF!</v>
      </c>
      <c r="AZ87" s="75" t="e">
        <f t="array" ref="AZ87:AZ92">MMULT(aggregation!#REF!,BasicTable5!AZ8:AZ48)</f>
        <v>#REF!</v>
      </c>
      <c r="BA87" s="75" t="e">
        <f t="array" ref="BA87:BA92">MMULT(aggregation!#REF!,BasicTable5!BA8:BA48)</f>
        <v>#REF!</v>
      </c>
      <c r="BB87" s="75" t="e">
        <f t="array" ref="BB87:BB92">MMULT(aggregation!#REF!,BasicTable5!BB8:BB48)</f>
        <v>#REF!</v>
      </c>
      <c r="BD87" s="30" t="e">
        <f t="shared" ref="BD87:BD92" si="79">IF(BE87&gt;0,((1+(BG87/BE87))^(1/($A$101-$A$100))-1)*100,0)</f>
        <v>#REF!</v>
      </c>
      <c r="BE87" s="75" t="e">
        <f t="array" ref="BE87:BE92">MMULT(aggregation!#REF!,BasicTable5!BE8:BE48)</f>
        <v>#REF!</v>
      </c>
      <c r="BF87" s="75" t="e">
        <f t="array" ref="BF87:BF92">MMULT(aggregation!#REF!,BasicTable5!BF8:BF48)</f>
        <v>#REF!</v>
      </c>
      <c r="BG87" s="75" t="e">
        <f t="array" ref="BG87:BG92">MMULT(aggregation!#REF!,BasicTable5!BG8:BG48)</f>
        <v>#REF!</v>
      </c>
      <c r="BH87" s="75" t="e">
        <f t="array" ref="BH87:BH92">MMULT(aggregation!#REF!,BasicTable5!BH8:BH48)</f>
        <v>#REF!</v>
      </c>
      <c r="BJ87" s="30" t="e">
        <f t="shared" ref="BJ87:BJ92" si="80">IF(BK87&gt;0,((1+(BM87/BK87))^(1/($A$101-$A$100))-1)*100,0)</f>
        <v>#REF!</v>
      </c>
      <c r="BK87" s="75" t="e">
        <f t="array" ref="BK87:BK92">MMULT(aggregation!#REF!,BasicTable5!BK8:BK48)</f>
        <v>#REF!</v>
      </c>
      <c r="BL87" s="75" t="e">
        <f t="array" ref="BL87:BL92">MMULT(aggregation!#REF!,BasicTable5!BL8:BL48)</f>
        <v>#REF!</v>
      </c>
      <c r="BM87" s="75" t="e">
        <f t="array" ref="BM87:BM92">MMULT(aggregation!#REF!,BasicTable5!BM8:BM48)</f>
        <v>#REF!</v>
      </c>
      <c r="BN87" s="75" t="e">
        <f t="array" ref="BN87:BN92">MMULT(aggregation!#REF!,BasicTable5!BN8:BN48)</f>
        <v>#REF!</v>
      </c>
      <c r="BO87" s="75"/>
      <c r="BP87" s="30" t="e">
        <f t="shared" ref="BP87:BP92" si="81">IF(BQ87&gt;0,((1+(BS87/BQ87))^(1/($A$101-$A$100))-1)*100,0)</f>
        <v>#REF!</v>
      </c>
      <c r="BQ87" s="75" t="e">
        <f t="array" ref="BQ87:BQ92">MMULT(aggregation!#REF!,BasicTable5!BQ8:BQ48)</f>
        <v>#REF!</v>
      </c>
      <c r="BR87" s="75" t="e">
        <f t="array" ref="BR87:BR92">MMULT(aggregation!#REF!,BasicTable5!BR8:BR48)</f>
        <v>#REF!</v>
      </c>
      <c r="BS87" s="75" t="e">
        <f t="array" ref="BS87:BS92">MMULT(aggregation!#REF!,BasicTable5!BS8:BS48)</f>
        <v>#REF!</v>
      </c>
      <c r="BT87" s="75" t="e">
        <f t="array" ref="BT87:BT92">MMULT(aggregation!#REF!,BasicTable5!BT8:BT48)</f>
        <v>#REF!</v>
      </c>
      <c r="BU87" s="72" t="str">
        <f t="shared" ref="BU87:BU92" si="82">AW87</f>
        <v>Primary sector and utilities</v>
      </c>
      <c r="BV87" s="30" t="e">
        <f t="shared" ref="BV87:BV92" si="83">IF(BW87&gt;0,((1+(BY87/BW87))^(1/($A$101-$A$100))-1)*100,0)</f>
        <v>#REF!</v>
      </c>
      <c r="BW87" s="75" t="e">
        <f t="array" ref="BW87:BW92">MMULT(aggregation!#REF!,BasicTable5!BW8:BW48)</f>
        <v>#REF!</v>
      </c>
      <c r="BX87" s="75" t="e">
        <f t="array" ref="BX87:BX92">MMULT(aggregation!#REF!,BasicTable5!BX8:BX48)</f>
        <v>#REF!</v>
      </c>
      <c r="BY87" s="75" t="e">
        <f t="array" ref="BY87:BY92">MMULT(aggregation!#REF!,BasicTable5!BY8:BY48)</f>
        <v>#REF!</v>
      </c>
      <c r="BZ87" s="75" t="e">
        <f t="array" ref="BZ87:BZ92">MMULT(aggregation!#REF!,BasicTable5!BZ8:BZ48)</f>
        <v>#REF!</v>
      </c>
      <c r="CB87" s="30" t="e">
        <f t="shared" ref="CB87:CB92" si="84">IF(CC87&gt;0,((1+(CE87/CC87))^(1/($A$101-$A$100))-1)*100,0)</f>
        <v>#REF!</v>
      </c>
      <c r="CC87" s="75" t="e">
        <f t="array" ref="CC87:CC92">MMULT(aggregation!#REF!,BasicTable5!CC8:CC48)</f>
        <v>#REF!</v>
      </c>
      <c r="CD87" s="75" t="e">
        <f t="array" ref="CD87:CD92">MMULT(aggregation!#REF!,BasicTable5!CD8:CD48)</f>
        <v>#REF!</v>
      </c>
      <c r="CE87" s="75" t="e">
        <f t="array" ref="CE87:CE92">MMULT(aggregation!#REF!,BasicTable5!CE8:CE48)</f>
        <v>#REF!</v>
      </c>
      <c r="CF87" s="75" t="e">
        <f t="array" ref="CF87:CF92">MMULT(aggregation!#REF!,BasicTable5!CF8:CF48)</f>
        <v>#REF!</v>
      </c>
      <c r="CH87" s="30" t="e">
        <f t="shared" ref="CH87:CH92" si="85">IF(CI87&gt;0,((1+(CK87/CI87))^(1/($A$101-$A$100))-1)*100,0)</f>
        <v>#REF!</v>
      </c>
      <c r="CI87" s="75" t="e">
        <f t="array" ref="CI87:CI92">MMULT(aggregation!#REF!,BasicTable5!CI8:CI48)</f>
        <v>#REF!</v>
      </c>
      <c r="CJ87" s="75" t="e">
        <f t="array" ref="CJ87:CJ92">MMULT(aggregation!#REF!,BasicTable5!CJ8:CJ48)</f>
        <v>#REF!</v>
      </c>
      <c r="CK87" s="75" t="e">
        <f t="array" ref="CK87:CK92">MMULT(aggregation!#REF!,BasicTable5!CK8:CK48)</f>
        <v>#REF!</v>
      </c>
      <c r="CL87" s="75" t="e">
        <f t="array" ref="CL87:CL92">MMULT(aggregation!#REF!,BasicTable5!CL8:CL48)</f>
        <v>#REF!</v>
      </c>
      <c r="CM87" s="75"/>
      <c r="CN87" s="30" t="e">
        <f t="shared" ref="CN87:CN92" si="86">IF(CO87&gt;0,((1+(CQ87/CO87))^(1/($A$101-$A$100))-1)*100,0)</f>
        <v>#REF!</v>
      </c>
      <c r="CO87" s="75" t="e">
        <f t="array" ref="CO87:CO92">MMULT(aggregation!#REF!,BasicTable5!CO8:CO48)</f>
        <v>#REF!</v>
      </c>
      <c r="CP87" s="75" t="e">
        <f t="array" ref="CP87:CP92">MMULT(aggregation!#REF!,BasicTable5!CP8:CP48)</f>
        <v>#REF!</v>
      </c>
      <c r="CQ87" s="75" t="e">
        <f t="array" ref="CQ87:CQ92">MMULT(aggregation!#REF!,BasicTable5!CQ8:CQ48)</f>
        <v>#REF!</v>
      </c>
      <c r="CR87" s="75" t="e">
        <f t="array" ref="CR87:CR92">MMULT(aggregation!#REF!,BasicTable5!CR8:CR48)</f>
        <v>#REF!</v>
      </c>
      <c r="CS87" s="72" t="str">
        <f t="shared" ref="CS87:CS92" si="87">BU87</f>
        <v>Primary sector and utilities</v>
      </c>
      <c r="CT87" s="30" t="e">
        <f t="shared" ref="CT87:CT92" si="88">IF(CU87&gt;0,((1+(CW87/CU87))^(1/($A$101-$A$100))-1)*100,0)</f>
        <v>#REF!</v>
      </c>
      <c r="CU87" s="75" t="e">
        <f t="array" ref="CU87:CU92">MMULT(aggregation!#REF!,BasicTable5!CU8:CU48)</f>
        <v>#REF!</v>
      </c>
      <c r="CV87" s="75" t="e">
        <f t="array" ref="CV87:CV92">MMULT(aggregation!#REF!,BasicTable5!CV8:CV48)</f>
        <v>#REF!</v>
      </c>
      <c r="CW87" s="75" t="e">
        <f t="array" ref="CW87:CW92">MMULT(aggregation!#REF!,BasicTable5!CW8:CW48)</f>
        <v>#REF!</v>
      </c>
      <c r="CX87" s="75" t="e">
        <f t="array" ref="CX87:CX92">MMULT(aggregation!#REF!,BasicTable5!CX8:CX48)</f>
        <v>#REF!</v>
      </c>
      <c r="CZ87" s="30" t="e">
        <f t="shared" ref="CZ87:CZ92" si="89">IF(DA87&gt;0,((1+(DC87/DA87))^(1/($A$101-$A$100))-1)*100,0)</f>
        <v>#REF!</v>
      </c>
      <c r="DA87" s="75" t="e">
        <f t="array" ref="DA87:DA92">MMULT(aggregation!#REF!,BasicTable5!DA8:DA48)</f>
        <v>#REF!</v>
      </c>
      <c r="DB87" s="75" t="e">
        <f t="array" ref="DB87:DB92">MMULT(aggregation!#REF!,BasicTable5!DB8:DB48)</f>
        <v>#REF!</v>
      </c>
      <c r="DC87" s="75" t="e">
        <f t="array" ref="DC87:DC92">MMULT(aggregation!#REF!,BasicTable5!DC8:DC48)</f>
        <v>#REF!</v>
      </c>
      <c r="DD87" s="75" t="e">
        <f t="array" ref="DD87:DD92">MMULT(aggregation!#REF!,BasicTable5!DD8:DD48)</f>
        <v>#REF!</v>
      </c>
      <c r="DF87" s="30" t="e">
        <f t="shared" ref="DF87:DF92" si="90">IF(DG87&gt;0,((1+(DI87/DG87))^(1/($A$101-$A$100))-1)*100,0)</f>
        <v>#REF!</v>
      </c>
      <c r="DG87" s="75" t="e">
        <f t="array" ref="DG87:DG92">MMULT(aggregation!#REF!,BasicTable5!DG8:DG48)</f>
        <v>#REF!</v>
      </c>
      <c r="DH87" s="75" t="e">
        <f t="array" ref="DH87:DH92">MMULT(aggregation!#REF!,BasicTable5!DH8:DH48)</f>
        <v>#REF!</v>
      </c>
      <c r="DI87" s="75" t="e">
        <f t="array" ref="DI87:DI92">MMULT(aggregation!#REF!,BasicTable5!DI8:DI48)</f>
        <v>#REF!</v>
      </c>
      <c r="DJ87" s="75" t="e">
        <f t="array" ref="DJ87:DJ92">MMULT(aggregation!#REF!,BasicTable5!DJ8:DJ48)</f>
        <v>#REF!</v>
      </c>
      <c r="DK87" s="75"/>
      <c r="DL87" s="30" t="e">
        <f t="shared" ref="DL87:DL92" si="91">IF(DM87&gt;0,((1+(DO87/DM87))^(1/($A$101-$A$100))-1)*100,0)</f>
        <v>#REF!</v>
      </c>
      <c r="DM87" s="75" t="e">
        <f t="array" ref="DM87:DM92">MMULT(aggregation!#REF!,BasicTable5!DM8:DM48)</f>
        <v>#REF!</v>
      </c>
      <c r="DN87" s="75" t="e">
        <f t="array" ref="DN87:DN92">MMULT(aggregation!#REF!,BasicTable5!DN8:DN48)</f>
        <v>#REF!</v>
      </c>
      <c r="DO87" s="75" t="e">
        <f t="array" ref="DO87:DO92">MMULT(aggregation!#REF!,BasicTable5!DO8:DO48)</f>
        <v>#REF!</v>
      </c>
      <c r="DP87" s="75" t="e">
        <f t="array" ref="DP87:DP92">MMULT(aggregation!#REF!,BasicTable5!DP8:DP48)</f>
        <v>#REF!</v>
      </c>
    </row>
    <row r="88" spans="1:120">
      <c r="A88" s="72" t="str">
        <f>name!C5</f>
        <v>Manufacturing</v>
      </c>
      <c r="B88" s="30" t="e">
        <f t="shared" si="68"/>
        <v>#REF!</v>
      </c>
      <c r="C88" s="75" t="e">
        <v>#REF!</v>
      </c>
      <c r="D88" s="75" t="e">
        <v>#REF!</v>
      </c>
      <c r="E88" s="75" t="e">
        <v>#REF!</v>
      </c>
      <c r="F88" s="75" t="e">
        <v>#REF!</v>
      </c>
      <c r="H88" s="30" t="e">
        <f t="shared" si="69"/>
        <v>#REF!</v>
      </c>
      <c r="I88" s="75" t="e">
        <v>#REF!</v>
      </c>
      <c r="J88" s="75" t="e">
        <v>#REF!</v>
      </c>
      <c r="K88" s="75" t="e">
        <v>#REF!</v>
      </c>
      <c r="L88" s="75" t="e">
        <v>#REF!</v>
      </c>
      <c r="N88" s="30" t="e">
        <f t="shared" si="70"/>
        <v>#REF!</v>
      </c>
      <c r="O88" s="75" t="e">
        <v>#REF!</v>
      </c>
      <c r="P88" s="75" t="e">
        <v>#REF!</v>
      </c>
      <c r="Q88" s="75" t="e">
        <v>#REF!</v>
      </c>
      <c r="R88" s="75" t="e">
        <v>#REF!</v>
      </c>
      <c r="S88" s="75"/>
      <c r="T88" s="30" t="e">
        <f t="shared" si="71"/>
        <v>#REF!</v>
      </c>
      <c r="U88" s="75" t="e">
        <v>#REF!</v>
      </c>
      <c r="V88" s="75" t="e">
        <v>#REF!</v>
      </c>
      <c r="W88" s="75" t="e">
        <v>#REF!</v>
      </c>
      <c r="X88" s="75" t="e">
        <v>#REF!</v>
      </c>
      <c r="Y88" s="72" t="str">
        <f t="shared" si="72"/>
        <v>Manufacturing</v>
      </c>
      <c r="Z88" s="30" t="e">
        <f t="shared" si="73"/>
        <v>#REF!</v>
      </c>
      <c r="AA88" s="75" t="e">
        <v>#REF!</v>
      </c>
      <c r="AB88" s="75" t="e">
        <v>#REF!</v>
      </c>
      <c r="AC88" s="75" t="e">
        <v>#REF!</v>
      </c>
      <c r="AD88" s="75" t="e">
        <v>#REF!</v>
      </c>
      <c r="AF88" s="30" t="e">
        <f t="shared" si="74"/>
        <v>#REF!</v>
      </c>
      <c r="AG88" s="75" t="e">
        <v>#REF!</v>
      </c>
      <c r="AH88" s="75" t="e">
        <v>#REF!</v>
      </c>
      <c r="AI88" s="75" t="e">
        <v>#REF!</v>
      </c>
      <c r="AJ88" s="75" t="e">
        <v>#REF!</v>
      </c>
      <c r="AL88" s="30" t="e">
        <f t="shared" si="75"/>
        <v>#REF!</v>
      </c>
      <c r="AM88" s="75" t="e">
        <v>#REF!</v>
      </c>
      <c r="AN88" s="75" t="e">
        <v>#REF!</v>
      </c>
      <c r="AO88" s="75" t="e">
        <v>#REF!</v>
      </c>
      <c r="AP88" s="75" t="e">
        <v>#REF!</v>
      </c>
      <c r="AQ88" s="75"/>
      <c r="AR88" s="30" t="e">
        <f t="shared" si="76"/>
        <v>#REF!</v>
      </c>
      <c r="AS88" s="75" t="e">
        <v>#REF!</v>
      </c>
      <c r="AT88" s="75" t="e">
        <v>#REF!</v>
      </c>
      <c r="AU88" s="75" t="e">
        <v>#REF!</v>
      </c>
      <c r="AV88" s="75" t="e">
        <v>#REF!</v>
      </c>
      <c r="AW88" s="72" t="str">
        <f t="shared" si="77"/>
        <v>Manufacturing</v>
      </c>
      <c r="AX88" s="30" t="e">
        <f t="shared" si="78"/>
        <v>#REF!</v>
      </c>
      <c r="AY88" s="75" t="e">
        <v>#REF!</v>
      </c>
      <c r="AZ88" s="75" t="e">
        <v>#REF!</v>
      </c>
      <c r="BA88" s="75" t="e">
        <v>#REF!</v>
      </c>
      <c r="BB88" s="75" t="e">
        <v>#REF!</v>
      </c>
      <c r="BD88" s="30" t="e">
        <f t="shared" si="79"/>
        <v>#REF!</v>
      </c>
      <c r="BE88" s="75" t="e">
        <v>#REF!</v>
      </c>
      <c r="BF88" s="75" t="e">
        <v>#REF!</v>
      </c>
      <c r="BG88" s="75" t="e">
        <v>#REF!</v>
      </c>
      <c r="BH88" s="75" t="e">
        <v>#REF!</v>
      </c>
      <c r="BJ88" s="30" t="e">
        <f t="shared" si="80"/>
        <v>#REF!</v>
      </c>
      <c r="BK88" s="75" t="e">
        <v>#REF!</v>
      </c>
      <c r="BL88" s="75" t="e">
        <v>#REF!</v>
      </c>
      <c r="BM88" s="75" t="e">
        <v>#REF!</v>
      </c>
      <c r="BN88" s="75" t="e">
        <v>#REF!</v>
      </c>
      <c r="BO88" s="75"/>
      <c r="BP88" s="30" t="e">
        <f t="shared" si="81"/>
        <v>#REF!</v>
      </c>
      <c r="BQ88" s="75" t="e">
        <v>#REF!</v>
      </c>
      <c r="BR88" s="75" t="e">
        <v>#REF!</v>
      </c>
      <c r="BS88" s="75" t="e">
        <v>#REF!</v>
      </c>
      <c r="BT88" s="75" t="e">
        <v>#REF!</v>
      </c>
      <c r="BU88" s="72" t="str">
        <f t="shared" si="82"/>
        <v>Manufacturing</v>
      </c>
      <c r="BV88" s="30" t="e">
        <f t="shared" si="83"/>
        <v>#REF!</v>
      </c>
      <c r="BW88" s="75" t="e">
        <v>#REF!</v>
      </c>
      <c r="BX88" s="75" t="e">
        <v>#REF!</v>
      </c>
      <c r="BY88" s="75" t="e">
        <v>#REF!</v>
      </c>
      <c r="BZ88" s="75" t="e">
        <v>#REF!</v>
      </c>
      <c r="CB88" s="30" t="e">
        <f t="shared" si="84"/>
        <v>#REF!</v>
      </c>
      <c r="CC88" s="75" t="e">
        <v>#REF!</v>
      </c>
      <c r="CD88" s="75" t="e">
        <v>#REF!</v>
      </c>
      <c r="CE88" s="75" t="e">
        <v>#REF!</v>
      </c>
      <c r="CF88" s="75" t="e">
        <v>#REF!</v>
      </c>
      <c r="CH88" s="30" t="e">
        <f t="shared" si="85"/>
        <v>#REF!</v>
      </c>
      <c r="CI88" s="75" t="e">
        <v>#REF!</v>
      </c>
      <c r="CJ88" s="75" t="e">
        <v>#REF!</v>
      </c>
      <c r="CK88" s="75" t="e">
        <v>#REF!</v>
      </c>
      <c r="CL88" s="75" t="e">
        <v>#REF!</v>
      </c>
      <c r="CM88" s="75"/>
      <c r="CN88" s="30" t="e">
        <f t="shared" si="86"/>
        <v>#REF!</v>
      </c>
      <c r="CO88" s="75" t="e">
        <v>#REF!</v>
      </c>
      <c r="CP88" s="75" t="e">
        <v>#REF!</v>
      </c>
      <c r="CQ88" s="75" t="e">
        <v>#REF!</v>
      </c>
      <c r="CR88" s="75" t="e">
        <v>#REF!</v>
      </c>
      <c r="CS88" s="72" t="str">
        <f t="shared" si="87"/>
        <v>Manufacturing</v>
      </c>
      <c r="CT88" s="30" t="e">
        <f t="shared" si="88"/>
        <v>#REF!</v>
      </c>
      <c r="CU88" s="75" t="e">
        <v>#REF!</v>
      </c>
      <c r="CV88" s="75" t="e">
        <v>#REF!</v>
      </c>
      <c r="CW88" s="75" t="e">
        <v>#REF!</v>
      </c>
      <c r="CX88" s="75" t="e">
        <v>#REF!</v>
      </c>
      <c r="CZ88" s="30" t="e">
        <f t="shared" si="89"/>
        <v>#REF!</v>
      </c>
      <c r="DA88" s="75" t="e">
        <v>#REF!</v>
      </c>
      <c r="DB88" s="75" t="e">
        <v>#REF!</v>
      </c>
      <c r="DC88" s="75" t="e">
        <v>#REF!</v>
      </c>
      <c r="DD88" s="75" t="e">
        <v>#REF!</v>
      </c>
      <c r="DF88" s="30" t="e">
        <f t="shared" si="90"/>
        <v>#REF!</v>
      </c>
      <c r="DG88" s="75" t="e">
        <v>#REF!</v>
      </c>
      <c r="DH88" s="75" t="e">
        <v>#REF!</v>
      </c>
      <c r="DI88" s="75" t="e">
        <v>#REF!</v>
      </c>
      <c r="DJ88" s="75" t="e">
        <v>#REF!</v>
      </c>
      <c r="DK88" s="75"/>
      <c r="DL88" s="30" t="e">
        <f t="shared" si="91"/>
        <v>#REF!</v>
      </c>
      <c r="DM88" s="75" t="e">
        <v>#REF!</v>
      </c>
      <c r="DN88" s="75" t="e">
        <v>#REF!</v>
      </c>
      <c r="DO88" s="75" t="e">
        <v>#REF!</v>
      </c>
      <c r="DP88" s="75" t="e">
        <v>#REF!</v>
      </c>
    </row>
    <row r="89" spans="1:120">
      <c r="A89" s="72" t="str">
        <f>name!C6</f>
        <v>Construction</v>
      </c>
      <c r="B89" s="30" t="e">
        <f t="shared" si="68"/>
        <v>#REF!</v>
      </c>
      <c r="C89" s="75" t="e">
        <v>#REF!</v>
      </c>
      <c r="D89" s="75" t="e">
        <v>#REF!</v>
      </c>
      <c r="E89" s="75" t="e">
        <v>#REF!</v>
      </c>
      <c r="F89" s="75" t="e">
        <v>#REF!</v>
      </c>
      <c r="H89" s="30" t="e">
        <f t="shared" si="69"/>
        <v>#REF!</v>
      </c>
      <c r="I89" s="75" t="e">
        <v>#REF!</v>
      </c>
      <c r="J89" s="75" t="e">
        <v>#REF!</v>
      </c>
      <c r="K89" s="75" t="e">
        <v>#REF!</v>
      </c>
      <c r="L89" s="75" t="e">
        <v>#REF!</v>
      </c>
      <c r="N89" s="30" t="e">
        <f t="shared" si="70"/>
        <v>#REF!</v>
      </c>
      <c r="O89" s="75" t="e">
        <v>#REF!</v>
      </c>
      <c r="P89" s="75" t="e">
        <v>#REF!</v>
      </c>
      <c r="Q89" s="75" t="e">
        <v>#REF!</v>
      </c>
      <c r="R89" s="75" t="e">
        <v>#REF!</v>
      </c>
      <c r="S89" s="75"/>
      <c r="T89" s="30" t="e">
        <f t="shared" si="71"/>
        <v>#REF!</v>
      </c>
      <c r="U89" s="75" t="e">
        <v>#REF!</v>
      </c>
      <c r="V89" s="75" t="e">
        <v>#REF!</v>
      </c>
      <c r="W89" s="75" t="e">
        <v>#REF!</v>
      </c>
      <c r="X89" s="75" t="e">
        <v>#REF!</v>
      </c>
      <c r="Y89" s="72" t="str">
        <f t="shared" si="72"/>
        <v>Construction</v>
      </c>
      <c r="Z89" s="30" t="e">
        <f t="shared" si="73"/>
        <v>#REF!</v>
      </c>
      <c r="AA89" s="75" t="e">
        <v>#REF!</v>
      </c>
      <c r="AB89" s="75" t="e">
        <v>#REF!</v>
      </c>
      <c r="AC89" s="75" t="e">
        <v>#REF!</v>
      </c>
      <c r="AD89" s="75" t="e">
        <v>#REF!</v>
      </c>
      <c r="AF89" s="30" t="e">
        <f t="shared" si="74"/>
        <v>#REF!</v>
      </c>
      <c r="AG89" s="75" t="e">
        <v>#REF!</v>
      </c>
      <c r="AH89" s="75" t="e">
        <v>#REF!</v>
      </c>
      <c r="AI89" s="75" t="e">
        <v>#REF!</v>
      </c>
      <c r="AJ89" s="75" t="e">
        <v>#REF!</v>
      </c>
      <c r="AL89" s="30" t="e">
        <f t="shared" si="75"/>
        <v>#REF!</v>
      </c>
      <c r="AM89" s="75" t="e">
        <v>#REF!</v>
      </c>
      <c r="AN89" s="75" t="e">
        <v>#REF!</v>
      </c>
      <c r="AO89" s="75" t="e">
        <v>#REF!</v>
      </c>
      <c r="AP89" s="75" t="e">
        <v>#REF!</v>
      </c>
      <c r="AQ89" s="75"/>
      <c r="AR89" s="30" t="e">
        <f t="shared" si="76"/>
        <v>#REF!</v>
      </c>
      <c r="AS89" s="75" t="e">
        <v>#REF!</v>
      </c>
      <c r="AT89" s="75" t="e">
        <v>#REF!</v>
      </c>
      <c r="AU89" s="75" t="e">
        <v>#REF!</v>
      </c>
      <c r="AV89" s="75" t="e">
        <v>#REF!</v>
      </c>
      <c r="AW89" s="72" t="str">
        <f t="shared" si="77"/>
        <v>Construction</v>
      </c>
      <c r="AX89" s="30" t="e">
        <f t="shared" si="78"/>
        <v>#REF!</v>
      </c>
      <c r="AY89" s="75" t="e">
        <v>#REF!</v>
      </c>
      <c r="AZ89" s="75" t="e">
        <v>#REF!</v>
      </c>
      <c r="BA89" s="75" t="e">
        <v>#REF!</v>
      </c>
      <c r="BB89" s="75" t="e">
        <v>#REF!</v>
      </c>
      <c r="BD89" s="30" t="e">
        <f t="shared" si="79"/>
        <v>#REF!</v>
      </c>
      <c r="BE89" s="75" t="e">
        <v>#REF!</v>
      </c>
      <c r="BF89" s="75" t="e">
        <v>#REF!</v>
      </c>
      <c r="BG89" s="75" t="e">
        <v>#REF!</v>
      </c>
      <c r="BH89" s="75" t="e">
        <v>#REF!</v>
      </c>
      <c r="BJ89" s="30" t="e">
        <f t="shared" si="80"/>
        <v>#REF!</v>
      </c>
      <c r="BK89" s="75" t="e">
        <v>#REF!</v>
      </c>
      <c r="BL89" s="75" t="e">
        <v>#REF!</v>
      </c>
      <c r="BM89" s="75" t="e">
        <v>#REF!</v>
      </c>
      <c r="BN89" s="75" t="e">
        <v>#REF!</v>
      </c>
      <c r="BO89" s="75"/>
      <c r="BP89" s="30" t="e">
        <f t="shared" si="81"/>
        <v>#REF!</v>
      </c>
      <c r="BQ89" s="75" t="e">
        <v>#REF!</v>
      </c>
      <c r="BR89" s="75" t="e">
        <v>#REF!</v>
      </c>
      <c r="BS89" s="75" t="e">
        <v>#REF!</v>
      </c>
      <c r="BT89" s="75" t="e">
        <v>#REF!</v>
      </c>
      <c r="BU89" s="72" t="str">
        <f t="shared" si="82"/>
        <v>Construction</v>
      </c>
      <c r="BV89" s="30" t="e">
        <f t="shared" si="83"/>
        <v>#REF!</v>
      </c>
      <c r="BW89" s="75" t="e">
        <v>#REF!</v>
      </c>
      <c r="BX89" s="75" t="e">
        <v>#REF!</v>
      </c>
      <c r="BY89" s="75" t="e">
        <v>#REF!</v>
      </c>
      <c r="BZ89" s="75" t="e">
        <v>#REF!</v>
      </c>
      <c r="CB89" s="30" t="e">
        <f t="shared" si="84"/>
        <v>#REF!</v>
      </c>
      <c r="CC89" s="75" t="e">
        <v>#REF!</v>
      </c>
      <c r="CD89" s="75" t="e">
        <v>#REF!</v>
      </c>
      <c r="CE89" s="75" t="e">
        <v>#REF!</v>
      </c>
      <c r="CF89" s="75" t="e">
        <v>#REF!</v>
      </c>
      <c r="CH89" s="30" t="e">
        <f t="shared" si="85"/>
        <v>#REF!</v>
      </c>
      <c r="CI89" s="75" t="e">
        <v>#REF!</v>
      </c>
      <c r="CJ89" s="75" t="e">
        <v>#REF!</v>
      </c>
      <c r="CK89" s="75" t="e">
        <v>#REF!</v>
      </c>
      <c r="CL89" s="75" t="e">
        <v>#REF!</v>
      </c>
      <c r="CM89" s="75"/>
      <c r="CN89" s="30" t="e">
        <f t="shared" si="86"/>
        <v>#REF!</v>
      </c>
      <c r="CO89" s="75" t="e">
        <v>#REF!</v>
      </c>
      <c r="CP89" s="75" t="e">
        <v>#REF!</v>
      </c>
      <c r="CQ89" s="75" t="e">
        <v>#REF!</v>
      </c>
      <c r="CR89" s="75" t="e">
        <v>#REF!</v>
      </c>
      <c r="CS89" s="72" t="str">
        <f t="shared" si="87"/>
        <v>Construction</v>
      </c>
      <c r="CT89" s="30" t="e">
        <f t="shared" si="88"/>
        <v>#REF!</v>
      </c>
      <c r="CU89" s="75" t="e">
        <v>#REF!</v>
      </c>
      <c r="CV89" s="75" t="e">
        <v>#REF!</v>
      </c>
      <c r="CW89" s="75" t="e">
        <v>#REF!</v>
      </c>
      <c r="CX89" s="75" t="e">
        <v>#REF!</v>
      </c>
      <c r="CZ89" s="30" t="e">
        <f t="shared" si="89"/>
        <v>#REF!</v>
      </c>
      <c r="DA89" s="75" t="e">
        <v>#REF!</v>
      </c>
      <c r="DB89" s="75" t="e">
        <v>#REF!</v>
      </c>
      <c r="DC89" s="75" t="e">
        <v>#REF!</v>
      </c>
      <c r="DD89" s="75" t="e">
        <v>#REF!</v>
      </c>
      <c r="DF89" s="30" t="e">
        <f t="shared" si="90"/>
        <v>#REF!</v>
      </c>
      <c r="DG89" s="75" t="e">
        <v>#REF!</v>
      </c>
      <c r="DH89" s="75" t="e">
        <v>#REF!</v>
      </c>
      <c r="DI89" s="75" t="e">
        <v>#REF!</v>
      </c>
      <c r="DJ89" s="75" t="e">
        <v>#REF!</v>
      </c>
      <c r="DK89" s="75"/>
      <c r="DL89" s="30" t="e">
        <f t="shared" si="91"/>
        <v>#REF!</v>
      </c>
      <c r="DM89" s="75" t="e">
        <v>#REF!</v>
      </c>
      <c r="DN89" s="75" t="e">
        <v>#REF!</v>
      </c>
      <c r="DO89" s="75" t="e">
        <v>#REF!</v>
      </c>
      <c r="DP89" s="75" t="e">
        <v>#REF!</v>
      </c>
    </row>
    <row r="90" spans="1:120">
      <c r="A90" s="72" t="str">
        <f>name!C7</f>
        <v>Trade, accomod. and transport</v>
      </c>
      <c r="B90" s="30" t="e">
        <f t="shared" si="68"/>
        <v>#REF!</v>
      </c>
      <c r="C90" s="75" t="e">
        <v>#REF!</v>
      </c>
      <c r="D90" s="75" t="e">
        <v>#REF!</v>
      </c>
      <c r="E90" s="75" t="e">
        <v>#REF!</v>
      </c>
      <c r="F90" s="75" t="e">
        <v>#REF!</v>
      </c>
      <c r="H90" s="30" t="e">
        <f t="shared" si="69"/>
        <v>#REF!</v>
      </c>
      <c r="I90" s="75" t="e">
        <v>#REF!</v>
      </c>
      <c r="J90" s="75" t="e">
        <v>#REF!</v>
      </c>
      <c r="K90" s="75" t="e">
        <v>#REF!</v>
      </c>
      <c r="L90" s="75" t="e">
        <v>#REF!</v>
      </c>
      <c r="N90" s="30" t="e">
        <f t="shared" si="70"/>
        <v>#REF!</v>
      </c>
      <c r="O90" s="75" t="e">
        <v>#REF!</v>
      </c>
      <c r="P90" s="75" t="e">
        <v>#REF!</v>
      </c>
      <c r="Q90" s="75" t="e">
        <v>#REF!</v>
      </c>
      <c r="R90" s="75" t="e">
        <v>#REF!</v>
      </c>
      <c r="S90" s="75"/>
      <c r="T90" s="30" t="e">
        <f t="shared" si="71"/>
        <v>#REF!</v>
      </c>
      <c r="U90" s="75" t="e">
        <v>#REF!</v>
      </c>
      <c r="V90" s="75" t="e">
        <v>#REF!</v>
      </c>
      <c r="W90" s="75" t="e">
        <v>#REF!</v>
      </c>
      <c r="X90" s="75" t="e">
        <v>#REF!</v>
      </c>
      <c r="Y90" s="72" t="str">
        <f t="shared" si="72"/>
        <v>Trade, accomod. and transport</v>
      </c>
      <c r="Z90" s="30" t="e">
        <f t="shared" si="73"/>
        <v>#REF!</v>
      </c>
      <c r="AA90" s="75" t="e">
        <v>#REF!</v>
      </c>
      <c r="AB90" s="75" t="e">
        <v>#REF!</v>
      </c>
      <c r="AC90" s="75" t="e">
        <v>#REF!</v>
      </c>
      <c r="AD90" s="75" t="e">
        <v>#REF!</v>
      </c>
      <c r="AF90" s="30" t="e">
        <f t="shared" si="74"/>
        <v>#REF!</v>
      </c>
      <c r="AG90" s="75" t="e">
        <v>#REF!</v>
      </c>
      <c r="AH90" s="75" t="e">
        <v>#REF!</v>
      </c>
      <c r="AI90" s="75" t="e">
        <v>#REF!</v>
      </c>
      <c r="AJ90" s="75" t="e">
        <v>#REF!</v>
      </c>
      <c r="AL90" s="30" t="e">
        <f t="shared" si="75"/>
        <v>#REF!</v>
      </c>
      <c r="AM90" s="75" t="e">
        <v>#REF!</v>
      </c>
      <c r="AN90" s="75" t="e">
        <v>#REF!</v>
      </c>
      <c r="AO90" s="75" t="e">
        <v>#REF!</v>
      </c>
      <c r="AP90" s="75" t="e">
        <v>#REF!</v>
      </c>
      <c r="AQ90" s="75"/>
      <c r="AR90" s="30" t="e">
        <f t="shared" si="76"/>
        <v>#REF!</v>
      </c>
      <c r="AS90" s="75" t="e">
        <v>#REF!</v>
      </c>
      <c r="AT90" s="75" t="e">
        <v>#REF!</v>
      </c>
      <c r="AU90" s="75" t="e">
        <v>#REF!</v>
      </c>
      <c r="AV90" s="75" t="e">
        <v>#REF!</v>
      </c>
      <c r="AW90" s="72" t="str">
        <f t="shared" si="77"/>
        <v>Trade, accomod. and transport</v>
      </c>
      <c r="AX90" s="30" t="e">
        <f t="shared" si="78"/>
        <v>#REF!</v>
      </c>
      <c r="AY90" s="75" t="e">
        <v>#REF!</v>
      </c>
      <c r="AZ90" s="75" t="e">
        <v>#REF!</v>
      </c>
      <c r="BA90" s="75" t="e">
        <v>#REF!</v>
      </c>
      <c r="BB90" s="75" t="e">
        <v>#REF!</v>
      </c>
      <c r="BD90" s="30" t="e">
        <f t="shared" si="79"/>
        <v>#REF!</v>
      </c>
      <c r="BE90" s="75" t="e">
        <v>#REF!</v>
      </c>
      <c r="BF90" s="75" t="e">
        <v>#REF!</v>
      </c>
      <c r="BG90" s="75" t="e">
        <v>#REF!</v>
      </c>
      <c r="BH90" s="75" t="e">
        <v>#REF!</v>
      </c>
      <c r="BJ90" s="30" t="e">
        <f t="shared" si="80"/>
        <v>#REF!</v>
      </c>
      <c r="BK90" s="75" t="e">
        <v>#REF!</v>
      </c>
      <c r="BL90" s="75" t="e">
        <v>#REF!</v>
      </c>
      <c r="BM90" s="75" t="e">
        <v>#REF!</v>
      </c>
      <c r="BN90" s="75" t="e">
        <v>#REF!</v>
      </c>
      <c r="BO90" s="75"/>
      <c r="BP90" s="30" t="e">
        <f t="shared" si="81"/>
        <v>#REF!</v>
      </c>
      <c r="BQ90" s="75" t="e">
        <v>#REF!</v>
      </c>
      <c r="BR90" s="75" t="e">
        <v>#REF!</v>
      </c>
      <c r="BS90" s="75" t="e">
        <v>#REF!</v>
      </c>
      <c r="BT90" s="75" t="e">
        <v>#REF!</v>
      </c>
      <c r="BU90" s="72" t="str">
        <f t="shared" si="82"/>
        <v>Trade, accomod. and transport</v>
      </c>
      <c r="BV90" s="30" t="e">
        <f t="shared" si="83"/>
        <v>#REF!</v>
      </c>
      <c r="BW90" s="75" t="e">
        <v>#REF!</v>
      </c>
      <c r="BX90" s="75" t="e">
        <v>#REF!</v>
      </c>
      <c r="BY90" s="75" t="e">
        <v>#REF!</v>
      </c>
      <c r="BZ90" s="75" t="e">
        <v>#REF!</v>
      </c>
      <c r="CB90" s="30" t="e">
        <f t="shared" si="84"/>
        <v>#REF!</v>
      </c>
      <c r="CC90" s="75" t="e">
        <v>#REF!</v>
      </c>
      <c r="CD90" s="75" t="e">
        <v>#REF!</v>
      </c>
      <c r="CE90" s="75" t="e">
        <v>#REF!</v>
      </c>
      <c r="CF90" s="75" t="e">
        <v>#REF!</v>
      </c>
      <c r="CH90" s="30" t="e">
        <f t="shared" si="85"/>
        <v>#REF!</v>
      </c>
      <c r="CI90" s="75" t="e">
        <v>#REF!</v>
      </c>
      <c r="CJ90" s="75" t="e">
        <v>#REF!</v>
      </c>
      <c r="CK90" s="75" t="e">
        <v>#REF!</v>
      </c>
      <c r="CL90" s="75" t="e">
        <v>#REF!</v>
      </c>
      <c r="CM90" s="75"/>
      <c r="CN90" s="30" t="e">
        <f t="shared" si="86"/>
        <v>#REF!</v>
      </c>
      <c r="CO90" s="75" t="e">
        <v>#REF!</v>
      </c>
      <c r="CP90" s="75" t="e">
        <v>#REF!</v>
      </c>
      <c r="CQ90" s="75" t="e">
        <v>#REF!</v>
      </c>
      <c r="CR90" s="75" t="e">
        <v>#REF!</v>
      </c>
      <c r="CS90" s="72" t="str">
        <f t="shared" si="87"/>
        <v>Trade, accomod. and transport</v>
      </c>
      <c r="CT90" s="30" t="e">
        <f t="shared" si="88"/>
        <v>#REF!</v>
      </c>
      <c r="CU90" s="75" t="e">
        <v>#REF!</v>
      </c>
      <c r="CV90" s="75" t="e">
        <v>#REF!</v>
      </c>
      <c r="CW90" s="75" t="e">
        <v>#REF!</v>
      </c>
      <c r="CX90" s="75" t="e">
        <v>#REF!</v>
      </c>
      <c r="CZ90" s="30" t="e">
        <f t="shared" si="89"/>
        <v>#REF!</v>
      </c>
      <c r="DA90" s="75" t="e">
        <v>#REF!</v>
      </c>
      <c r="DB90" s="75" t="e">
        <v>#REF!</v>
      </c>
      <c r="DC90" s="75" t="e">
        <v>#REF!</v>
      </c>
      <c r="DD90" s="75" t="e">
        <v>#REF!</v>
      </c>
      <c r="DF90" s="30" t="e">
        <f t="shared" si="90"/>
        <v>#REF!</v>
      </c>
      <c r="DG90" s="75" t="e">
        <v>#REF!</v>
      </c>
      <c r="DH90" s="75" t="e">
        <v>#REF!</v>
      </c>
      <c r="DI90" s="75" t="e">
        <v>#REF!</v>
      </c>
      <c r="DJ90" s="75" t="e">
        <v>#REF!</v>
      </c>
      <c r="DK90" s="75"/>
      <c r="DL90" s="30" t="e">
        <f t="shared" si="91"/>
        <v>#REF!</v>
      </c>
      <c r="DM90" s="75" t="e">
        <v>#REF!</v>
      </c>
      <c r="DN90" s="75" t="e">
        <v>#REF!</v>
      </c>
      <c r="DO90" s="75" t="e">
        <v>#REF!</v>
      </c>
      <c r="DP90" s="75" t="e">
        <v>#REF!</v>
      </c>
    </row>
    <row r="91" spans="1:120">
      <c r="A91" s="72" t="str">
        <f>name!C8</f>
        <v>Business and other services</v>
      </c>
      <c r="B91" s="30" t="e">
        <f t="shared" si="68"/>
        <v>#REF!</v>
      </c>
      <c r="C91" s="75" t="e">
        <v>#REF!</v>
      </c>
      <c r="D91" s="75" t="e">
        <v>#REF!</v>
      </c>
      <c r="E91" s="75" t="e">
        <v>#REF!</v>
      </c>
      <c r="F91" s="75" t="e">
        <v>#REF!</v>
      </c>
      <c r="H91" s="30" t="e">
        <f t="shared" si="69"/>
        <v>#REF!</v>
      </c>
      <c r="I91" s="75" t="e">
        <v>#REF!</v>
      </c>
      <c r="J91" s="75" t="e">
        <v>#REF!</v>
      </c>
      <c r="K91" s="75" t="e">
        <v>#REF!</v>
      </c>
      <c r="L91" s="75" t="e">
        <v>#REF!</v>
      </c>
      <c r="N91" s="30" t="e">
        <f t="shared" si="70"/>
        <v>#REF!</v>
      </c>
      <c r="O91" s="75" t="e">
        <v>#REF!</v>
      </c>
      <c r="P91" s="75" t="e">
        <v>#REF!</v>
      </c>
      <c r="Q91" s="75" t="e">
        <v>#REF!</v>
      </c>
      <c r="R91" s="75" t="e">
        <v>#REF!</v>
      </c>
      <c r="S91" s="75"/>
      <c r="T91" s="30" t="e">
        <f t="shared" si="71"/>
        <v>#REF!</v>
      </c>
      <c r="U91" s="75" t="e">
        <v>#REF!</v>
      </c>
      <c r="V91" s="75" t="e">
        <v>#REF!</v>
      </c>
      <c r="W91" s="75" t="e">
        <v>#REF!</v>
      </c>
      <c r="X91" s="75" t="e">
        <v>#REF!</v>
      </c>
      <c r="Y91" s="72" t="str">
        <f t="shared" si="72"/>
        <v>Business and other services</v>
      </c>
      <c r="Z91" s="30" t="e">
        <f t="shared" si="73"/>
        <v>#REF!</v>
      </c>
      <c r="AA91" s="75" t="e">
        <v>#REF!</v>
      </c>
      <c r="AB91" s="75" t="e">
        <v>#REF!</v>
      </c>
      <c r="AC91" s="75" t="e">
        <v>#REF!</v>
      </c>
      <c r="AD91" s="75" t="e">
        <v>#REF!</v>
      </c>
      <c r="AF91" s="30" t="e">
        <f t="shared" si="74"/>
        <v>#REF!</v>
      </c>
      <c r="AG91" s="75" t="e">
        <v>#REF!</v>
      </c>
      <c r="AH91" s="75" t="e">
        <v>#REF!</v>
      </c>
      <c r="AI91" s="75" t="e">
        <v>#REF!</v>
      </c>
      <c r="AJ91" s="75" t="e">
        <v>#REF!</v>
      </c>
      <c r="AL91" s="30" t="e">
        <f t="shared" si="75"/>
        <v>#REF!</v>
      </c>
      <c r="AM91" s="75" t="e">
        <v>#REF!</v>
      </c>
      <c r="AN91" s="75" t="e">
        <v>#REF!</v>
      </c>
      <c r="AO91" s="75" t="e">
        <v>#REF!</v>
      </c>
      <c r="AP91" s="75" t="e">
        <v>#REF!</v>
      </c>
      <c r="AQ91" s="75"/>
      <c r="AR91" s="30" t="e">
        <f t="shared" si="76"/>
        <v>#REF!</v>
      </c>
      <c r="AS91" s="75" t="e">
        <v>#REF!</v>
      </c>
      <c r="AT91" s="75" t="e">
        <v>#REF!</v>
      </c>
      <c r="AU91" s="75" t="e">
        <v>#REF!</v>
      </c>
      <c r="AV91" s="75" t="e">
        <v>#REF!</v>
      </c>
      <c r="AW91" s="72" t="str">
        <f t="shared" si="77"/>
        <v>Business and other services</v>
      </c>
      <c r="AX91" s="30" t="e">
        <f t="shared" si="78"/>
        <v>#REF!</v>
      </c>
      <c r="AY91" s="75" t="e">
        <v>#REF!</v>
      </c>
      <c r="AZ91" s="75" t="e">
        <v>#REF!</v>
      </c>
      <c r="BA91" s="75" t="e">
        <v>#REF!</v>
      </c>
      <c r="BB91" s="75" t="e">
        <v>#REF!</v>
      </c>
      <c r="BD91" s="30" t="e">
        <f t="shared" si="79"/>
        <v>#REF!</v>
      </c>
      <c r="BE91" s="75" t="e">
        <v>#REF!</v>
      </c>
      <c r="BF91" s="75" t="e">
        <v>#REF!</v>
      </c>
      <c r="BG91" s="75" t="e">
        <v>#REF!</v>
      </c>
      <c r="BH91" s="75" t="e">
        <v>#REF!</v>
      </c>
      <c r="BJ91" s="30" t="e">
        <f t="shared" si="80"/>
        <v>#REF!</v>
      </c>
      <c r="BK91" s="75" t="e">
        <v>#REF!</v>
      </c>
      <c r="BL91" s="75" t="e">
        <v>#REF!</v>
      </c>
      <c r="BM91" s="75" t="e">
        <v>#REF!</v>
      </c>
      <c r="BN91" s="75" t="e">
        <v>#REF!</v>
      </c>
      <c r="BO91" s="75"/>
      <c r="BP91" s="30" t="e">
        <f t="shared" si="81"/>
        <v>#REF!</v>
      </c>
      <c r="BQ91" s="75" t="e">
        <v>#REF!</v>
      </c>
      <c r="BR91" s="75" t="e">
        <v>#REF!</v>
      </c>
      <c r="BS91" s="75" t="e">
        <v>#REF!</v>
      </c>
      <c r="BT91" s="75" t="e">
        <v>#REF!</v>
      </c>
      <c r="BU91" s="72" t="str">
        <f t="shared" si="82"/>
        <v>Business and other services</v>
      </c>
      <c r="BV91" s="30" t="e">
        <f t="shared" si="83"/>
        <v>#REF!</v>
      </c>
      <c r="BW91" s="75" t="e">
        <v>#REF!</v>
      </c>
      <c r="BX91" s="75" t="e">
        <v>#REF!</v>
      </c>
      <c r="BY91" s="75" t="e">
        <v>#REF!</v>
      </c>
      <c r="BZ91" s="75" t="e">
        <v>#REF!</v>
      </c>
      <c r="CB91" s="30" t="e">
        <f t="shared" si="84"/>
        <v>#REF!</v>
      </c>
      <c r="CC91" s="75" t="e">
        <v>#REF!</v>
      </c>
      <c r="CD91" s="75" t="e">
        <v>#REF!</v>
      </c>
      <c r="CE91" s="75" t="e">
        <v>#REF!</v>
      </c>
      <c r="CF91" s="75" t="e">
        <v>#REF!</v>
      </c>
      <c r="CH91" s="30" t="e">
        <f t="shared" si="85"/>
        <v>#REF!</v>
      </c>
      <c r="CI91" s="75" t="e">
        <v>#REF!</v>
      </c>
      <c r="CJ91" s="75" t="e">
        <v>#REF!</v>
      </c>
      <c r="CK91" s="75" t="e">
        <v>#REF!</v>
      </c>
      <c r="CL91" s="75" t="e">
        <v>#REF!</v>
      </c>
      <c r="CM91" s="75"/>
      <c r="CN91" s="30" t="e">
        <f t="shared" si="86"/>
        <v>#REF!</v>
      </c>
      <c r="CO91" s="75" t="e">
        <v>#REF!</v>
      </c>
      <c r="CP91" s="75" t="e">
        <v>#REF!</v>
      </c>
      <c r="CQ91" s="75" t="e">
        <v>#REF!</v>
      </c>
      <c r="CR91" s="75" t="e">
        <v>#REF!</v>
      </c>
      <c r="CS91" s="72" t="str">
        <f t="shared" si="87"/>
        <v>Business and other services</v>
      </c>
      <c r="CT91" s="30" t="e">
        <f t="shared" si="88"/>
        <v>#REF!</v>
      </c>
      <c r="CU91" s="75" t="e">
        <v>#REF!</v>
      </c>
      <c r="CV91" s="75" t="e">
        <v>#REF!</v>
      </c>
      <c r="CW91" s="75" t="e">
        <v>#REF!</v>
      </c>
      <c r="CX91" s="75" t="e">
        <v>#REF!</v>
      </c>
      <c r="CZ91" s="30" t="e">
        <f t="shared" si="89"/>
        <v>#REF!</v>
      </c>
      <c r="DA91" s="75" t="e">
        <v>#REF!</v>
      </c>
      <c r="DB91" s="75" t="e">
        <v>#REF!</v>
      </c>
      <c r="DC91" s="75" t="e">
        <v>#REF!</v>
      </c>
      <c r="DD91" s="75" t="e">
        <v>#REF!</v>
      </c>
      <c r="DF91" s="30" t="e">
        <f t="shared" si="90"/>
        <v>#REF!</v>
      </c>
      <c r="DG91" s="75" t="e">
        <v>#REF!</v>
      </c>
      <c r="DH91" s="75" t="e">
        <v>#REF!</v>
      </c>
      <c r="DI91" s="75" t="e">
        <v>#REF!</v>
      </c>
      <c r="DJ91" s="75" t="e">
        <v>#REF!</v>
      </c>
      <c r="DK91" s="75"/>
      <c r="DL91" s="30" t="e">
        <f t="shared" si="91"/>
        <v>#REF!</v>
      </c>
      <c r="DM91" s="75" t="e">
        <v>#REF!</v>
      </c>
      <c r="DN91" s="75" t="e">
        <v>#REF!</v>
      </c>
      <c r="DO91" s="75" t="e">
        <v>#REF!</v>
      </c>
      <c r="DP91" s="75" t="e">
        <v>#REF!</v>
      </c>
    </row>
    <row r="92" spans="1:120">
      <c r="A92" s="72" t="str">
        <f>name!C9</f>
        <v>Non-marketed services</v>
      </c>
      <c r="B92" s="30" t="e">
        <f t="shared" si="68"/>
        <v>#REF!</v>
      </c>
      <c r="C92" s="75" t="e">
        <v>#REF!</v>
      </c>
      <c r="D92" s="75" t="e">
        <v>#REF!</v>
      </c>
      <c r="E92" s="75" t="e">
        <v>#REF!</v>
      </c>
      <c r="F92" s="75" t="e">
        <v>#REF!</v>
      </c>
      <c r="H92" s="30" t="e">
        <f t="shared" si="69"/>
        <v>#REF!</v>
      </c>
      <c r="I92" s="75" t="e">
        <v>#REF!</v>
      </c>
      <c r="J92" s="75" t="e">
        <v>#REF!</v>
      </c>
      <c r="K92" s="75" t="e">
        <v>#REF!</v>
      </c>
      <c r="L92" s="75" t="e">
        <v>#REF!</v>
      </c>
      <c r="N92" s="30" t="e">
        <f t="shared" si="70"/>
        <v>#REF!</v>
      </c>
      <c r="O92" s="75" t="e">
        <v>#REF!</v>
      </c>
      <c r="P92" s="75" t="e">
        <v>#REF!</v>
      </c>
      <c r="Q92" s="75" t="e">
        <v>#REF!</v>
      </c>
      <c r="R92" s="75" t="e">
        <v>#REF!</v>
      </c>
      <c r="S92" s="75"/>
      <c r="T92" s="30" t="e">
        <f t="shared" si="71"/>
        <v>#REF!</v>
      </c>
      <c r="U92" s="75" t="e">
        <v>#REF!</v>
      </c>
      <c r="V92" s="75" t="e">
        <v>#REF!</v>
      </c>
      <c r="W92" s="75" t="e">
        <v>#REF!</v>
      </c>
      <c r="X92" s="75" t="e">
        <v>#REF!</v>
      </c>
      <c r="Y92" s="72" t="str">
        <f t="shared" si="72"/>
        <v>Non-marketed services</v>
      </c>
      <c r="Z92" s="30" t="e">
        <f t="shared" si="73"/>
        <v>#REF!</v>
      </c>
      <c r="AA92" s="75" t="e">
        <v>#REF!</v>
      </c>
      <c r="AB92" s="75" t="e">
        <v>#REF!</v>
      </c>
      <c r="AC92" s="75" t="e">
        <v>#REF!</v>
      </c>
      <c r="AD92" s="75" t="e">
        <v>#REF!</v>
      </c>
      <c r="AF92" s="30" t="e">
        <f t="shared" si="74"/>
        <v>#REF!</v>
      </c>
      <c r="AG92" s="75" t="e">
        <v>#REF!</v>
      </c>
      <c r="AH92" s="75" t="e">
        <v>#REF!</v>
      </c>
      <c r="AI92" s="75" t="e">
        <v>#REF!</v>
      </c>
      <c r="AJ92" s="75" t="e">
        <v>#REF!</v>
      </c>
      <c r="AL92" s="30" t="e">
        <f t="shared" si="75"/>
        <v>#REF!</v>
      </c>
      <c r="AM92" s="75" t="e">
        <v>#REF!</v>
      </c>
      <c r="AN92" s="75" t="e">
        <v>#REF!</v>
      </c>
      <c r="AO92" s="75" t="e">
        <v>#REF!</v>
      </c>
      <c r="AP92" s="75" t="e">
        <v>#REF!</v>
      </c>
      <c r="AQ92" s="75"/>
      <c r="AR92" s="30" t="e">
        <f t="shared" si="76"/>
        <v>#REF!</v>
      </c>
      <c r="AS92" s="75" t="e">
        <v>#REF!</v>
      </c>
      <c r="AT92" s="75" t="e">
        <v>#REF!</v>
      </c>
      <c r="AU92" s="75" t="e">
        <v>#REF!</v>
      </c>
      <c r="AV92" s="75" t="e">
        <v>#REF!</v>
      </c>
      <c r="AW92" s="72" t="str">
        <f t="shared" si="77"/>
        <v>Non-marketed services</v>
      </c>
      <c r="AX92" s="30" t="e">
        <f t="shared" si="78"/>
        <v>#REF!</v>
      </c>
      <c r="AY92" s="75" t="e">
        <v>#REF!</v>
      </c>
      <c r="AZ92" s="75" t="e">
        <v>#REF!</v>
      </c>
      <c r="BA92" s="75" t="e">
        <v>#REF!</v>
      </c>
      <c r="BB92" s="75" t="e">
        <v>#REF!</v>
      </c>
      <c r="BD92" s="30" t="e">
        <f t="shared" si="79"/>
        <v>#REF!</v>
      </c>
      <c r="BE92" s="75" t="e">
        <v>#REF!</v>
      </c>
      <c r="BF92" s="75" t="e">
        <v>#REF!</v>
      </c>
      <c r="BG92" s="75" t="e">
        <v>#REF!</v>
      </c>
      <c r="BH92" s="75" t="e">
        <v>#REF!</v>
      </c>
      <c r="BJ92" s="30" t="e">
        <f t="shared" si="80"/>
        <v>#REF!</v>
      </c>
      <c r="BK92" s="75" t="e">
        <v>#REF!</v>
      </c>
      <c r="BL92" s="75" t="e">
        <v>#REF!</v>
      </c>
      <c r="BM92" s="75" t="e">
        <v>#REF!</v>
      </c>
      <c r="BN92" s="75" t="e">
        <v>#REF!</v>
      </c>
      <c r="BO92" s="75"/>
      <c r="BP92" s="30" t="e">
        <f t="shared" si="81"/>
        <v>#REF!</v>
      </c>
      <c r="BQ92" s="75" t="e">
        <v>#REF!</v>
      </c>
      <c r="BR92" s="75" t="e">
        <v>#REF!</v>
      </c>
      <c r="BS92" s="75" t="e">
        <v>#REF!</v>
      </c>
      <c r="BT92" s="75" t="e">
        <v>#REF!</v>
      </c>
      <c r="BU92" s="72" t="str">
        <f t="shared" si="82"/>
        <v>Non-marketed services</v>
      </c>
      <c r="BV92" s="30" t="e">
        <f t="shared" si="83"/>
        <v>#REF!</v>
      </c>
      <c r="BW92" s="75" t="e">
        <v>#REF!</v>
      </c>
      <c r="BX92" s="75" t="e">
        <v>#REF!</v>
      </c>
      <c r="BY92" s="75" t="e">
        <v>#REF!</v>
      </c>
      <c r="BZ92" s="75" t="e">
        <v>#REF!</v>
      </c>
      <c r="CB92" s="30" t="e">
        <f t="shared" si="84"/>
        <v>#REF!</v>
      </c>
      <c r="CC92" s="75" t="e">
        <v>#REF!</v>
      </c>
      <c r="CD92" s="75" t="e">
        <v>#REF!</v>
      </c>
      <c r="CE92" s="75" t="e">
        <v>#REF!</v>
      </c>
      <c r="CF92" s="75" t="e">
        <v>#REF!</v>
      </c>
      <c r="CH92" s="30" t="e">
        <f t="shared" si="85"/>
        <v>#REF!</v>
      </c>
      <c r="CI92" s="75" t="e">
        <v>#REF!</v>
      </c>
      <c r="CJ92" s="75" t="e">
        <v>#REF!</v>
      </c>
      <c r="CK92" s="75" t="e">
        <v>#REF!</v>
      </c>
      <c r="CL92" s="75" t="e">
        <v>#REF!</v>
      </c>
      <c r="CM92" s="75"/>
      <c r="CN92" s="30" t="e">
        <f t="shared" si="86"/>
        <v>#REF!</v>
      </c>
      <c r="CO92" s="75" t="e">
        <v>#REF!</v>
      </c>
      <c r="CP92" s="75" t="e">
        <v>#REF!</v>
      </c>
      <c r="CQ92" s="75" t="e">
        <v>#REF!</v>
      </c>
      <c r="CR92" s="75" t="e">
        <v>#REF!</v>
      </c>
      <c r="CS92" s="72" t="str">
        <f t="shared" si="87"/>
        <v>Non-marketed services</v>
      </c>
      <c r="CT92" s="30" t="e">
        <f t="shared" si="88"/>
        <v>#REF!</v>
      </c>
      <c r="CU92" s="75" t="e">
        <v>#REF!</v>
      </c>
      <c r="CV92" s="75" t="e">
        <v>#REF!</v>
      </c>
      <c r="CW92" s="75" t="e">
        <v>#REF!</v>
      </c>
      <c r="CX92" s="75" t="e">
        <v>#REF!</v>
      </c>
      <c r="CZ92" s="30" t="e">
        <f t="shared" si="89"/>
        <v>#REF!</v>
      </c>
      <c r="DA92" s="75" t="e">
        <v>#REF!</v>
      </c>
      <c r="DB92" s="75" t="e">
        <v>#REF!</v>
      </c>
      <c r="DC92" s="75" t="e">
        <v>#REF!</v>
      </c>
      <c r="DD92" s="75" t="e">
        <v>#REF!</v>
      </c>
      <c r="DF92" s="30" t="e">
        <f t="shared" si="90"/>
        <v>#REF!</v>
      </c>
      <c r="DG92" s="75" t="e">
        <v>#REF!</v>
      </c>
      <c r="DH92" s="75" t="e">
        <v>#REF!</v>
      </c>
      <c r="DI92" s="75" t="e">
        <v>#REF!</v>
      </c>
      <c r="DJ92" s="75" t="e">
        <v>#REF!</v>
      </c>
      <c r="DK92" s="75"/>
      <c r="DL92" s="30" t="e">
        <f t="shared" si="91"/>
        <v>#REF!</v>
      </c>
      <c r="DM92" s="75" t="e">
        <v>#REF!</v>
      </c>
      <c r="DN92" s="75" t="e">
        <v>#REF!</v>
      </c>
      <c r="DO92" s="75" t="e">
        <v>#REF!</v>
      </c>
      <c r="DP92" s="75" t="e">
        <v>#REF!</v>
      </c>
    </row>
    <row r="93" spans="1:120">
      <c r="B93" s="30"/>
      <c r="C93" s="75"/>
      <c r="D93" s="75"/>
      <c r="E93" s="75"/>
      <c r="F93" s="75"/>
      <c r="H93" s="30"/>
      <c r="I93" s="75"/>
      <c r="J93" s="75"/>
      <c r="K93" s="75"/>
      <c r="L93" s="75"/>
      <c r="N93" s="30"/>
      <c r="O93" s="75"/>
      <c r="P93" s="75"/>
      <c r="Q93" s="75"/>
      <c r="R93" s="75"/>
      <c r="S93" s="75"/>
      <c r="T93" s="30"/>
      <c r="U93" s="75"/>
      <c r="V93" s="75"/>
      <c r="W93" s="75"/>
      <c r="X93" s="75"/>
      <c r="Z93" s="30"/>
      <c r="AA93" s="75"/>
      <c r="AB93" s="75"/>
      <c r="AC93" s="75"/>
      <c r="AD93" s="75"/>
      <c r="AF93" s="30"/>
      <c r="AG93" s="75"/>
      <c r="AH93" s="75"/>
      <c r="AI93" s="75"/>
      <c r="AJ93" s="75"/>
      <c r="AL93" s="30"/>
      <c r="AM93" s="75"/>
      <c r="AN93" s="75"/>
      <c r="AO93" s="75"/>
      <c r="AP93" s="75"/>
      <c r="AQ93" s="75"/>
      <c r="AR93" s="30"/>
      <c r="AS93" s="75"/>
      <c r="AT93" s="75"/>
      <c r="AU93" s="75"/>
      <c r="AV93" s="75"/>
      <c r="AX93" s="30"/>
      <c r="AY93" s="75"/>
      <c r="AZ93" s="75"/>
      <c r="BA93" s="75"/>
      <c r="BB93" s="75"/>
      <c r="BD93" s="30"/>
      <c r="BE93" s="75"/>
      <c r="BF93" s="75"/>
      <c r="BG93" s="75"/>
      <c r="BH93" s="75"/>
      <c r="BJ93" s="30"/>
      <c r="BK93" s="75"/>
      <c r="BL93" s="75"/>
      <c r="BM93" s="75"/>
      <c r="BN93" s="75"/>
      <c r="BO93" s="75"/>
      <c r="BP93" s="30"/>
      <c r="BQ93" s="75"/>
      <c r="BR93" s="75"/>
      <c r="BS93" s="75"/>
      <c r="BT93" s="75"/>
      <c r="BV93" s="30"/>
      <c r="BW93" s="75"/>
      <c r="BX93" s="75"/>
      <c r="BY93" s="75"/>
      <c r="BZ93" s="75"/>
      <c r="CB93" s="30"/>
      <c r="CC93" s="75"/>
      <c r="CD93" s="75"/>
      <c r="CE93" s="75"/>
      <c r="CF93" s="75"/>
      <c r="CH93" s="30"/>
      <c r="CI93" s="75"/>
      <c r="CJ93" s="75"/>
      <c r="CK93" s="75"/>
      <c r="CL93" s="75"/>
      <c r="CM93" s="75"/>
      <c r="CN93" s="30"/>
      <c r="CO93" s="75"/>
      <c r="CP93" s="75"/>
      <c r="CQ93" s="75"/>
      <c r="CR93" s="75"/>
      <c r="CT93" s="30"/>
      <c r="CU93" s="75"/>
      <c r="CV93" s="75"/>
      <c r="CW93" s="75"/>
      <c r="CX93" s="75"/>
      <c r="CZ93" s="30"/>
      <c r="DA93" s="75"/>
      <c r="DB93" s="75"/>
      <c r="DC93" s="75"/>
      <c r="DD93" s="75"/>
      <c r="DF93" s="30"/>
      <c r="DG93" s="75"/>
      <c r="DH93" s="75"/>
      <c r="DI93" s="75"/>
      <c r="DJ93" s="75"/>
      <c r="DK93" s="75"/>
      <c r="DL93" s="30"/>
      <c r="DM93" s="75"/>
      <c r="DN93" s="75"/>
      <c r="DO93" s="75"/>
      <c r="DP93" s="75"/>
    </row>
    <row r="94" spans="1:120">
      <c r="A94" s="72" t="str">
        <f>name!C3</f>
        <v>All industries</v>
      </c>
      <c r="B94" s="30">
        <f t="shared" si="68"/>
        <v>2.7912372459239387</v>
      </c>
      <c r="C94" s="75">
        <f>C50</f>
        <v>4561.2992279926211</v>
      </c>
      <c r="D94" s="75">
        <f>D50</f>
        <v>431.97496524334053</v>
      </c>
      <c r="E94" s="75">
        <f>E50</f>
        <v>1445.5882710202891</v>
      </c>
      <c r="F94" s="75">
        <f>F50</f>
        <v>1877.5632362636297</v>
      </c>
      <c r="H94" s="30">
        <f t="shared" si="69"/>
        <v>2.6517730789267446</v>
      </c>
      <c r="I94" s="75">
        <f>I50</f>
        <v>774.77767553257945</v>
      </c>
      <c r="J94" s="75">
        <f>J50</f>
        <v>-90.9176985646708</v>
      </c>
      <c r="K94" s="75">
        <f>K50</f>
        <v>231.78692033646578</v>
      </c>
      <c r="L94" s="75">
        <f>L50</f>
        <v>140.86922177179497</v>
      </c>
      <c r="N94" s="30">
        <f t="shared" si="70"/>
        <v>2.6893242464146816</v>
      </c>
      <c r="O94" s="75">
        <f>O50</f>
        <v>1810.6123702397726</v>
      </c>
      <c r="P94" s="75">
        <f>P50</f>
        <v>208.84741372398935</v>
      </c>
      <c r="Q94" s="75">
        <f>Q50</f>
        <v>550.29225403969679</v>
      </c>
      <c r="R94" s="75">
        <f>R50</f>
        <v>759.13966776368613</v>
      </c>
      <c r="S94" s="75"/>
      <c r="T94" s="30">
        <f t="shared" si="71"/>
        <v>2.9376202991175049</v>
      </c>
      <c r="U94" s="75">
        <f>U50</f>
        <v>1975.9091822202711</v>
      </c>
      <c r="V94" s="75">
        <f>V50</f>
        <v>314.04525008402186</v>
      </c>
      <c r="W94" s="75">
        <f>W50</f>
        <v>663.50909664412427</v>
      </c>
      <c r="X94" s="75">
        <f>X50</f>
        <v>977.55434672814613</v>
      </c>
      <c r="Y94" s="73" t="str">
        <f>A94</f>
        <v>All industries</v>
      </c>
      <c r="Z94" s="30">
        <f>IF(AA94&gt;0,((1+(AC94/AA94))^(1/($A$101-$A$100))-1)*100,0)</f>
        <v>2.9771972098236787</v>
      </c>
      <c r="AA94" s="75">
        <f>AA50</f>
        <v>2141.7348734083043</v>
      </c>
      <c r="AB94" s="75">
        <f>AB50</f>
        <v>328.18012130131888</v>
      </c>
      <c r="AC94" s="75">
        <f>AC50</f>
        <v>730.21185757939747</v>
      </c>
      <c r="AD94" s="75">
        <f>AD50</f>
        <v>1058.3919788807164</v>
      </c>
      <c r="AF94" s="30">
        <f>IF(AG94&gt;0,((1+(AI94/AG94))^(1/($A$101-$A$100))-1)*100,0)</f>
        <v>3.0280155732974823</v>
      </c>
      <c r="AG94" s="75">
        <f>AG50</f>
        <v>114.36183531349347</v>
      </c>
      <c r="AH94" s="75">
        <f>AH50</f>
        <v>10.806009020856356</v>
      </c>
      <c r="AI94" s="75">
        <f>AI50</f>
        <v>39.749458273691218</v>
      </c>
      <c r="AJ94" s="75">
        <f>AJ50</f>
        <v>50.555467294547576</v>
      </c>
      <c r="AL94" s="30">
        <f>IF(AM94&gt;0,((1+(AO94/AM94))^(1/($A$101-$A$100))-1)*100,0)</f>
        <v>2.9663353480916088</v>
      </c>
      <c r="AM94" s="75">
        <f>AM50</f>
        <v>484.03376220781502</v>
      </c>
      <c r="AN94" s="75">
        <f>AN50</f>
        <v>80.752171418150368</v>
      </c>
      <c r="AO94" s="75">
        <f>AO50</f>
        <v>164.34415782441963</v>
      </c>
      <c r="AP94" s="75">
        <f>AP50</f>
        <v>245.09632924256999</v>
      </c>
      <c r="AQ94" s="75"/>
      <c r="AR94" s="30">
        <f>IF(AS94&gt;0,((1+(AU94/AS94))^(1/($A$101-$A$100))-1)*100,0)</f>
        <v>2.9768281396108875</v>
      </c>
      <c r="AS94" s="75">
        <f>AS50</f>
        <v>1543.3392758869961</v>
      </c>
      <c r="AT94" s="75">
        <f>AT50</f>
        <v>236.62194086231219</v>
      </c>
      <c r="AU94" s="75">
        <f>AU50</f>
        <v>526.11824148128676</v>
      </c>
      <c r="AV94" s="75">
        <f>AV50</f>
        <v>762.74018234359892</v>
      </c>
      <c r="AW94" s="73" t="str">
        <f>Y94</f>
        <v>All industries</v>
      </c>
      <c r="AX94" s="30">
        <f>IF(AY94&gt;0,((1+(BA94/AY94))^(1/($A$101-$A$100))-1)*100,0)</f>
        <v>2.5960689907792656</v>
      </c>
      <c r="AY94" s="75">
        <f>AY50</f>
        <v>1169.4910110900296</v>
      </c>
      <c r="AZ94" s="75">
        <f>AZ50</f>
        <v>61.012733866251224</v>
      </c>
      <c r="BA94" s="75">
        <f>BA50</f>
        <v>341.64688672572964</v>
      </c>
      <c r="BB94" s="75">
        <f>BB50</f>
        <v>402.65962059198085</v>
      </c>
      <c r="BD94" s="30">
        <f>IF(BE94&gt;0,((1+(BG94/BE94))^(1/($A$101-$A$100))-1)*100,0)</f>
        <v>2.5108134589674425</v>
      </c>
      <c r="BE94" s="75">
        <f>BE50</f>
        <v>196.77997170605971</v>
      </c>
      <c r="BF94" s="75">
        <f>BF50</f>
        <v>-19.19988351079143</v>
      </c>
      <c r="BG94" s="75">
        <f>BG50</f>
        <v>55.380896948664599</v>
      </c>
      <c r="BH94" s="75">
        <f>BH50</f>
        <v>36.181013437873169</v>
      </c>
      <c r="BJ94" s="30">
        <f>IF(BK94&gt;0,((1+(BM94/BK94))^(1/($A$101-$A$100))-1)*100,0)</f>
        <v>2.5531077119064882</v>
      </c>
      <c r="BK94" s="75">
        <f>BK50</f>
        <v>650.12175377402275</v>
      </c>
      <c r="BL94" s="75">
        <f>BL50</f>
        <v>42.192712487148434</v>
      </c>
      <c r="BM94" s="75">
        <f>BM50</f>
        <v>186.41100647521165</v>
      </c>
      <c r="BN94" s="75">
        <f>BN50</f>
        <v>228.60371896236009</v>
      </c>
      <c r="BO94" s="75"/>
      <c r="BP94" s="30">
        <f>IF(BQ94&gt;0,((1+(BS94/BQ94))^(1/($A$101-$A$100))-1)*100,0)</f>
        <v>2.7334678665663192</v>
      </c>
      <c r="BQ94" s="75">
        <f>BQ50</f>
        <v>322.58928560994713</v>
      </c>
      <c r="BR94" s="75">
        <f>BR50</f>
        <v>38.019904889894228</v>
      </c>
      <c r="BS94" s="75">
        <f>BS50</f>
        <v>99.854983301853494</v>
      </c>
      <c r="BT94" s="75">
        <f>BT50</f>
        <v>137.87488819174771</v>
      </c>
      <c r="BU94" s="73" t="str">
        <f>AW94</f>
        <v>All industries</v>
      </c>
      <c r="BV94" s="30">
        <f>IF(BW94&gt;0,((1+(BY94/BW94))^(1/($A$101-$A$100))-1)*100,0)</f>
        <v>2.5889208699682698</v>
      </c>
      <c r="BW94" s="75">
        <f>BW50</f>
        <v>786.26148565798121</v>
      </c>
      <c r="BX94" s="75">
        <f>BX50</f>
        <v>-16.768227409449015</v>
      </c>
      <c r="BY94" s="75">
        <f>BY50</f>
        <v>228.98528730973825</v>
      </c>
      <c r="BZ94" s="75">
        <f>BZ50</f>
        <v>212.21705990028923</v>
      </c>
      <c r="CB94" s="30">
        <f>IF(CC94&gt;0,((1+(CE94/CC94))^(1/($A$101-$A$100))-1)*100,0)</f>
        <v>2.5278948366694864</v>
      </c>
      <c r="CC94" s="75">
        <f>CC50</f>
        <v>257.91842111045776</v>
      </c>
      <c r="CD94" s="75">
        <f>CD50</f>
        <v>-52.179148361626908</v>
      </c>
      <c r="CE94" s="75">
        <f>CE50</f>
        <v>73.138570554183204</v>
      </c>
      <c r="CF94" s="75">
        <f>CF50</f>
        <v>20.959422192556296</v>
      </c>
      <c r="CH94" s="30">
        <f>IF(CI94&gt;0,((1+(CK94/CI94))^(1/($A$101-$A$100))-1)*100,0)</f>
        <v>2.5655949055339189</v>
      </c>
      <c r="CI94" s="75">
        <f>CI50</f>
        <v>462.50112579230256</v>
      </c>
      <c r="CJ94" s="75">
        <f>CJ50</f>
        <v>18.263082416840735</v>
      </c>
      <c r="CK94" s="75">
        <f>CK50</f>
        <v>133.33911166207648</v>
      </c>
      <c r="CL94" s="75">
        <f>CL50</f>
        <v>151.60219407891722</v>
      </c>
      <c r="CM94" s="75"/>
      <c r="CN94" s="30">
        <f>IF(CO94&gt;0,((1+(CQ94/CO94))^(1/($A$101-$A$100))-1)*100,0)</f>
        <v>2.9840981402702971</v>
      </c>
      <c r="CO94" s="75">
        <f>CO50</f>
        <v>65.841938755220539</v>
      </c>
      <c r="CP94" s="75">
        <f>CP50</f>
        <v>17.147838535337179</v>
      </c>
      <c r="CQ94" s="75">
        <f>CQ50</f>
        <v>22.507605093478684</v>
      </c>
      <c r="CR94" s="75">
        <f>CR50</f>
        <v>39.65544362881586</v>
      </c>
      <c r="CS94" s="73" t="str">
        <f>BU94</f>
        <v>All industries</v>
      </c>
      <c r="CT94" s="30">
        <f>IF(CU94&gt;0,((1+(CW94/CU94))^(1/($A$101-$A$100))-1)*100,0)</f>
        <v>2.7533233225370157</v>
      </c>
      <c r="CU94" s="75">
        <f>CU50</f>
        <v>463.81185783630696</v>
      </c>
      <c r="CV94" s="75">
        <f>CV50</f>
        <v>59.550337485219423</v>
      </c>
      <c r="CW94" s="75">
        <f>CW50</f>
        <v>144.74423940542175</v>
      </c>
      <c r="CX94" s="75">
        <f>CX50</f>
        <v>204.29457689064117</v>
      </c>
      <c r="CZ94" s="30">
        <f>IF(DA94&gt;0,((1+(DC94/DA94))^(1/($A$101-$A$100))-1)*100,0)</f>
        <v>2.7273559755584653</v>
      </c>
      <c r="DA94" s="75">
        <f>DA50</f>
        <v>205.71744740256855</v>
      </c>
      <c r="DB94" s="75">
        <f>DB50</f>
        <v>-30.344675713108767</v>
      </c>
      <c r="DC94" s="75">
        <f>DC50</f>
        <v>63.517994559926827</v>
      </c>
      <c r="DD94" s="75">
        <f>DD50</f>
        <v>33.173318846818063</v>
      </c>
      <c r="DF94" s="30">
        <f>IF(DG94&gt;0,((1+(DI94/DG94))^(1/($A$101-$A$100))-1)*100,0)</f>
        <v>2.7323553670193235</v>
      </c>
      <c r="DG94" s="75">
        <f>DG50</f>
        <v>213.95572846563186</v>
      </c>
      <c r="DH94" s="75">
        <f>DH50</f>
        <v>67.639447401849822</v>
      </c>
      <c r="DI94" s="75">
        <f>DI50</f>
        <v>66.197978077989319</v>
      </c>
      <c r="DJ94" s="75">
        <f>DJ50</f>
        <v>133.83742547983914</v>
      </c>
      <c r="DK94" s="75"/>
      <c r="DL94" s="30">
        <f>IF(DM94&gt;0,((1+(DO94/DM94))^(1/($A$101-$A$100))-1)*100,0)</f>
        <v>2.9736201868302725</v>
      </c>
      <c r="DM94" s="75">
        <f>DM50</f>
        <v>44.13868196810671</v>
      </c>
      <c r="DN94" s="75">
        <f>DN50</f>
        <v>22.25556579647839</v>
      </c>
      <c r="DO94" s="75">
        <f>DO50</f>
        <v>15.028266767505601</v>
      </c>
      <c r="DP94" s="75">
        <f>DP50</f>
        <v>37.283832563983992</v>
      </c>
    </row>
    <row r="95" spans="1:120">
      <c r="A95" s="77"/>
      <c r="B95" s="93"/>
      <c r="C95" s="93"/>
      <c r="D95" s="93"/>
      <c r="E95" s="93"/>
      <c r="F95" s="93"/>
      <c r="G95" s="77"/>
      <c r="H95" s="93"/>
      <c r="I95" s="93"/>
      <c r="J95" s="93"/>
      <c r="K95" s="93"/>
      <c r="L95" s="93"/>
      <c r="M95" s="77"/>
      <c r="N95" s="77"/>
      <c r="O95" s="93"/>
      <c r="P95" s="93"/>
      <c r="Q95" s="93"/>
      <c r="R95" s="93"/>
      <c r="S95" s="93"/>
      <c r="T95" s="77"/>
      <c r="U95" s="93"/>
      <c r="V95" s="93"/>
      <c r="W95" s="93"/>
      <c r="X95" s="93"/>
      <c r="Y95" s="77"/>
      <c r="Z95" s="93"/>
      <c r="AA95" s="93"/>
      <c r="AB95" s="93"/>
      <c r="AC95" s="93"/>
      <c r="AD95" s="93"/>
      <c r="AE95" s="77"/>
      <c r="AF95" s="93"/>
      <c r="AG95" s="93"/>
      <c r="AH95" s="93"/>
      <c r="AI95" s="93"/>
      <c r="AJ95" s="93"/>
      <c r="AK95" s="77"/>
      <c r="AL95" s="77"/>
      <c r="AM95" s="93"/>
      <c r="AN95" s="93"/>
      <c r="AO95" s="93"/>
      <c r="AP95" s="93"/>
      <c r="AQ95" s="93"/>
      <c r="AR95" s="77"/>
      <c r="AS95" s="93"/>
      <c r="AT95" s="93"/>
      <c r="AU95" s="93"/>
      <c r="AV95" s="93"/>
      <c r="AW95" s="77"/>
      <c r="AX95" s="93"/>
      <c r="AY95" s="93"/>
      <c r="AZ95" s="93"/>
      <c r="BA95" s="93"/>
      <c r="BB95" s="93"/>
      <c r="BC95" s="77"/>
      <c r="BD95" s="93"/>
      <c r="BE95" s="93"/>
      <c r="BF95" s="93"/>
      <c r="BG95" s="93"/>
      <c r="BH95" s="93"/>
      <c r="BI95" s="77"/>
      <c r="BJ95" s="77"/>
      <c r="BK95" s="93"/>
      <c r="BL95" s="93"/>
      <c r="BM95" s="93"/>
      <c r="BN95" s="93"/>
      <c r="BO95" s="93"/>
      <c r="BP95" s="77"/>
      <c r="BQ95" s="93"/>
      <c r="BR95" s="93"/>
      <c r="BS95" s="93"/>
      <c r="BT95" s="93"/>
      <c r="BU95" s="77"/>
      <c r="BV95" s="93"/>
      <c r="BW95" s="93"/>
      <c r="BX95" s="93"/>
      <c r="BY95" s="93"/>
      <c r="BZ95" s="93"/>
      <c r="CA95" s="77"/>
      <c r="CB95" s="93"/>
      <c r="CC95" s="93"/>
      <c r="CD95" s="93"/>
      <c r="CE95" s="93"/>
      <c r="CF95" s="93"/>
      <c r="CG95" s="77"/>
      <c r="CH95" s="77"/>
      <c r="CI95" s="93"/>
      <c r="CJ95" s="93"/>
      <c r="CK95" s="93"/>
      <c r="CL95" s="93"/>
      <c r="CM95" s="93"/>
      <c r="CN95" s="77"/>
      <c r="CO95" s="93"/>
      <c r="CP95" s="93"/>
      <c r="CQ95" s="93"/>
      <c r="CR95" s="93"/>
      <c r="CS95" s="77"/>
      <c r="CT95" s="93"/>
      <c r="CU95" s="93"/>
      <c r="CV95" s="93"/>
      <c r="CW95" s="93"/>
      <c r="CX95" s="93"/>
      <c r="CY95" s="77"/>
      <c r="CZ95" s="93"/>
      <c r="DA95" s="93"/>
      <c r="DB95" s="93"/>
      <c r="DC95" s="93"/>
      <c r="DD95" s="93"/>
      <c r="DE95" s="77"/>
      <c r="DF95" s="77"/>
      <c r="DG95" s="93"/>
      <c r="DH95" s="93"/>
      <c r="DI95" s="93"/>
      <c r="DJ95" s="93"/>
      <c r="DK95" s="93"/>
      <c r="DL95" s="77"/>
      <c r="DM95" s="93"/>
      <c r="DN95" s="93"/>
      <c r="DO95" s="93"/>
      <c r="DP95" s="93"/>
    </row>
    <row r="96" spans="1:120">
      <c r="A96" s="72" t="e">
        <f ca="1">CELL("filename")</f>
        <v>#VALUE!</v>
      </c>
      <c r="Y96" s="72" t="e">
        <f ca="1">CELL("filename")</f>
        <v>#VALUE!</v>
      </c>
      <c r="AW96" s="72" t="e">
        <f ca="1">CELL("filename")</f>
        <v>#VALUE!</v>
      </c>
      <c r="BU96" s="72" t="e">
        <f ca="1">CELL("filename")</f>
        <v>#VALUE!</v>
      </c>
      <c r="CS96" s="72" t="e">
        <f ca="1">CELL("filename")</f>
        <v>#VALUE!</v>
      </c>
    </row>
    <row r="99" spans="1:1">
      <c r="A99" s="72" t="s">
        <v>221</v>
      </c>
    </row>
    <row r="100" spans="1:1">
      <c r="A100" s="72">
        <v>2015</v>
      </c>
    </row>
    <row r="101" spans="1:1">
      <c r="A101" s="72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6"/>
  <cols>
    <col min="1" max="1" width="50.7109375" style="111" customWidth="1"/>
    <col min="2" max="2" width="13" style="111" customWidth="1"/>
    <col min="3" max="3" width="9.7109375" style="111" customWidth="1"/>
    <col min="4" max="4" width="10.140625" style="111" customWidth="1"/>
    <col min="5" max="5" width="13" style="111" customWidth="1"/>
    <col min="6" max="6" width="9.7109375" style="111" customWidth="1"/>
    <col min="7" max="7" width="3.7109375" style="111" customWidth="1"/>
    <col min="8" max="9" width="10.140625" style="111" customWidth="1"/>
    <col min="10" max="10" width="3.7109375" style="111" customWidth="1"/>
    <col min="11" max="12" width="10.140625" style="111" customWidth="1"/>
    <col min="13" max="13" width="3.7109375" style="111" customWidth="1"/>
    <col min="14" max="14" width="11.42578125" style="111" customWidth="1"/>
    <col min="15" max="15" width="10.140625" style="111" customWidth="1"/>
    <col min="16" max="16" width="3.7109375" style="111" customWidth="1"/>
    <col min="17" max="18" width="10.140625" style="111" customWidth="1"/>
    <col min="19" max="19" width="2.42578125" style="111" customWidth="1"/>
    <col min="20" max="22" width="13" style="111" customWidth="1"/>
    <col min="23" max="23" width="23.28515625" style="111" customWidth="1"/>
    <col min="24" max="24" width="9.140625" style="111"/>
    <col min="25" max="25" width="12.28515625" style="111" customWidth="1"/>
    <col min="26" max="26" width="10.85546875" style="111" customWidth="1"/>
    <col min="27" max="27" width="8.140625" style="111" customWidth="1"/>
    <col min="28" max="28" width="8" style="111" customWidth="1"/>
    <col min="29" max="16384" width="9.140625" style="111"/>
  </cols>
  <sheetData>
    <row r="1" spans="1:32" ht="12.75" customHeight="1">
      <c r="A1" s="109" t="e">
        <f>CONCATENATE("Table 4.6  Shift-share by industry, ",I3)</f>
        <v>#REF!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</row>
    <row r="2" spans="1:32" ht="12.75" customHeight="1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378" t="s">
        <v>199</v>
      </c>
      <c r="L2" s="378"/>
      <c r="M2" s="378"/>
      <c r="N2" s="378"/>
      <c r="O2" s="378"/>
      <c r="P2" s="378"/>
      <c r="Q2" s="378"/>
      <c r="R2" s="378"/>
      <c r="S2" s="168"/>
      <c r="T2" s="168"/>
      <c r="U2" s="110"/>
    </row>
    <row r="3" spans="1:32" ht="12.75" customHeight="1">
      <c r="A3" s="110"/>
      <c r="B3" s="112" t="s">
        <v>200</v>
      </c>
      <c r="C3" s="113" t="e">
        <f>#REF!</f>
        <v>#REF!</v>
      </c>
      <c r="D3" s="109"/>
      <c r="E3" s="112" t="s">
        <v>201</v>
      </c>
      <c r="F3" s="113" t="e">
        <f>#REF!</f>
        <v>#REF!</v>
      </c>
      <c r="G3" s="109"/>
      <c r="H3" s="112" t="s">
        <v>120</v>
      </c>
      <c r="I3" s="112" t="e">
        <f>CONCATENATE(C3,"-",F3)</f>
        <v>#REF!</v>
      </c>
      <c r="J3" s="109"/>
      <c r="K3" s="379" t="s">
        <v>202</v>
      </c>
      <c r="L3" s="379"/>
      <c r="M3" s="109"/>
      <c r="N3" s="380" t="s">
        <v>222</v>
      </c>
      <c r="O3" s="380"/>
      <c r="P3" s="109"/>
      <c r="Q3" s="380" t="s">
        <v>223</v>
      </c>
      <c r="R3" s="380"/>
      <c r="S3" s="168"/>
      <c r="T3" s="169" t="s">
        <v>224</v>
      </c>
      <c r="U3" s="133" t="s">
        <v>225</v>
      </c>
      <c r="V3" s="140"/>
      <c r="AA3" s="140"/>
      <c r="AD3" s="140"/>
    </row>
    <row r="4" spans="1:32" ht="12.75" customHeight="1">
      <c r="A4" s="114" t="s">
        <v>226</v>
      </c>
      <c r="B4" s="115" t="s">
        <v>142</v>
      </c>
      <c r="C4" s="115" t="s">
        <v>185</v>
      </c>
      <c r="D4" s="109"/>
      <c r="E4" s="115" t="str">
        <f>B4</f>
        <v>000s</v>
      </c>
      <c r="F4" s="115" t="str">
        <f>C4</f>
        <v>% share</v>
      </c>
      <c r="G4" s="109"/>
      <c r="H4" s="115" t="str">
        <f>E4</f>
        <v>000s</v>
      </c>
      <c r="I4" s="115" t="s">
        <v>206</v>
      </c>
      <c r="J4" s="109"/>
      <c r="K4" s="115" t="str">
        <f>H4</f>
        <v>000s</v>
      </c>
      <c r="L4" s="115" t="str">
        <f>I4</f>
        <v xml:space="preserve">%   </v>
      </c>
      <c r="M4" s="109"/>
      <c r="N4" s="115" t="str">
        <f>K4</f>
        <v>000s</v>
      </c>
      <c r="O4" s="115" t="str">
        <f>L4</f>
        <v xml:space="preserve">%   </v>
      </c>
      <c r="P4" s="109"/>
      <c r="Q4" s="115" t="str">
        <f>N4</f>
        <v>000s</v>
      </c>
      <c r="R4" s="115" t="str">
        <f>O4</f>
        <v xml:space="preserve">%   </v>
      </c>
      <c r="S4" s="134"/>
      <c r="T4" s="115"/>
      <c r="U4" s="144"/>
      <c r="V4" s="140"/>
      <c r="W4" s="145"/>
      <c r="Y4" s="141"/>
      <c r="Z4" s="141"/>
      <c r="AA4" s="140"/>
      <c r="AB4" s="141"/>
      <c r="AC4" s="140"/>
    </row>
    <row r="5" spans="1:32" ht="12.75" customHeight="1">
      <c r="A5" s="114"/>
      <c r="B5" s="112"/>
      <c r="C5" s="139"/>
      <c r="D5" s="109" t="s">
        <v>227</v>
      </c>
      <c r="E5" s="112"/>
      <c r="F5" s="139"/>
      <c r="G5" s="109"/>
      <c r="H5" s="112"/>
      <c r="I5" s="112"/>
      <c r="J5" s="109"/>
      <c r="K5" s="112"/>
      <c r="L5" s="112"/>
      <c r="M5" s="109"/>
      <c r="N5" s="112"/>
      <c r="O5" s="112"/>
      <c r="P5" s="109"/>
      <c r="Q5" s="139"/>
      <c r="R5" s="139"/>
      <c r="S5" s="115"/>
      <c r="T5" s="115"/>
      <c r="U5" s="135"/>
      <c r="V5" s="140"/>
      <c r="W5" s="117"/>
    </row>
    <row r="6" spans="1:32">
      <c r="A6" s="28" t="str">
        <f>name!A4</f>
        <v>Agriculture, etc</v>
      </c>
      <c r="B6" s="130">
        <v>290.31999999994002</v>
      </c>
      <c r="C6" s="121">
        <v>0.93859557238401636</v>
      </c>
      <c r="D6" s="142">
        <v>100</v>
      </c>
      <c r="E6" s="130">
        <v>302.0150000000844</v>
      </c>
      <c r="F6" s="121">
        <v>0.90967729595909619</v>
      </c>
      <c r="G6" s="126"/>
      <c r="H6" s="130">
        <v>11.695000000144354</v>
      </c>
      <c r="I6" s="122">
        <v>4.0283135850601992</v>
      </c>
      <c r="J6" s="126"/>
      <c r="K6" s="130">
        <v>21.295935731168065</v>
      </c>
      <c r="L6" s="122">
        <v>7.3353319547990026</v>
      </c>
      <c r="M6" s="126"/>
      <c r="N6" s="130">
        <v>-0.65613111154677028</v>
      </c>
      <c r="O6" s="122">
        <v>-0.22600272511260189</v>
      </c>
      <c r="P6" s="126"/>
      <c r="Q6" s="131">
        <v>-8.9448046194769404</v>
      </c>
      <c r="R6" s="121">
        <v>-3.0810156446262016</v>
      </c>
      <c r="S6" s="121"/>
      <c r="T6" s="354">
        <v>290.31999999994002</v>
      </c>
      <c r="U6" s="355">
        <v>302.0150000000844</v>
      </c>
      <c r="V6" s="146"/>
      <c r="Y6" s="116"/>
      <c r="Z6" s="131"/>
      <c r="AA6" s="131"/>
      <c r="AB6" s="116"/>
      <c r="AC6" s="131"/>
      <c r="AE6" s="116"/>
      <c r="AF6" s="131"/>
    </row>
    <row r="7" spans="1:32" ht="12.95">
      <c r="A7" t="str">
        <f>name!A5</f>
        <v>Coal, oil &amp; gas; Mining &amp; related</v>
      </c>
      <c r="B7" s="131">
        <v>12.074999999997509</v>
      </c>
      <c r="C7" s="121">
        <v>3.9038101186749101E-2</v>
      </c>
      <c r="D7" s="143">
        <v>100</v>
      </c>
      <c r="E7" s="131">
        <v>12.334000000003453</v>
      </c>
      <c r="F7" s="121">
        <v>3.715033944790655E-2</v>
      </c>
      <c r="H7" s="131">
        <v>0.25900000000594448</v>
      </c>
      <c r="I7" s="121">
        <v>2.1449275362815561</v>
      </c>
      <c r="K7" s="131">
        <v>0.88574133354179663</v>
      </c>
      <c r="L7" s="121">
        <v>7.3353319547990017</v>
      </c>
      <c r="N7" s="131">
        <v>-4.283170925688029E-2</v>
      </c>
      <c r="O7" s="121">
        <v>-0.35471394829721842</v>
      </c>
      <c r="Q7" s="131">
        <v>-0.58390962427897186</v>
      </c>
      <c r="R7" s="121">
        <v>-4.8356904702202259</v>
      </c>
      <c r="S7" s="121"/>
      <c r="T7" s="354">
        <v>12.074999999997509</v>
      </c>
      <c r="U7" s="355">
        <v>12.334000000003453</v>
      </c>
      <c r="V7" s="146"/>
      <c r="W7" s="117"/>
      <c r="Y7" s="116"/>
      <c r="Z7" s="131"/>
      <c r="AA7" s="131"/>
      <c r="AB7" s="116"/>
      <c r="AC7" s="131"/>
      <c r="AE7" s="116"/>
      <c r="AF7" s="131"/>
    </row>
    <row r="8" spans="1:32">
      <c r="A8" t="str">
        <f>name!A6</f>
        <v>Food products</v>
      </c>
      <c r="B8" s="131">
        <v>10.050999999997924</v>
      </c>
      <c r="C8" s="121">
        <v>3.2494571844970191E-2</v>
      </c>
      <c r="D8" s="143">
        <v>100</v>
      </c>
      <c r="E8" s="131">
        <v>9.1810000000025642</v>
      </c>
      <c r="F8" s="121">
        <v>2.7653418718277107E-2</v>
      </c>
      <c r="H8" s="131">
        <v>-0.86999999999535793</v>
      </c>
      <c r="I8" s="121">
        <v>-8.6558551387477642</v>
      </c>
      <c r="K8" s="131">
        <v>0.7372742147766953</v>
      </c>
      <c r="L8" s="121">
        <v>7.3353319547990017</v>
      </c>
      <c r="N8" s="131">
        <v>-0.1098416494645672</v>
      </c>
      <c r="O8" s="121">
        <v>-1.0928429953695145</v>
      </c>
      <c r="Q8" s="131">
        <v>-1.497432565307486</v>
      </c>
      <c r="R8" s="121">
        <v>-14.898344098177249</v>
      </c>
      <c r="S8" s="121"/>
      <c r="T8" s="354">
        <v>10.050999999997924</v>
      </c>
      <c r="U8" s="355">
        <v>9.1810000000025642</v>
      </c>
      <c r="V8" s="146"/>
      <c r="Y8" s="116"/>
      <c r="Z8" s="131"/>
      <c r="AA8" s="131"/>
      <c r="AB8" s="116"/>
      <c r="AC8" s="131"/>
      <c r="AE8" s="116"/>
      <c r="AF8" s="131"/>
    </row>
    <row r="9" spans="1:32" ht="12.95">
      <c r="A9" t="str">
        <f>name!A7</f>
        <v>Beverages and tobacco</v>
      </c>
      <c r="B9" s="131">
        <v>2.1699999999991144</v>
      </c>
      <c r="C9" s="121">
        <v>7.0155428219650902E-3</v>
      </c>
      <c r="D9" s="143">
        <v>100</v>
      </c>
      <c r="E9" s="131">
        <v>1.1269999999995304</v>
      </c>
      <c r="F9" s="121">
        <v>3.3945542855327972E-3</v>
      </c>
      <c r="H9" s="131">
        <v>-1.042999999999584</v>
      </c>
      <c r="I9" s="121">
        <v>-48.064516129032704</v>
      </c>
      <c r="K9" s="131">
        <v>0.15917670341907339</v>
      </c>
      <c r="L9" s="121">
        <v>7.3353319547990026</v>
      </c>
      <c r="N9" s="131">
        <v>-8.2157152051436144E-2</v>
      </c>
      <c r="O9" s="121">
        <v>-3.786043873339616</v>
      </c>
      <c r="Q9" s="131">
        <v>-1.1200195513672213</v>
      </c>
      <c r="R9" s="121">
        <v>-51.613804210492084</v>
      </c>
      <c r="S9" s="121"/>
      <c r="T9" s="354">
        <v>2.1699999999991144</v>
      </c>
      <c r="U9" s="355">
        <v>1.1269999999995304</v>
      </c>
      <c r="V9" s="146"/>
      <c r="W9" s="117"/>
      <c r="Y9" s="116"/>
      <c r="Z9" s="131"/>
      <c r="AA9" s="131"/>
      <c r="AB9" s="116"/>
      <c r="AC9" s="131"/>
      <c r="AE9" s="116"/>
      <c r="AF9" s="131"/>
    </row>
    <row r="10" spans="1:32">
      <c r="A10" t="str">
        <f>name!A8</f>
        <v>Textiles</v>
      </c>
      <c r="B10" s="131">
        <v>11.083999999995481</v>
      </c>
      <c r="C10" s="121">
        <v>3.5834228865742432E-2</v>
      </c>
      <c r="D10" s="143">
        <v>100</v>
      </c>
      <c r="E10" s="131">
        <v>7.2319999999969857</v>
      </c>
      <c r="F10" s="121">
        <v>2.1782978343365737E-2</v>
      </c>
      <c r="H10" s="131">
        <v>-3.851999999998494</v>
      </c>
      <c r="I10" s="121">
        <v>-34.75279682425176</v>
      </c>
      <c r="K10" s="131">
        <v>0.81304819386958971</v>
      </c>
      <c r="L10" s="121">
        <v>7.3353319547989999</v>
      </c>
      <c r="N10" s="131">
        <v>-0.31881093078995182</v>
      </c>
      <c r="O10" s="121">
        <v>-2.8763165895893343</v>
      </c>
      <c r="Q10" s="131">
        <v>-4.3462372630781321</v>
      </c>
      <c r="R10" s="121">
        <v>-39.211812189461426</v>
      </c>
      <c r="S10" s="121"/>
      <c r="T10" s="354">
        <v>11.083999999995481</v>
      </c>
      <c r="U10" s="355">
        <v>7.2319999999969857</v>
      </c>
      <c r="V10" s="146"/>
      <c r="Y10" s="116"/>
      <c r="Z10" s="131"/>
      <c r="AA10" s="131"/>
      <c r="AB10" s="116"/>
      <c r="AC10" s="131"/>
      <c r="AE10" s="116"/>
      <c r="AF10" s="131"/>
    </row>
    <row r="11" spans="1:32" ht="12.95">
      <c r="A11" t="str">
        <f>name!A9</f>
        <v>Wearing apparel; Leather, etc</v>
      </c>
      <c r="B11" s="131">
        <v>37.589999999984677</v>
      </c>
      <c r="C11" s="121">
        <v>0.12152730630307274</v>
      </c>
      <c r="D11" s="143">
        <v>100</v>
      </c>
      <c r="E11" s="131">
        <v>29.919999999987525</v>
      </c>
      <c r="F11" s="121">
        <v>9.0119844031181243E-2</v>
      </c>
      <c r="H11" s="131">
        <v>-7.6699999999971515</v>
      </c>
      <c r="I11" s="121">
        <v>-20.404362862464161</v>
      </c>
      <c r="K11" s="131">
        <v>2.7573512818078205</v>
      </c>
      <c r="L11" s="121">
        <v>7.3353319547990017</v>
      </c>
      <c r="N11" s="131">
        <v>-0.7126086226066608</v>
      </c>
      <c r="O11" s="121">
        <v>-1.8957398845622542</v>
      </c>
      <c r="Q11" s="131">
        <v>-9.7147426591983113</v>
      </c>
      <c r="R11" s="121">
        <v>-25.843954932700907</v>
      </c>
      <c r="S11" s="121"/>
      <c r="T11" s="354">
        <v>37.589999999984677</v>
      </c>
      <c r="U11" s="355">
        <v>29.919999999987525</v>
      </c>
      <c r="V11" s="146"/>
      <c r="W11" s="117"/>
      <c r="Y11" s="116"/>
      <c r="Z11" s="131"/>
      <c r="AA11" s="131"/>
      <c r="AB11" s="116"/>
      <c r="AC11" s="131"/>
      <c r="AE11" s="116"/>
      <c r="AF11" s="131"/>
    </row>
    <row r="12" spans="1:32">
      <c r="A12" t="str">
        <f>name!A10</f>
        <v xml:space="preserve">Wood and cork </v>
      </c>
      <c r="B12" s="131">
        <v>395.97300000001809</v>
      </c>
      <c r="C12" s="121">
        <v>1.2801684506190061</v>
      </c>
      <c r="D12" s="143">
        <v>100</v>
      </c>
      <c r="E12" s="131">
        <v>368.47099999980418</v>
      </c>
      <c r="F12" s="121">
        <v>1.1098445538104806</v>
      </c>
      <c r="H12" s="131">
        <v>-27.502000000213915</v>
      </c>
      <c r="I12" s="121">
        <v>-6.945423046574553</v>
      </c>
      <c r="K12" s="131">
        <v>29.045934001377578</v>
      </c>
      <c r="L12" s="121">
        <v>7.3353319547990017</v>
      </c>
      <c r="N12" s="131">
        <v>-3.864504443275159</v>
      </c>
      <c r="O12" s="121">
        <v>-0.97595150257087782</v>
      </c>
      <c r="Q12" s="131">
        <v>-52.683429558316334</v>
      </c>
      <c r="R12" s="121">
        <v>-13.304803498802679</v>
      </c>
      <c r="S12" s="121"/>
      <c r="T12" s="354">
        <v>395.97300000001809</v>
      </c>
      <c r="U12" s="355">
        <v>368.47099999980418</v>
      </c>
      <c r="V12" s="146"/>
      <c r="Y12" s="116"/>
      <c r="Z12" s="131"/>
      <c r="AA12" s="131"/>
      <c r="AB12" s="116"/>
      <c r="AC12" s="131"/>
      <c r="AE12" s="116"/>
      <c r="AF12" s="131"/>
    </row>
    <row r="13" spans="1:32">
      <c r="A13" t="str">
        <f>name!A11</f>
        <v>Paper, etc</v>
      </c>
      <c r="B13" s="131">
        <v>75.845999999976854</v>
      </c>
      <c r="C13" s="121">
        <v>0.24520776998839583</v>
      </c>
      <c r="D13" s="143">
        <v>100</v>
      </c>
      <c r="E13" s="131">
        <v>49.305999999976621</v>
      </c>
      <c r="F13" s="121">
        <v>0.14851099698533315</v>
      </c>
      <c r="H13" s="131">
        <v>-26.540000000000227</v>
      </c>
      <c r="I13" s="121">
        <v>-34.991957387348478</v>
      </c>
      <c r="K13" s="131">
        <v>5.5635558744351528</v>
      </c>
      <c r="L13" s="121">
        <v>7.3353319547990017</v>
      </c>
      <c r="N13" s="131">
        <v>-2.1939675871835931</v>
      </c>
      <c r="O13" s="121">
        <v>-2.8926609012792532</v>
      </c>
      <c r="Q13" s="131">
        <v>-29.909588287251786</v>
      </c>
      <c r="R13" s="121">
        <v>-39.434628440868224</v>
      </c>
      <c r="S13" s="121"/>
      <c r="T13" s="354">
        <v>75.845999999976854</v>
      </c>
      <c r="U13" s="355">
        <v>49.305999999976621</v>
      </c>
      <c r="V13" s="146"/>
      <c r="Y13" s="116"/>
      <c r="Z13" s="131"/>
      <c r="AA13" s="131"/>
      <c r="AB13" s="116"/>
      <c r="AC13" s="131"/>
      <c r="AE13" s="116"/>
      <c r="AF13" s="131"/>
    </row>
    <row r="14" spans="1:32">
      <c r="A14" t="str">
        <f>name!A12</f>
        <v>Printing and recording</v>
      </c>
      <c r="B14" s="131">
        <v>73.1450000000373</v>
      </c>
      <c r="C14" s="121">
        <v>0.2364755206051187</v>
      </c>
      <c r="D14" s="143">
        <v>100</v>
      </c>
      <c r="E14" s="131">
        <v>122.94699999997626</v>
      </c>
      <c r="F14" s="121">
        <v>0.37031966791791843</v>
      </c>
      <c r="H14" s="131">
        <v>49.801999999938957</v>
      </c>
      <c r="I14" s="121">
        <v>68.086677148012257</v>
      </c>
      <c r="K14" s="131">
        <v>5.3654285583404651</v>
      </c>
      <c r="L14" s="121">
        <v>7.3353319547989999</v>
      </c>
      <c r="N14" s="131">
        <v>3.0368099350038165</v>
      </c>
      <c r="O14" s="121">
        <v>4.1517669492135729</v>
      </c>
      <c r="Q14" s="131">
        <v>41.399761506594672</v>
      </c>
      <c r="R14" s="121">
        <v>56.599578243999673</v>
      </c>
      <c r="S14" s="121"/>
      <c r="T14" s="354">
        <v>73.1450000000373</v>
      </c>
      <c r="U14" s="355">
        <v>122.94699999997626</v>
      </c>
      <c r="V14" s="146"/>
      <c r="Y14" s="116"/>
      <c r="Z14" s="131"/>
      <c r="AA14" s="131"/>
      <c r="AB14" s="116"/>
      <c r="AC14" s="131"/>
      <c r="AE14" s="116"/>
      <c r="AF14" s="131"/>
    </row>
    <row r="15" spans="1:32">
      <c r="A15" t="str">
        <f>name!A13</f>
        <v>Coke and petroleum; Chemicals, etc</v>
      </c>
      <c r="B15" s="131">
        <v>80.073000000040807</v>
      </c>
      <c r="C15" s="121">
        <v>0.25887353013074937</v>
      </c>
      <c r="D15" s="143">
        <v>100</v>
      </c>
      <c r="E15" s="131">
        <v>72.98899999998595</v>
      </c>
      <c r="F15" s="121">
        <v>0.2198448294115429</v>
      </c>
      <c r="H15" s="131">
        <v>-7.0840000000548606</v>
      </c>
      <c r="I15" s="121">
        <v>-8.846927179013214</v>
      </c>
      <c r="K15" s="131">
        <v>5.873620356169198</v>
      </c>
      <c r="L15" s="121">
        <v>7.3353319547990017</v>
      </c>
      <c r="N15" s="131">
        <v>-0.88552804492364956</v>
      </c>
      <c r="O15" s="121">
        <v>-1.1059009215630717</v>
      </c>
      <c r="Q15" s="131">
        <v>-12.072092311300409</v>
      </c>
      <c r="R15" s="121">
        <v>-15.076358212249144</v>
      </c>
      <c r="S15" s="121"/>
      <c r="T15" s="354">
        <v>80.073000000040807</v>
      </c>
      <c r="U15" s="355">
        <v>72.98899999998595</v>
      </c>
      <c r="V15" s="146"/>
      <c r="Y15" s="116"/>
      <c r="Z15" s="131"/>
      <c r="AA15" s="131"/>
      <c r="AB15" s="116"/>
      <c r="AC15" s="131"/>
      <c r="AE15" s="116"/>
      <c r="AF15" s="131"/>
    </row>
    <row r="16" spans="1:32">
      <c r="A16" t="str">
        <f>name!A14</f>
        <v>Pharmaceuticals</v>
      </c>
      <c r="B16" s="131">
        <v>104.71500000005337</v>
      </c>
      <c r="C16" s="121">
        <v>0.33854035327315601</v>
      </c>
      <c r="D16" s="143">
        <v>100</v>
      </c>
      <c r="E16" s="131">
        <v>86.702999999983263</v>
      </c>
      <c r="F16" s="121">
        <v>0.26115176594375861</v>
      </c>
      <c r="H16" s="131">
        <v>-18.012000000070095</v>
      </c>
      <c r="I16" s="121">
        <v>-17.200974072540628</v>
      </c>
      <c r="K16" s="131">
        <v>7.6811928564716885</v>
      </c>
      <c r="L16" s="121">
        <v>7.3353319547990017</v>
      </c>
      <c r="N16" s="131">
        <v>-1.7558812662057193</v>
      </c>
      <c r="O16" s="121">
        <v>-1.6768192390821033</v>
      </c>
      <c r="Q16" s="131">
        <v>-23.937311590336066</v>
      </c>
      <c r="R16" s="121">
        <v>-22.859486788257524</v>
      </c>
      <c r="S16" s="121"/>
      <c r="T16" s="354">
        <v>104.71500000005337</v>
      </c>
      <c r="U16" s="355">
        <v>86.702999999983263</v>
      </c>
      <c r="V16" s="146"/>
      <c r="Y16" s="116"/>
      <c r="Z16" s="131"/>
      <c r="AA16" s="131"/>
      <c r="AB16" s="116"/>
      <c r="AC16" s="131"/>
      <c r="AE16" s="116"/>
      <c r="AF16" s="131"/>
    </row>
    <row r="17" spans="1:32">
      <c r="A17" t="str">
        <f>name!A15</f>
        <v>Rubber and plastic</v>
      </c>
      <c r="B17" s="131">
        <v>11.055999999985691</v>
      </c>
      <c r="C17" s="121">
        <v>3.5743705732524098E-2</v>
      </c>
      <c r="D17" s="143">
        <v>100</v>
      </c>
      <c r="E17" s="131">
        <v>18.25699999999954</v>
      </c>
      <c r="F17" s="121">
        <v>5.4990574614903753E-2</v>
      </c>
      <c r="H17" s="131">
        <v>7.2010000000138481</v>
      </c>
      <c r="I17" s="121">
        <v>65.132054992973664</v>
      </c>
      <c r="K17" s="131">
        <v>0.81099430092152791</v>
      </c>
      <c r="L17" s="121">
        <v>7.3353319547990017</v>
      </c>
      <c r="N17" s="131">
        <v>0.43669509510288052</v>
      </c>
      <c r="O17" s="121">
        <v>3.9498470975347839</v>
      </c>
      <c r="Q17" s="131">
        <v>5.9533106039894399</v>
      </c>
      <c r="R17" s="121">
        <v>53.846875940639883</v>
      </c>
      <c r="S17" s="121"/>
      <c r="T17" s="354">
        <v>11.055999999985691</v>
      </c>
      <c r="U17" s="355">
        <v>18.25699999999954</v>
      </c>
      <c r="V17" s="146"/>
      <c r="Y17" s="116"/>
      <c r="Z17" s="131"/>
      <c r="AA17" s="131"/>
      <c r="AB17" s="116"/>
      <c r="AC17" s="131"/>
      <c r="AE17" s="116"/>
      <c r="AF17" s="131"/>
    </row>
    <row r="18" spans="1:32">
      <c r="A18" t="str">
        <f>name!A16</f>
        <v>Other non-metallic</v>
      </c>
      <c r="B18" s="131">
        <v>93.389000000008025</v>
      </c>
      <c r="C18" s="121">
        <v>0.30192374589899607</v>
      </c>
      <c r="D18" s="143">
        <v>100</v>
      </c>
      <c r="E18" s="131">
        <v>88.958999999932729</v>
      </c>
      <c r="F18" s="121">
        <v>0.26794689856842019</v>
      </c>
      <c r="H18" s="131">
        <v>-4.4300000000752915</v>
      </c>
      <c r="I18" s="121">
        <v>-4.7435993533231011</v>
      </c>
      <c r="K18" s="131">
        <v>6.8503931592678278</v>
      </c>
      <c r="L18" s="121">
        <v>7.3353319547990017</v>
      </c>
      <c r="N18" s="131">
        <v>-0.77090578561093448</v>
      </c>
      <c r="O18" s="121">
        <v>-0.82547814583180912</v>
      </c>
      <c r="Q18" s="131">
        <v>-10.509487373732185</v>
      </c>
      <c r="R18" s="121">
        <v>-11.253453162290294</v>
      </c>
      <c r="S18" s="121"/>
      <c r="T18" s="354">
        <v>93.389000000008025</v>
      </c>
      <c r="U18" s="355">
        <v>88.958999999932729</v>
      </c>
      <c r="V18" s="146"/>
      <c r="Y18" s="116"/>
      <c r="Z18" s="131"/>
      <c r="AA18" s="131"/>
      <c r="AB18" s="116"/>
      <c r="AC18" s="131"/>
      <c r="AE18" s="116"/>
      <c r="AF18" s="131"/>
    </row>
    <row r="19" spans="1:32">
      <c r="A19" t="str">
        <f>name!A17</f>
        <v>Basic metals</v>
      </c>
      <c r="B19" s="131">
        <v>27.854999999989587</v>
      </c>
      <c r="C19" s="121">
        <v>9.0054352675504282E-2</v>
      </c>
      <c r="D19" s="143">
        <v>100</v>
      </c>
      <c r="E19" s="131">
        <v>33.922000000006818</v>
      </c>
      <c r="F19" s="121">
        <v>0.1021739755757894</v>
      </c>
      <c r="H19" s="131">
        <v>6.0670000000172291</v>
      </c>
      <c r="I19" s="121">
        <v>21.78064979364386</v>
      </c>
      <c r="K19" s="131">
        <v>2.0432567160084982</v>
      </c>
      <c r="L19" s="121">
        <v>7.3353319547990017</v>
      </c>
      <c r="N19" s="131">
        <v>0.27498394192814857</v>
      </c>
      <c r="O19" s="121">
        <v>0.98719778111021839</v>
      </c>
      <c r="Q19" s="131">
        <v>3.7487593420805823</v>
      </c>
      <c r="R19" s="121">
        <v>13.458120057734638</v>
      </c>
      <c r="S19" s="121"/>
      <c r="T19" s="354">
        <v>27.854999999989587</v>
      </c>
      <c r="U19" s="355">
        <v>33.922000000006818</v>
      </c>
      <c r="V19" s="146"/>
      <c r="Y19" s="116"/>
      <c r="Z19" s="131"/>
      <c r="AA19" s="131"/>
      <c r="AB19" s="116"/>
      <c r="AC19" s="131"/>
      <c r="AE19" s="116"/>
      <c r="AF19" s="131"/>
    </row>
    <row r="20" spans="1:32">
      <c r="A20" t="str">
        <f>name!A18</f>
        <v>Metal products</v>
      </c>
      <c r="B20" s="131">
        <v>171.25499999999897</v>
      </c>
      <c r="C20" s="121">
        <v>0.55366211335304816</v>
      </c>
      <c r="D20" s="143">
        <v>100</v>
      </c>
      <c r="E20" s="131">
        <v>174.72100000005108</v>
      </c>
      <c r="F20" s="121">
        <v>0.52626434722537385</v>
      </c>
      <c r="H20" s="131">
        <v>3.4660000000520959</v>
      </c>
      <c r="I20" s="121">
        <v>2.0238825144095745</v>
      </c>
      <c r="K20" s="131">
        <v>12.562122739190956</v>
      </c>
      <c r="L20" s="121">
        <v>7.3353319547990026</v>
      </c>
      <c r="N20" s="131">
        <v>-0.62163202533603767</v>
      </c>
      <c r="O20" s="121">
        <v>-0.36298620497856493</v>
      </c>
      <c r="Q20" s="131">
        <v>-8.4744907138028225</v>
      </c>
      <c r="R20" s="121">
        <v>-4.9484632354108635</v>
      </c>
      <c r="S20" s="121"/>
      <c r="T20" s="354">
        <v>171.25499999999897</v>
      </c>
      <c r="U20" s="355">
        <v>174.72100000005108</v>
      </c>
      <c r="V20" s="146"/>
      <c r="Y20" s="116"/>
      <c r="Z20" s="131"/>
      <c r="AA20" s="131"/>
      <c r="AB20" s="116"/>
      <c r="AC20" s="131"/>
      <c r="AE20" s="116"/>
      <c r="AF20" s="131"/>
    </row>
    <row r="21" spans="1:32">
      <c r="A21" t="str">
        <f>name!A19</f>
        <v>Computer, etc</v>
      </c>
      <c r="B21" s="131">
        <v>80.063999999999524</v>
      </c>
      <c r="C21" s="121">
        <v>0.25884443340923446</v>
      </c>
      <c r="D21" s="143">
        <v>100</v>
      </c>
      <c r="E21" s="131">
        <v>93.491000000027313</v>
      </c>
      <c r="F21" s="121">
        <v>0.28159740435578678</v>
      </c>
      <c r="H21" s="131">
        <v>13.427000000027794</v>
      </c>
      <c r="I21" s="121">
        <v>16.770333733048403</v>
      </c>
      <c r="K21" s="131">
        <v>5.8729601762902375</v>
      </c>
      <c r="L21" s="121">
        <v>7.3353319547990017</v>
      </c>
      <c r="N21" s="131">
        <v>0.51624557075223443</v>
      </c>
      <c r="O21" s="121">
        <v>0.64479113053586812</v>
      </c>
      <c r="Q21" s="131">
        <v>7.0377942529853215</v>
      </c>
      <c r="R21" s="121">
        <v>8.7902106477135344</v>
      </c>
      <c r="S21" s="121"/>
      <c r="T21" s="354">
        <v>80.063999999999524</v>
      </c>
      <c r="U21" s="355">
        <v>93.491000000027313</v>
      </c>
      <c r="V21" s="146"/>
      <c r="Y21" s="116"/>
      <c r="Z21" s="131"/>
      <c r="AA21" s="131"/>
      <c r="AB21" s="116"/>
      <c r="AC21" s="131"/>
      <c r="AE21" s="116"/>
      <c r="AF21" s="131"/>
    </row>
    <row r="22" spans="1:32">
      <c r="A22" t="str">
        <f>name!A20</f>
        <v>Electrical equipment</v>
      </c>
      <c r="B22" s="131">
        <v>66.058000000045865</v>
      </c>
      <c r="C22" s="121">
        <v>0.21356346900178841</v>
      </c>
      <c r="D22" s="143">
        <v>100</v>
      </c>
      <c r="E22" s="131">
        <v>69.29699999994429</v>
      </c>
      <c r="F22" s="121">
        <v>0.20872442619740475</v>
      </c>
      <c r="H22" s="131">
        <v>3.2389999998984278</v>
      </c>
      <c r="I22" s="121">
        <v>4.9032668259653311</v>
      </c>
      <c r="K22" s="131">
        <v>4.845573582704489</v>
      </c>
      <c r="L22" s="121">
        <v>7.3353319547990017</v>
      </c>
      <c r="N22" s="131">
        <v>-0.10979376804513397</v>
      </c>
      <c r="O22" s="121">
        <v>-0.16620813231562828</v>
      </c>
      <c r="Q22" s="131">
        <v>-1.4967798147609273</v>
      </c>
      <c r="R22" s="121">
        <v>-2.2658569965180417</v>
      </c>
      <c r="S22" s="121"/>
      <c r="T22" s="354">
        <v>66.058000000045865</v>
      </c>
      <c r="U22" s="355">
        <v>69.29699999994429</v>
      </c>
      <c r="V22" s="146"/>
      <c r="Y22" s="116"/>
      <c r="Z22" s="131"/>
      <c r="AA22" s="131"/>
      <c r="AB22" s="116"/>
      <c r="AC22" s="131"/>
      <c r="AE22" s="116"/>
      <c r="AF22" s="131"/>
    </row>
    <row r="23" spans="1:32">
      <c r="A23" t="str">
        <f>name!A21</f>
        <v>Machinery n.e.c.</v>
      </c>
      <c r="B23" s="131">
        <v>320.67900000022286</v>
      </c>
      <c r="C23" s="121">
        <v>1.036745279542592</v>
      </c>
      <c r="D23" s="143">
        <v>100</v>
      </c>
      <c r="E23" s="131">
        <v>294.9469999997628</v>
      </c>
      <c r="F23" s="121">
        <v>0.88838829002187569</v>
      </c>
      <c r="H23" s="131">
        <v>-25.732000000460072</v>
      </c>
      <c r="I23" s="121">
        <v>-8.0242236006854792</v>
      </c>
      <c r="K23" s="131">
        <v>23.522869159346239</v>
      </c>
      <c r="L23" s="121">
        <v>7.3353319547990017</v>
      </c>
      <c r="N23" s="131">
        <v>-3.366093988785714</v>
      </c>
      <c r="O23" s="121">
        <v>-1.0496770879238662</v>
      </c>
      <c r="Q23" s="131">
        <v>-45.888775171020598</v>
      </c>
      <c r="R23" s="121">
        <v>-14.309878467560615</v>
      </c>
      <c r="S23" s="121"/>
      <c r="T23" s="354">
        <v>320.67900000022286</v>
      </c>
      <c r="U23" s="355">
        <v>294.9469999997628</v>
      </c>
      <c r="V23" s="146"/>
      <c r="Y23" s="116"/>
      <c r="Z23" s="131"/>
      <c r="AA23" s="131"/>
      <c r="AB23" s="116"/>
      <c r="AC23" s="131"/>
      <c r="AE23" s="116"/>
      <c r="AF23" s="131"/>
    </row>
    <row r="24" spans="1:32">
      <c r="A24" t="str">
        <f>name!A22</f>
        <v>Motor vehicles, etc</v>
      </c>
      <c r="B24" s="131">
        <v>140.47299999999331</v>
      </c>
      <c r="C24" s="121">
        <v>0.45414486029044115</v>
      </c>
      <c r="D24" s="143">
        <v>100</v>
      </c>
      <c r="E24" s="131">
        <v>162.91900000005276</v>
      </c>
      <c r="F24" s="121">
        <v>0.49071640607375983</v>
      </c>
      <c r="H24" s="131">
        <v>22.44600000005946</v>
      </c>
      <c r="I24" s="121">
        <v>15.97887138457962</v>
      </c>
      <c r="K24" s="131">
        <v>10.304160856864311</v>
      </c>
      <c r="L24" s="121">
        <v>7.3353319547990017</v>
      </c>
      <c r="N24" s="131">
        <v>0.82977728801001405</v>
      </c>
      <c r="O24" s="121">
        <v>0.59070233283980089</v>
      </c>
      <c r="Q24" s="131">
        <v>11.312061855185135</v>
      </c>
      <c r="R24" s="121">
        <v>8.0528370969408165</v>
      </c>
      <c r="S24" s="121"/>
      <c r="T24" s="354">
        <v>140.47299999999331</v>
      </c>
      <c r="U24" s="355">
        <v>162.91900000005276</v>
      </c>
      <c r="V24" s="146"/>
      <c r="Y24" s="116"/>
      <c r="Z24" s="131"/>
      <c r="AA24" s="131"/>
      <c r="AB24" s="116"/>
      <c r="AC24" s="131"/>
      <c r="AE24" s="116"/>
      <c r="AF24" s="131"/>
    </row>
    <row r="25" spans="1:32">
      <c r="A25" t="str">
        <f>name!A23</f>
        <v>Other transport equipment</v>
      </c>
      <c r="B25" s="131">
        <v>67.744000000034035</v>
      </c>
      <c r="C25" s="121">
        <v>0.21901425480720543</v>
      </c>
      <c r="D25" s="143">
        <v>100</v>
      </c>
      <c r="E25" s="131">
        <v>77.434000000005142</v>
      </c>
      <c r="F25" s="121">
        <v>0.23323328886075737</v>
      </c>
      <c r="H25" s="131">
        <v>9.6899999999711</v>
      </c>
      <c r="I25" s="121">
        <v>14.303849787385202</v>
      </c>
      <c r="K25" s="131">
        <v>4.9692472794615323</v>
      </c>
      <c r="L25" s="121">
        <v>7.3353319547990017</v>
      </c>
      <c r="N25" s="131">
        <v>0.32261779649633304</v>
      </c>
      <c r="O25" s="121">
        <v>0.4762308049364829</v>
      </c>
      <c r="Q25" s="131">
        <v>4.3981349240132346</v>
      </c>
      <c r="R25" s="121">
        <v>6.4922870276497182</v>
      </c>
      <c r="S25" s="121"/>
      <c r="T25" s="354">
        <v>67.744000000034035</v>
      </c>
      <c r="U25" s="355">
        <v>77.434000000005142</v>
      </c>
      <c r="V25" s="146"/>
      <c r="Y25" s="116"/>
      <c r="Z25" s="131"/>
      <c r="AA25" s="131"/>
      <c r="AB25" s="116"/>
      <c r="AC25" s="131"/>
      <c r="AE25" s="116"/>
      <c r="AF25" s="131"/>
    </row>
    <row r="26" spans="1:32">
      <c r="A26" t="str">
        <f>name!A24</f>
        <v>Furniture</v>
      </c>
      <c r="B26" s="131">
        <v>182.40299999999939</v>
      </c>
      <c r="C26" s="121">
        <v>0.58970325223751896</v>
      </c>
      <c r="D26" s="143">
        <v>100</v>
      </c>
      <c r="E26" s="131">
        <v>185.13999999993501</v>
      </c>
      <c r="F26" s="121">
        <v>0.55764665521169765</v>
      </c>
      <c r="H26" s="131">
        <v>2.7369999999356223</v>
      </c>
      <c r="I26" s="121">
        <v>1.5005235659148322</v>
      </c>
      <c r="K26" s="131">
        <v>13.379865545511977</v>
      </c>
      <c r="L26" s="121">
        <v>7.3353319547990017</v>
      </c>
      <c r="N26" s="131">
        <v>-0.727336938408782</v>
      </c>
      <c r="O26" s="121">
        <v>-0.39875272797529882</v>
      </c>
      <c r="Q26" s="131">
        <v>-9.9155286071675732</v>
      </c>
      <c r="R26" s="121">
        <v>-5.4360556609088704</v>
      </c>
      <c r="S26" s="121"/>
      <c r="T26" s="354">
        <v>182.40299999999939</v>
      </c>
      <c r="U26" s="355">
        <v>185.13999999993501</v>
      </c>
      <c r="V26" s="146"/>
      <c r="Y26" s="116"/>
      <c r="Z26" s="131"/>
      <c r="AA26" s="131"/>
      <c r="AB26" s="116"/>
      <c r="AC26" s="131"/>
      <c r="AE26" s="116"/>
      <c r="AF26" s="131"/>
    </row>
    <row r="27" spans="1:32">
      <c r="A27" t="str">
        <f>name!A25</f>
        <v>Other manufacturing</v>
      </c>
      <c r="B27" s="131">
        <v>90.135000000064551</v>
      </c>
      <c r="C27" s="121">
        <v>0.29140366463526929</v>
      </c>
      <c r="D27" s="143">
        <v>100</v>
      </c>
      <c r="E27" s="131">
        <v>65.68600000003066</v>
      </c>
      <c r="F27" s="121">
        <v>0.19784799716034099</v>
      </c>
      <c r="H27" s="131">
        <v>-24.449000000033891</v>
      </c>
      <c r="I27" s="121">
        <v>-27.124868253193966</v>
      </c>
      <c r="K27" s="131">
        <v>6.6117014574628152</v>
      </c>
      <c r="L27" s="121">
        <v>7.3353319547990017</v>
      </c>
      <c r="N27" s="131">
        <v>-2.1226985726898846</v>
      </c>
      <c r="O27" s="121">
        <v>-2.3550214374974918</v>
      </c>
      <c r="Q27" s="131">
        <v>-28.938002884806821</v>
      </c>
      <c r="R27" s="121">
        <v>-32.105178770495471</v>
      </c>
      <c r="S27" s="121"/>
      <c r="T27" s="354">
        <v>90.135000000064551</v>
      </c>
      <c r="U27" s="355">
        <v>65.68600000003066</v>
      </c>
      <c r="V27" s="146"/>
      <c r="Y27" s="116"/>
      <c r="Z27" s="131"/>
      <c r="AA27" s="131"/>
      <c r="AB27" s="116"/>
      <c r="AC27" s="131"/>
      <c r="AE27" s="116"/>
      <c r="AF27" s="131"/>
    </row>
    <row r="28" spans="1:32">
      <c r="A28" t="str">
        <f>name!A26</f>
        <v>Repair and installation</v>
      </c>
      <c r="B28" s="131">
        <v>65.316000000028879</v>
      </c>
      <c r="C28" s="121">
        <v>0.2111646059722864</v>
      </c>
      <c r="D28" s="143">
        <v>100</v>
      </c>
      <c r="E28" s="131">
        <v>58.65599999997378</v>
      </c>
      <c r="F28" s="121">
        <v>0.17667344824508047</v>
      </c>
      <c r="H28" s="131">
        <v>-6.6600000000551081</v>
      </c>
      <c r="I28" s="121">
        <v>-10.196582766936375</v>
      </c>
      <c r="K28" s="131">
        <v>4.7911454195986343</v>
      </c>
      <c r="L28" s="121">
        <v>7.3353319547990017</v>
      </c>
      <c r="N28" s="131">
        <v>-0.78257505134664118</v>
      </c>
      <c r="O28" s="121">
        <v>-1.1981368291786012</v>
      </c>
      <c r="Q28" s="131">
        <v>-10.668570368307101</v>
      </c>
      <c r="R28" s="121">
        <v>-16.333777892556778</v>
      </c>
      <c r="S28" s="121"/>
      <c r="T28" s="354">
        <v>65.316000000028879</v>
      </c>
      <c r="U28" s="355">
        <v>58.65599999997378</v>
      </c>
      <c r="V28" s="146"/>
      <c r="Y28" s="116"/>
      <c r="Z28" s="131"/>
      <c r="AA28" s="131"/>
      <c r="AB28" s="116"/>
      <c r="AC28" s="131"/>
      <c r="AE28" s="116"/>
      <c r="AF28" s="131"/>
    </row>
    <row r="29" spans="1:32">
      <c r="A29" t="str">
        <f>name!A27</f>
        <v>Electricity, gas, etc</v>
      </c>
      <c r="B29" s="131">
        <v>217.60999999992853</v>
      </c>
      <c r="C29" s="121">
        <v>0.70352639331241695</v>
      </c>
      <c r="D29" s="143">
        <v>100</v>
      </c>
      <c r="E29" s="131">
        <v>203.759000000095</v>
      </c>
      <c r="F29" s="121">
        <v>0.61372758355500256</v>
      </c>
      <c r="H29" s="131">
        <v>-13.850999999833526</v>
      </c>
      <c r="I29" s="121">
        <v>-6.3650567528321655</v>
      </c>
      <c r="K29" s="131">
        <v>15.962415866832863</v>
      </c>
      <c r="L29" s="121">
        <v>7.3353319547990017</v>
      </c>
      <c r="N29" s="131">
        <v>-2.03745866440849</v>
      </c>
      <c r="O29" s="121">
        <v>-0.93628907881492551</v>
      </c>
      <c r="Q29" s="131">
        <v>-27.775957202257899</v>
      </c>
      <c r="R29" s="121">
        <v>-12.764099628816242</v>
      </c>
      <c r="S29" s="121"/>
      <c r="T29" s="354">
        <v>217.60999999992853</v>
      </c>
      <c r="U29" s="355">
        <v>203.759000000095</v>
      </c>
      <c r="V29" s="146"/>
      <c r="W29" s="356"/>
      <c r="Y29" s="116"/>
      <c r="Z29" s="131"/>
      <c r="AA29" s="131"/>
      <c r="AB29" s="116"/>
      <c r="AC29" s="131"/>
      <c r="AE29" s="116"/>
      <c r="AF29" s="131"/>
    </row>
    <row r="30" spans="1:32">
      <c r="A30" t="str">
        <f>name!A28</f>
        <v>Water</v>
      </c>
      <c r="B30" s="131">
        <v>76.56499999997483</v>
      </c>
      <c r="C30" s="121">
        <v>0.24753227472986161</v>
      </c>
      <c r="D30" s="143">
        <v>100</v>
      </c>
      <c r="E30" s="131">
        <v>91.782000000042814</v>
      </c>
      <c r="F30" s="121">
        <v>0.27644985043038717</v>
      </c>
      <c r="H30" s="131">
        <v>15.217000000067987</v>
      </c>
      <c r="I30" s="121">
        <v>19.874616339153647</v>
      </c>
      <c r="K30" s="131">
        <v>5.616296911190009</v>
      </c>
      <c r="L30" s="121">
        <v>7.3353319547990017</v>
      </c>
      <c r="N30" s="131">
        <v>0.65611521270592732</v>
      </c>
      <c r="O30" s="121">
        <v>0.85693882675653765</v>
      </c>
      <c r="Q30" s="131">
        <v>8.9445878761720508</v>
      </c>
      <c r="R30" s="121">
        <v>11.682345557598108</v>
      </c>
      <c r="S30" s="121"/>
      <c r="T30" s="354">
        <v>76.56499999997483</v>
      </c>
      <c r="U30" s="355">
        <v>91.782000000042814</v>
      </c>
      <c r="V30" s="146"/>
      <c r="Y30" s="116"/>
      <c r="Z30" s="131"/>
      <c r="AA30" s="131"/>
      <c r="AB30" s="116"/>
      <c r="AC30" s="131"/>
      <c r="AE30" s="116"/>
      <c r="AF30" s="131"/>
    </row>
    <row r="31" spans="1:32">
      <c r="A31" t="str">
        <f>name!A29</f>
        <v>Sewerage</v>
      </c>
      <c r="B31" s="131">
        <v>82.465999999925302</v>
      </c>
      <c r="C31" s="121">
        <v>0.266610025048795</v>
      </c>
      <c r="D31" s="143">
        <v>100</v>
      </c>
      <c r="E31" s="131">
        <v>87.377999999966974</v>
      </c>
      <c r="F31" s="121">
        <v>0.26318488408278279</v>
      </c>
      <c r="H31" s="131">
        <v>4.9120000000416617</v>
      </c>
      <c r="I31" s="121">
        <v>5.9563941503724092</v>
      </c>
      <c r="K31" s="131">
        <v>6.0491548498390655</v>
      </c>
      <c r="L31" s="121">
        <v>7.3353319547990017</v>
      </c>
      <c r="N31" s="131">
        <v>-7.7713537149029399E-2</v>
      </c>
      <c r="O31" s="121">
        <v>-9.4237063940411564E-2</v>
      </c>
      <c r="Q31" s="131">
        <v>-1.0594413126483744</v>
      </c>
      <c r="R31" s="121">
        <v>-1.284700740486181</v>
      </c>
      <c r="S31" s="121"/>
      <c r="T31" s="354">
        <v>82.465999999925302</v>
      </c>
      <c r="U31" s="355">
        <v>87.377999999966974</v>
      </c>
      <c r="V31" s="146"/>
      <c r="Y31" s="116"/>
      <c r="Z31" s="131"/>
      <c r="AA31" s="131"/>
      <c r="AB31" s="116"/>
      <c r="AC31" s="131"/>
      <c r="AE31" s="116"/>
      <c r="AF31" s="131"/>
    </row>
    <row r="32" spans="1:32">
      <c r="A32" t="str">
        <f>name!A30</f>
        <v>Waste management</v>
      </c>
      <c r="B32" s="131">
        <v>32.932999999964288</v>
      </c>
      <c r="C32" s="121">
        <v>0.10647136947263597</v>
      </c>
      <c r="D32" s="143">
        <v>100</v>
      </c>
      <c r="E32" s="131">
        <v>34.895000000015962</v>
      </c>
      <c r="F32" s="121">
        <v>0.10510467772295519</v>
      </c>
      <c r="H32" s="131">
        <v>1.9620000000516737</v>
      </c>
      <c r="I32" s="121">
        <v>5.957550177796743</v>
      </c>
      <c r="K32" s="131">
        <v>2.4157448726713358</v>
      </c>
      <c r="L32" s="121">
        <v>7.3353319547990017</v>
      </c>
      <c r="N32" s="131">
        <v>-3.1009074112286816E-2</v>
      </c>
      <c r="O32" s="121">
        <v>-9.4158060645311514E-2</v>
      </c>
      <c r="Q32" s="131">
        <v>-0.42273579850737519</v>
      </c>
      <c r="R32" s="121">
        <v>-1.2836237163569477</v>
      </c>
      <c r="S32" s="121"/>
      <c r="T32" s="354">
        <v>32.932999999964288</v>
      </c>
      <c r="U32" s="355">
        <v>34.895000000015962</v>
      </c>
      <c r="V32" s="146"/>
      <c r="Y32" s="116"/>
      <c r="Z32" s="131"/>
      <c r="AA32" s="131"/>
      <c r="AB32" s="116"/>
      <c r="AC32" s="131"/>
      <c r="AE32" s="116"/>
      <c r="AF32" s="131"/>
    </row>
    <row r="33" spans="1:32">
      <c r="A33" t="str">
        <f>name!A31</f>
        <v>Construction</v>
      </c>
      <c r="B33" s="131">
        <v>35.430000000000284</v>
      </c>
      <c r="C33" s="121">
        <v>0.11454409317157906</v>
      </c>
      <c r="D33" s="143">
        <v>100</v>
      </c>
      <c r="E33" s="131">
        <v>35.217999999995349</v>
      </c>
      <c r="F33" s="121">
        <v>0.10607756240277558</v>
      </c>
      <c r="H33" s="131">
        <v>-0.2120000000049331</v>
      </c>
      <c r="I33" s="121">
        <v>-0.59836296924903021</v>
      </c>
      <c r="K33" s="131">
        <v>2.598908111585307</v>
      </c>
      <c r="L33" s="121">
        <v>7.3353319547990017</v>
      </c>
      <c r="N33" s="131">
        <v>-0.19209838659309805</v>
      </c>
      <c r="O33" s="121">
        <v>-0.54219132541094139</v>
      </c>
      <c r="Q33" s="131">
        <v>-2.618809724997142</v>
      </c>
      <c r="R33" s="121">
        <v>-7.3915035986370903</v>
      </c>
      <c r="S33" s="121"/>
      <c r="T33" s="354">
        <v>35.430000000000284</v>
      </c>
      <c r="U33" s="355">
        <v>35.217999999995349</v>
      </c>
      <c r="V33" s="146"/>
      <c r="Y33" s="116"/>
      <c r="Z33" s="131"/>
      <c r="AA33" s="131"/>
      <c r="AB33" s="116"/>
      <c r="AC33" s="131"/>
      <c r="AE33" s="116"/>
      <c r="AF33" s="131"/>
    </row>
    <row r="34" spans="1:32">
      <c r="A34" t="str">
        <f>name!A32</f>
        <v>Civil engineering</v>
      </c>
      <c r="B34" s="131">
        <v>145.50300000000124</v>
      </c>
      <c r="C34" s="121">
        <v>0.47040669457364592</v>
      </c>
      <c r="D34" s="143">
        <v>100</v>
      </c>
      <c r="E34" s="131">
        <v>144.62799999998086</v>
      </c>
      <c r="F34" s="121">
        <v>0.43562342254496622</v>
      </c>
      <c r="H34" s="131">
        <v>-0.8750000000203727</v>
      </c>
      <c r="I34" s="121">
        <v>-0.60136217124070657</v>
      </c>
      <c r="K34" s="131">
        <v>10.673128054191281</v>
      </c>
      <c r="L34" s="121">
        <v>7.3353319547990017</v>
      </c>
      <c r="N34" s="131">
        <v>-0.78920287654993049</v>
      </c>
      <c r="O34" s="121">
        <v>-0.54239629186334559</v>
      </c>
      <c r="Q34" s="131">
        <v>-10.758925177661723</v>
      </c>
      <c r="R34" s="121">
        <v>-7.3942978341763625</v>
      </c>
      <c r="S34" s="121"/>
      <c r="T34" s="354">
        <v>145.50300000000124</v>
      </c>
      <c r="U34" s="355">
        <v>144.62799999998086</v>
      </c>
      <c r="V34" s="146"/>
      <c r="Y34" s="116"/>
      <c r="Z34" s="131"/>
      <c r="AA34" s="131"/>
      <c r="AB34" s="116"/>
      <c r="AC34" s="131"/>
      <c r="AE34" s="116"/>
      <c r="AF34" s="131"/>
    </row>
    <row r="35" spans="1:32">
      <c r="A35" t="str">
        <f>name!A33</f>
        <v>Specialised construction</v>
      </c>
      <c r="B35" s="131">
        <v>1697.6410000011963</v>
      </c>
      <c r="C35" s="121">
        <v>5.4884207980815161</v>
      </c>
      <c r="D35" s="143">
        <v>100</v>
      </c>
      <c r="E35" s="131">
        <v>1865.8430000002486</v>
      </c>
      <c r="F35" s="121">
        <v>5.619969256242106</v>
      </c>
      <c r="H35" s="131">
        <v>168.20199999905239</v>
      </c>
      <c r="I35" s="121">
        <v>9.9079840790210572</v>
      </c>
      <c r="K35" s="131">
        <v>124.52760275085707</v>
      </c>
      <c r="L35" s="121">
        <v>7.3353319547990017</v>
      </c>
      <c r="N35" s="131">
        <v>2.9847226994760661</v>
      </c>
      <c r="O35" s="121">
        <v>0.17581589390654223</v>
      </c>
      <c r="Q35" s="131">
        <v>40.689674548719267</v>
      </c>
      <c r="R35" s="121">
        <v>2.3968362303155142</v>
      </c>
      <c r="S35" s="121"/>
      <c r="T35" s="354">
        <v>1697.6410000011963</v>
      </c>
      <c r="U35" s="355">
        <v>1865.8430000002486</v>
      </c>
      <c r="V35" s="146"/>
      <c r="Y35" s="116"/>
      <c r="Z35" s="131"/>
      <c r="AA35" s="131"/>
      <c r="AB35" s="116"/>
      <c r="AC35" s="131"/>
      <c r="AE35" s="116"/>
      <c r="AF35" s="131"/>
    </row>
    <row r="36" spans="1:32">
      <c r="A36" t="str">
        <f>name!A34</f>
        <v>Motor vehicle trade</v>
      </c>
      <c r="B36" s="131">
        <v>569.9599999994731</v>
      </c>
      <c r="C36" s="121">
        <v>1.842663035394082</v>
      </c>
      <c r="D36" s="143">
        <v>100</v>
      </c>
      <c r="E36" s="131">
        <v>641.79699999991612</v>
      </c>
      <c r="F36" s="121">
        <v>1.9331098108187363</v>
      </c>
      <c r="H36" s="131">
        <v>71.837000000443084</v>
      </c>
      <c r="I36" s="121">
        <v>12.603866938120129</v>
      </c>
      <c r="K36" s="131">
        <v>41.808458009533737</v>
      </c>
      <c r="L36" s="121">
        <v>7.3353319547990017</v>
      </c>
      <c r="N36" s="131">
        <v>2.0521604546274403</v>
      </c>
      <c r="O36" s="121">
        <v>0.36005341684141651</v>
      </c>
      <c r="Q36" s="131">
        <v>27.976381536281906</v>
      </c>
      <c r="R36" s="121">
        <v>4.9084815664797121</v>
      </c>
      <c r="S36" s="121"/>
      <c r="T36" s="354">
        <v>569.9599999994731</v>
      </c>
      <c r="U36" s="355">
        <v>641.79699999991612</v>
      </c>
      <c r="V36" s="146"/>
      <c r="Y36" s="116"/>
      <c r="Z36" s="131"/>
      <c r="AA36" s="131"/>
      <c r="AB36" s="116"/>
      <c r="AC36" s="131"/>
      <c r="AE36" s="116"/>
      <c r="AF36" s="131"/>
    </row>
    <row r="37" spans="1:32">
      <c r="A37" t="str">
        <f>name!A35</f>
        <v>Wholesale trade</v>
      </c>
      <c r="B37" s="131">
        <v>1164.0059999989242</v>
      </c>
      <c r="C37" s="121">
        <v>3.7631953631428945</v>
      </c>
      <c r="D37" s="143">
        <v>100</v>
      </c>
      <c r="E37" s="131">
        <v>1232.8599999998389</v>
      </c>
      <c r="F37" s="121">
        <v>3.7134074502778711</v>
      </c>
      <c r="H37" s="131">
        <v>68.854000000914795</v>
      </c>
      <c r="I37" s="121">
        <v>5.9152616052647868</v>
      </c>
      <c r="K37" s="131">
        <v>85.383704073698738</v>
      </c>
      <c r="L37" s="121">
        <v>7.3353319547989999</v>
      </c>
      <c r="N37" s="131">
        <v>-1.1296454231819553</v>
      </c>
      <c r="O37" s="121">
        <v>-9.7048075627015618E-2</v>
      </c>
      <c r="Q37" s="131">
        <v>-15.400058649601988</v>
      </c>
      <c r="R37" s="121">
        <v>-1.3230222739071982</v>
      </c>
      <c r="S37" s="121"/>
      <c r="T37" s="354">
        <v>1164.0059999989242</v>
      </c>
      <c r="U37" s="355">
        <v>1232.8599999998389</v>
      </c>
      <c r="V37" s="146"/>
      <c r="Y37" s="116"/>
      <c r="Z37" s="131"/>
      <c r="AA37" s="131"/>
      <c r="AB37" s="116"/>
      <c r="AC37" s="131"/>
      <c r="AE37" s="116"/>
      <c r="AF37" s="131"/>
    </row>
    <row r="38" spans="1:32">
      <c r="A38" t="str">
        <f>name!A36</f>
        <v>Retail trade</v>
      </c>
      <c r="B38" s="131">
        <v>3028.8189999972019</v>
      </c>
      <c r="C38" s="121">
        <v>9.7920780619679828</v>
      </c>
      <c r="D38" s="143">
        <v>100</v>
      </c>
      <c r="E38" s="131">
        <v>3261.3079999995739</v>
      </c>
      <c r="F38" s="121">
        <v>9.8231473361540029</v>
      </c>
      <c r="H38" s="131">
        <v>232.48900000237208</v>
      </c>
      <c r="I38" s="121">
        <v>7.675896116690593</v>
      </c>
      <c r="K38" s="131">
        <v>222.17392795981831</v>
      </c>
      <c r="L38" s="121">
        <v>7.3353319547990017</v>
      </c>
      <c r="N38" s="131">
        <v>0.70493542239819362</v>
      </c>
      <c r="O38" s="121">
        <v>2.3274267045962298E-2</v>
      </c>
      <c r="Q38" s="131">
        <v>9.610136620155572</v>
      </c>
      <c r="R38" s="121">
        <v>0.31728989484562958</v>
      </c>
      <c r="S38" s="121"/>
      <c r="T38" s="354">
        <v>3028.8189999972019</v>
      </c>
      <c r="U38" s="355">
        <v>3261.3079999995739</v>
      </c>
      <c r="V38" s="146"/>
      <c r="Y38" s="116"/>
      <c r="Z38" s="131"/>
      <c r="AA38" s="131"/>
      <c r="AB38" s="116"/>
      <c r="AC38" s="131"/>
      <c r="AE38" s="116"/>
      <c r="AF38" s="131"/>
    </row>
    <row r="39" spans="1:32">
      <c r="A39" t="str">
        <f>name!A37</f>
        <v>Land transport, etc</v>
      </c>
      <c r="B39" s="131">
        <v>716.96500000073365</v>
      </c>
      <c r="C39" s="121">
        <v>2.3179256494734561</v>
      </c>
      <c r="D39" s="143">
        <v>100</v>
      </c>
      <c r="E39" s="131">
        <v>704.04699999997217</v>
      </c>
      <c r="F39" s="121">
        <v>2.1206084836445522</v>
      </c>
      <c r="H39" s="131">
        <v>-12.918000000761472</v>
      </c>
      <c r="I39" s="121">
        <v>-1.8017615923717691</v>
      </c>
      <c r="K39" s="131">
        <v>52.591762749778475</v>
      </c>
      <c r="L39" s="121">
        <v>7.3353319547990017</v>
      </c>
      <c r="N39" s="131">
        <v>-4.476958773069212</v>
      </c>
      <c r="O39" s="121">
        <v>-0.62443198385759846</v>
      </c>
      <c r="Q39" s="131">
        <v>-61.032803977470735</v>
      </c>
      <c r="R39" s="121">
        <v>-8.5126615633131717</v>
      </c>
      <c r="S39" s="121"/>
      <c r="T39" s="354">
        <v>716.96500000073365</v>
      </c>
      <c r="U39" s="355">
        <v>704.04699999997217</v>
      </c>
      <c r="V39" s="146"/>
      <c r="Y39" s="116"/>
      <c r="Z39" s="131"/>
      <c r="AA39" s="131"/>
      <c r="AB39" s="116"/>
      <c r="AC39" s="131"/>
      <c r="AE39" s="116"/>
      <c r="AF39" s="131"/>
    </row>
    <row r="40" spans="1:32">
      <c r="A40" t="str">
        <f>name!A38</f>
        <v>Water transport</v>
      </c>
      <c r="B40" s="131">
        <v>18.247000000011084</v>
      </c>
      <c r="C40" s="121">
        <v>5.8991986116371888E-2</v>
      </c>
      <c r="D40" s="143">
        <v>100</v>
      </c>
      <c r="E40" s="131">
        <v>17.84799999999214</v>
      </c>
      <c r="F40" s="121">
        <v>5.3758655623946702E-2</v>
      </c>
      <c r="H40" s="131">
        <v>-0.39900000001894298</v>
      </c>
      <c r="I40" s="121">
        <v>-2.1866608210593554</v>
      </c>
      <c r="K40" s="131">
        <v>1.338478021792987</v>
      </c>
      <c r="L40" s="121">
        <v>7.3353319547990026</v>
      </c>
      <c r="N40" s="131">
        <v>-0.11873982054226906</v>
      </c>
      <c r="O40" s="121">
        <v>-0.65073612397762337</v>
      </c>
      <c r="Q40" s="131">
        <v>-1.6187382012696609</v>
      </c>
      <c r="R40" s="121">
        <v>-8.871256651880735</v>
      </c>
      <c r="S40" s="121"/>
      <c r="T40" s="354">
        <v>18.247000000011084</v>
      </c>
      <c r="U40" s="355">
        <v>17.84799999999214</v>
      </c>
      <c r="V40" s="146"/>
      <c r="Y40" s="116"/>
      <c r="Z40" s="131"/>
      <c r="AA40" s="131"/>
      <c r="AB40" s="116"/>
      <c r="AC40" s="131"/>
      <c r="AE40" s="116"/>
      <c r="AF40" s="131"/>
    </row>
    <row r="41" spans="1:32">
      <c r="A41" t="str">
        <f>name!A39</f>
        <v>Air transport</v>
      </c>
      <c r="B41" s="131">
        <v>83.957000000060233</v>
      </c>
      <c r="C41" s="121">
        <v>0.2714303818914221</v>
      </c>
      <c r="D41" s="143">
        <v>100</v>
      </c>
      <c r="E41" s="131">
        <v>115.2650000001187</v>
      </c>
      <c r="F41" s="121">
        <v>0.34718127748225713</v>
      </c>
      <c r="H41" s="131">
        <v>31.30800000005847</v>
      </c>
      <c r="I41" s="121">
        <v>37.290517765089284</v>
      </c>
      <c r="K41" s="131">
        <v>6.1585246492950159</v>
      </c>
      <c r="L41" s="121">
        <v>7.3353319547990017</v>
      </c>
      <c r="N41" s="131">
        <v>1.7187234326956968</v>
      </c>
      <c r="O41" s="121">
        <v>2.0471472690716244</v>
      </c>
      <c r="Q41" s="131">
        <v>23.430751918067756</v>
      </c>
      <c r="R41" s="121">
        <v>27.908038541218655</v>
      </c>
      <c r="S41" s="121"/>
      <c r="T41" s="354">
        <v>83.957000000060233</v>
      </c>
      <c r="U41" s="355">
        <v>115.2650000001187</v>
      </c>
      <c r="V41" s="146"/>
      <c r="Y41" s="116"/>
      <c r="Z41" s="131"/>
      <c r="AA41" s="131"/>
      <c r="AB41" s="116"/>
      <c r="AC41" s="131"/>
      <c r="AE41" s="116"/>
      <c r="AF41" s="131"/>
    </row>
    <row r="42" spans="1:32">
      <c r="A42" t="str">
        <f>name!A40</f>
        <v>Warehousing, etc</v>
      </c>
      <c r="B42" s="131">
        <v>340.75900000006266</v>
      </c>
      <c r="C42" s="121">
        <v>1.1016632979130954</v>
      </c>
      <c r="D42" s="143">
        <v>100</v>
      </c>
      <c r="E42" s="131">
        <v>336.28300000019055</v>
      </c>
      <c r="F42" s="121">
        <v>1.0128934328331394</v>
      </c>
      <c r="H42" s="131">
        <v>-4.4759999998720597</v>
      </c>
      <c r="I42" s="121">
        <v>-1.3135383070942328</v>
      </c>
      <c r="K42" s="131">
        <v>24.995803815858125</v>
      </c>
      <c r="L42" s="121">
        <v>7.3353319547990017</v>
      </c>
      <c r="N42" s="131">
        <v>-2.01411278427996</v>
      </c>
      <c r="O42" s="121">
        <v>-0.59106664366299633</v>
      </c>
      <c r="Q42" s="131">
        <v>-27.457691031450224</v>
      </c>
      <c r="R42" s="121">
        <v>-8.0578036182302366</v>
      </c>
      <c r="S42" s="121"/>
      <c r="T42" s="354">
        <v>340.75900000006266</v>
      </c>
      <c r="U42" s="355">
        <v>336.28300000019055</v>
      </c>
      <c r="V42" s="146"/>
      <c r="Y42" s="116"/>
      <c r="Z42" s="131"/>
      <c r="AA42" s="131"/>
      <c r="AB42" s="116"/>
      <c r="AC42" s="131"/>
      <c r="AE42" s="116"/>
      <c r="AF42" s="131"/>
    </row>
    <row r="43" spans="1:32">
      <c r="A43" t="str">
        <f>name!A41</f>
        <v>Postal and courier</v>
      </c>
      <c r="B43" s="131">
        <v>325.27900000005985</v>
      </c>
      <c r="C43" s="121">
        <v>1.0516169371370201</v>
      </c>
      <c r="D43" s="143">
        <v>100</v>
      </c>
      <c r="E43" s="131">
        <v>535.52800000030322</v>
      </c>
      <c r="F43" s="121">
        <v>1.6130247270848221</v>
      </c>
      <c r="H43" s="131">
        <v>210.24900000024343</v>
      </c>
      <c r="I43" s="121">
        <v>64.63651204049593</v>
      </c>
      <c r="K43" s="131">
        <v>23.860294429255035</v>
      </c>
      <c r="L43" s="121">
        <v>7.3353319547990017</v>
      </c>
      <c r="N43" s="131">
        <v>12.737865557301006</v>
      </c>
      <c r="O43" s="121">
        <v>3.9159815288717268</v>
      </c>
      <c r="Q43" s="131">
        <v>173.6508400136874</v>
      </c>
      <c r="R43" s="121">
        <v>53.385198556825195</v>
      </c>
      <c r="S43" s="121"/>
      <c r="T43" s="354">
        <v>325.27900000005985</v>
      </c>
      <c r="U43" s="355">
        <v>535.52800000030322</v>
      </c>
      <c r="V43" s="146"/>
      <c r="Y43" s="116"/>
      <c r="Z43" s="131"/>
      <c r="AA43" s="131"/>
      <c r="AB43" s="116"/>
      <c r="AC43" s="131"/>
      <c r="AE43" s="116"/>
      <c r="AF43" s="131"/>
    </row>
    <row r="44" spans="1:32">
      <c r="A44" t="str">
        <f>name!A42</f>
        <v>Accommodation</v>
      </c>
      <c r="B44" s="131">
        <v>2144.1589999988464</v>
      </c>
      <c r="C44" s="121">
        <v>6.9319996689400423</v>
      </c>
      <c r="D44" s="143">
        <v>100</v>
      </c>
      <c r="E44" s="131">
        <v>2258.3650000006869</v>
      </c>
      <c r="F44" s="121">
        <v>6.8022560683698323</v>
      </c>
      <c r="H44" s="131">
        <v>114.20600000184029</v>
      </c>
      <c r="I44" s="121">
        <v>5.3263773816168358</v>
      </c>
      <c r="K44" s="131">
        <v>157.28118028861411</v>
      </c>
      <c r="L44" s="121">
        <v>7.3353319547990017</v>
      </c>
      <c r="N44" s="131">
        <v>-2.9437720148788173</v>
      </c>
      <c r="O44" s="121">
        <v>-0.13729261751952168</v>
      </c>
      <c r="Q44" s="131">
        <v>-40.131408271894998</v>
      </c>
      <c r="R44" s="121">
        <v>-1.8716619556626439</v>
      </c>
      <c r="S44" s="121"/>
      <c r="T44" s="354">
        <v>2144.1589999988464</v>
      </c>
      <c r="U44" s="355">
        <v>2258.3650000006869</v>
      </c>
      <c r="V44" s="146"/>
      <c r="Y44" s="116"/>
      <c r="Z44" s="131"/>
      <c r="AA44" s="131"/>
      <c r="AB44" s="116"/>
      <c r="AC44" s="131"/>
      <c r="AE44" s="116"/>
      <c r="AF44" s="131"/>
    </row>
    <row r="45" spans="1:32">
      <c r="A45" t="str">
        <f>name!A43</f>
        <v>Food and beverage services</v>
      </c>
      <c r="B45" s="131">
        <v>197.47100000001379</v>
      </c>
      <c r="C45" s="121">
        <v>0.63841762976817074</v>
      </c>
      <c r="D45" s="143">
        <v>100</v>
      </c>
      <c r="E45" s="131">
        <v>286.78200000015835</v>
      </c>
      <c r="F45" s="121">
        <v>0.86379509060746196</v>
      </c>
      <c r="H45" s="131">
        <v>89.311000000144531</v>
      </c>
      <c r="I45" s="121">
        <v>45.227400479127716</v>
      </c>
      <c r="K45" s="131">
        <v>14.485153364462148</v>
      </c>
      <c r="L45" s="121">
        <v>7.3353319547990017</v>
      </c>
      <c r="N45" s="131">
        <v>5.1136230156045031</v>
      </c>
      <c r="O45" s="121">
        <v>2.5895564491009546</v>
      </c>
      <c r="Q45" s="131">
        <v>69.712223620077879</v>
      </c>
      <c r="R45" s="121">
        <v>35.30251207522776</v>
      </c>
      <c r="S45" s="121"/>
      <c r="T45" s="354">
        <v>197.47100000001379</v>
      </c>
      <c r="U45" s="355">
        <v>286.78200000015835</v>
      </c>
      <c r="V45" s="146"/>
      <c r="Y45" s="116"/>
      <c r="Z45" s="131"/>
      <c r="AA45" s="131"/>
      <c r="AB45" s="116"/>
      <c r="AC45" s="131"/>
      <c r="AE45" s="116"/>
      <c r="AF45" s="131"/>
    </row>
    <row r="46" spans="1:32">
      <c r="A46" t="str">
        <f>name!A44</f>
        <v>Publishing activities</v>
      </c>
      <c r="B46" s="131">
        <v>187.13600000001301</v>
      </c>
      <c r="C46" s="121">
        <v>0.60500489471515484</v>
      </c>
      <c r="D46" s="143">
        <v>100</v>
      </c>
      <c r="E46" s="131">
        <v>179.50800000009909</v>
      </c>
      <c r="F46" s="121">
        <v>0.54068291986513894</v>
      </c>
      <c r="H46" s="131">
        <v>-7.6279999999139108</v>
      </c>
      <c r="I46" s="121">
        <v>-4.076179890514589</v>
      </c>
      <c r="K46" s="131">
        <v>13.727046806933613</v>
      </c>
      <c r="L46" s="121">
        <v>7.3353319547990017</v>
      </c>
      <c r="N46" s="131">
        <v>-1.4594109356690108</v>
      </c>
      <c r="O46" s="121">
        <v>-0.77986647981623491</v>
      </c>
      <c r="Q46" s="131">
        <v>-19.895635871178513</v>
      </c>
      <c r="R46" s="121">
        <v>-10.631645365497354</v>
      </c>
      <c r="S46" s="121"/>
      <c r="T46" s="354">
        <v>187.13600000001301</v>
      </c>
      <c r="U46" s="354">
        <v>179.50800000009909</v>
      </c>
      <c r="V46" s="146"/>
      <c r="Y46" s="116"/>
      <c r="Z46" s="131"/>
      <c r="AA46" s="131"/>
      <c r="AB46" s="116"/>
      <c r="AC46" s="131"/>
      <c r="AE46" s="116"/>
      <c r="AF46" s="131"/>
    </row>
    <row r="47" spans="1:32">
      <c r="A47" t="str">
        <f>name!A45</f>
        <v>Film and music</v>
      </c>
      <c r="B47" s="131">
        <v>199.87700000026544</v>
      </c>
      <c r="C47" s="121">
        <v>0.64619615328495417</v>
      </c>
      <c r="D47" s="143">
        <v>100</v>
      </c>
      <c r="E47" s="131">
        <v>198.79299999997147</v>
      </c>
      <c r="F47" s="121">
        <v>0.59876985810479655</v>
      </c>
      <c r="H47" s="131">
        <v>-1.0840000002939487</v>
      </c>
      <c r="I47" s="121">
        <v>-0.54233353527044592</v>
      </c>
      <c r="K47" s="131">
        <v>14.66164145131307</v>
      </c>
      <c r="L47" s="121">
        <v>7.3353319547990017</v>
      </c>
      <c r="N47" s="131">
        <v>-1.0760623252874428</v>
      </c>
      <c r="O47" s="121">
        <v>-0.53836225543009641</v>
      </c>
      <c r="Q47" s="131">
        <v>-14.669579126319576</v>
      </c>
      <c r="R47" s="121">
        <v>-7.3393032346393507</v>
      </c>
      <c r="S47" s="121"/>
      <c r="T47" s="354">
        <v>199.87700000026544</v>
      </c>
      <c r="U47" s="354">
        <v>198.79299999997147</v>
      </c>
      <c r="V47" s="146"/>
      <c r="Y47" s="116"/>
      <c r="Z47" s="116"/>
      <c r="AA47" s="116"/>
      <c r="AB47" s="116"/>
      <c r="AC47" s="116"/>
      <c r="AE47" s="116"/>
      <c r="AF47" s="131"/>
    </row>
    <row r="48" spans="1:32">
      <c r="A48" t="str">
        <f>name!A46</f>
        <v>Broadcasting</v>
      </c>
      <c r="B48" s="131">
        <v>438.62000000015314</v>
      </c>
      <c r="C48" s="121">
        <v>1.4180448813698885</v>
      </c>
      <c r="D48" s="143">
        <v>100</v>
      </c>
      <c r="E48" s="131">
        <v>414.383999999926</v>
      </c>
      <c r="F48" s="121">
        <v>1.2481357436171761</v>
      </c>
      <c r="H48" s="131">
        <v>-24.236000000227126</v>
      </c>
      <c r="I48" s="121">
        <v>-5.525511832615627</v>
      </c>
      <c r="K48" s="131">
        <v>32.174233020150616</v>
      </c>
      <c r="L48" s="121">
        <v>7.3353319547990017</v>
      </c>
      <c r="N48" s="131">
        <v>-3.8550939128439801</v>
      </c>
      <c r="O48" s="121">
        <v>-0.87891430232151613</v>
      </c>
      <c r="Q48" s="131">
        <v>-52.555139107533762</v>
      </c>
      <c r="R48" s="121">
        <v>-11.981929485093113</v>
      </c>
      <c r="S48" s="121"/>
      <c r="T48" s="354">
        <v>438.62000000015314</v>
      </c>
      <c r="U48" s="354">
        <v>414.383999999926</v>
      </c>
      <c r="Y48" s="116"/>
      <c r="Z48" s="116"/>
      <c r="AA48" s="116"/>
      <c r="AB48" s="116"/>
      <c r="AC48" s="116"/>
      <c r="AE48" s="116"/>
    </row>
    <row r="49" spans="1:21">
      <c r="A49" t="str">
        <f>name!A47</f>
        <v>Telecommunications</v>
      </c>
      <c r="B49" s="131">
        <v>613.98799999968332</v>
      </c>
      <c r="C49" s="121">
        <v>1.9850041963927363</v>
      </c>
      <c r="D49" s="143">
        <v>100</v>
      </c>
      <c r="E49" s="131">
        <v>538.85800000020777</v>
      </c>
      <c r="F49" s="121">
        <v>1.6230547765706296</v>
      </c>
      <c r="H49" s="131">
        <v>-75.129999999475544</v>
      </c>
      <c r="I49" s="121">
        <v>-12.236395499507205</v>
      </c>
      <c r="K49" s="131">
        <v>45.038057962608065</v>
      </c>
      <c r="L49" s="121">
        <v>7.3353319547990017</v>
      </c>
      <c r="N49" s="131">
        <v>-8.2123246787610498</v>
      </c>
      <c r="O49" s="121">
        <v>-1.3375383034791049</v>
      </c>
      <c r="Q49" s="131">
        <v>-111.95573328332256</v>
      </c>
      <c r="R49" s="121">
        <v>-18.234189150827103</v>
      </c>
      <c r="S49" s="121"/>
      <c r="T49" s="354">
        <v>613.98799999968332</v>
      </c>
      <c r="U49" s="354">
        <v>538.85800000020777</v>
      </c>
    </row>
    <row r="50" spans="1:21">
      <c r="A50" t="str">
        <f>name!A48</f>
        <v>Computing services</v>
      </c>
      <c r="B50" s="131">
        <v>132.72299999993143</v>
      </c>
      <c r="C50" s="121">
        <v>0.42908935021178413</v>
      </c>
      <c r="D50" s="143">
        <v>100</v>
      </c>
      <c r="E50" s="131">
        <v>135.03200000005205</v>
      </c>
      <c r="F50" s="121">
        <v>0.40672001267474028</v>
      </c>
      <c r="H50" s="131">
        <v>2.3090000001206064</v>
      </c>
      <c r="I50" s="121">
        <v>1.7397135388152762</v>
      </c>
      <c r="K50" s="131">
        <v>9.7356726303628491</v>
      </c>
      <c r="L50" s="121">
        <v>7.3353319547990017</v>
      </c>
      <c r="N50" s="131">
        <v>-0.50754125477889156</v>
      </c>
      <c r="O50" s="121">
        <v>-0.38240640640970575</v>
      </c>
      <c r="Q50" s="131">
        <v>-6.9191313754633512</v>
      </c>
      <c r="R50" s="121">
        <v>-5.2132120095740202</v>
      </c>
      <c r="S50" s="121"/>
      <c r="T50" s="354">
        <v>132.72299999993143</v>
      </c>
      <c r="U50" s="354">
        <v>135.03200000005205</v>
      </c>
    </row>
    <row r="51" spans="1:21">
      <c r="A51" t="str">
        <f>name!A49</f>
        <v>Information services</v>
      </c>
      <c r="B51" s="131">
        <v>312.76299999983866</v>
      </c>
      <c r="C51" s="121">
        <v>1.0111530966018576</v>
      </c>
      <c r="D51" s="143">
        <v>100</v>
      </c>
      <c r="E51" s="131">
        <v>502.44200000019339</v>
      </c>
      <c r="F51" s="121">
        <v>1.5133688059743005</v>
      </c>
      <c r="H51" s="131">
        <v>189.6790000003547</v>
      </c>
      <c r="I51" s="121">
        <v>60.646240124456078</v>
      </c>
      <c r="K51" s="131">
        <v>22.942204281776167</v>
      </c>
      <c r="L51" s="121">
        <v>7.3353319547990017</v>
      </c>
      <c r="N51" s="131">
        <v>11.394847562313828</v>
      </c>
      <c r="O51" s="121">
        <v>3.6432850312599978</v>
      </c>
      <c r="Q51" s="131">
        <v>155.34194815626472</v>
      </c>
      <c r="R51" s="121">
        <v>49.667623138397076</v>
      </c>
      <c r="S51" s="121"/>
      <c r="T51" s="354">
        <v>312.76299999983866</v>
      </c>
      <c r="U51" s="354">
        <v>502.44200000019339</v>
      </c>
    </row>
    <row r="52" spans="1:21">
      <c r="A52" t="str">
        <f>name!A50</f>
        <v>Financial services</v>
      </c>
      <c r="B52" s="131">
        <v>548.61799999979723</v>
      </c>
      <c r="C52" s="121">
        <v>1.7736650100926228</v>
      </c>
      <c r="D52" s="143">
        <v>100</v>
      </c>
      <c r="E52" s="131">
        <v>580.38300000007268</v>
      </c>
      <c r="F52" s="121">
        <v>1.7481291924591382</v>
      </c>
      <c r="H52" s="131">
        <v>31.765000000275439</v>
      </c>
      <c r="I52" s="121">
        <v>5.7900032445685667</v>
      </c>
      <c r="K52" s="131">
        <v>40.242951463764314</v>
      </c>
      <c r="L52" s="121">
        <v>7.3353319547990017</v>
      </c>
      <c r="N52" s="131">
        <v>-0.57938599665903823</v>
      </c>
      <c r="O52" s="121">
        <v>-0.10560827327197655</v>
      </c>
      <c r="Q52" s="131">
        <v>-7.8985654668298366</v>
      </c>
      <c r="R52" s="121">
        <v>-1.4397204369584586</v>
      </c>
      <c r="S52" s="121"/>
      <c r="T52" s="354">
        <v>548.61799999979723</v>
      </c>
      <c r="U52" s="354">
        <v>580.38300000007268</v>
      </c>
    </row>
    <row r="53" spans="1:21">
      <c r="A53" t="str">
        <f>name!A51</f>
        <v>Insurance and pensions</v>
      </c>
      <c r="B53" s="131">
        <v>1501.1650000006377</v>
      </c>
      <c r="C53" s="121">
        <v>4.8532199725087537</v>
      </c>
      <c r="D53" s="143">
        <v>100</v>
      </c>
      <c r="E53" s="131">
        <v>1898.5639999980804</v>
      </c>
      <c r="F53" s="121">
        <v>5.7185257875372297</v>
      </c>
      <c r="H53" s="131">
        <v>397.39899999744262</v>
      </c>
      <c r="I53" s="121">
        <v>26.472706198004467</v>
      </c>
      <c r="K53" s="131">
        <v>110.11543593930521</v>
      </c>
      <c r="L53" s="121">
        <v>7.3353319547990017</v>
      </c>
      <c r="N53" s="131">
        <v>19.633053433064049</v>
      </c>
      <c r="O53" s="121">
        <v>1.3078544619049677</v>
      </c>
      <c r="Q53" s="131">
        <v>267.65051062507337</v>
      </c>
      <c r="R53" s="121">
        <v>17.829519781300501</v>
      </c>
      <c r="S53" s="121"/>
      <c r="T53" s="354">
        <v>1501.1650000006377</v>
      </c>
      <c r="U53" s="354">
        <v>1898.5639999980804</v>
      </c>
    </row>
    <row r="54" spans="1:21">
      <c r="A54" t="str">
        <f>name!A52</f>
        <v>Auxiliary financial services</v>
      </c>
      <c r="B54" s="131">
        <v>471.13500000027409</v>
      </c>
      <c r="C54" s="121">
        <v>1.5231648697833153</v>
      </c>
      <c r="D54" s="143">
        <v>100</v>
      </c>
      <c r="E54" s="131">
        <v>502.06400000003481</v>
      </c>
      <c r="F54" s="121">
        <v>1.5122302598159418</v>
      </c>
      <c r="H54" s="131">
        <v>30.928999999760709</v>
      </c>
      <c r="I54" s="121">
        <v>6.5647850403265977</v>
      </c>
      <c r="K54" s="131">
        <v>34.559316205262384</v>
      </c>
      <c r="L54" s="121">
        <v>7.3353319547990017</v>
      </c>
      <c r="N54" s="131">
        <v>-0.24809700574137494</v>
      </c>
      <c r="O54" s="121">
        <v>-5.2659430044728284E-2</v>
      </c>
      <c r="Q54" s="131">
        <v>-3.3822191997602999</v>
      </c>
      <c r="R54" s="121">
        <v>-0.71788748442767625</v>
      </c>
      <c r="S54" s="121"/>
      <c r="T54" s="354">
        <v>471.13500000027409</v>
      </c>
      <c r="U54" s="354">
        <v>502.06400000003481</v>
      </c>
    </row>
    <row r="55" spans="1:21">
      <c r="A55" t="str">
        <f>name!A53</f>
        <v>Real estate</v>
      </c>
      <c r="B55" s="131">
        <v>106.49900000005229</v>
      </c>
      <c r="C55" s="121">
        <v>0.34430797004476121</v>
      </c>
      <c r="D55" s="143">
        <v>100</v>
      </c>
      <c r="E55" s="131">
        <v>125.1209999999075</v>
      </c>
      <c r="F55" s="121">
        <v>0.37686781433896366</v>
      </c>
      <c r="H55" s="131">
        <v>18.621999999855209</v>
      </c>
      <c r="I55" s="121">
        <v>17.485610193378402</v>
      </c>
      <c r="K55" s="131">
        <v>7.8120551785452239</v>
      </c>
      <c r="L55" s="121">
        <v>7.3353319547990017</v>
      </c>
      <c r="N55" s="131">
        <v>0.73875519116819888</v>
      </c>
      <c r="O55" s="121">
        <v>0.6936733595318606</v>
      </c>
      <c r="Q55" s="131">
        <v>10.071189630141788</v>
      </c>
      <c r="R55" s="121">
        <v>9.4566048790475428</v>
      </c>
      <c r="S55" s="121"/>
      <c r="T55" s="354">
        <v>106.49900000005229</v>
      </c>
      <c r="U55" s="354">
        <v>125.1209999999075</v>
      </c>
    </row>
    <row r="56" spans="1:21">
      <c r="A56" t="str">
        <f>name!A54</f>
        <v>Legal and accounting</v>
      </c>
      <c r="B56" s="131">
        <v>216.71200000001988</v>
      </c>
      <c r="C56" s="121">
        <v>0.7006231871126537</v>
      </c>
      <c r="D56" s="143">
        <v>100</v>
      </c>
      <c r="E56" s="131">
        <v>307.62700000008448</v>
      </c>
      <c r="F56" s="121">
        <v>0.92658079076869526</v>
      </c>
      <c r="H56" s="131">
        <v>90.91500000006458</v>
      </c>
      <c r="I56" s="121">
        <v>41.951991583325444</v>
      </c>
      <c r="K56" s="131">
        <v>15.89654458588547</v>
      </c>
      <c r="L56" s="121">
        <v>7.3353319547990017</v>
      </c>
      <c r="N56" s="131">
        <v>5.1267859629951857</v>
      </c>
      <c r="O56" s="121">
        <v>2.3657139258530746</v>
      </c>
      <c r="Q56" s="131">
        <v>69.89166945118393</v>
      </c>
      <c r="R56" s="121">
        <v>32.25094570267337</v>
      </c>
      <c r="S56" s="121"/>
      <c r="T56" s="354">
        <v>216.71200000001988</v>
      </c>
      <c r="U56" s="354">
        <v>307.62700000008448</v>
      </c>
    </row>
    <row r="57" spans="1:21" ht="12.75" customHeight="1">
      <c r="A57" t="str">
        <f>name!A55</f>
        <v>Head offices, etc</v>
      </c>
      <c r="B57" s="131">
        <v>488.51200000004457</v>
      </c>
      <c r="C57" s="121">
        <v>1.5793441728320374</v>
      </c>
      <c r="D57" s="143">
        <v>100</v>
      </c>
      <c r="E57" s="131">
        <v>554.93600000015249</v>
      </c>
      <c r="F57" s="121">
        <v>1.6714821446297523</v>
      </c>
      <c r="H57" s="131">
        <v>66.424000000107924</v>
      </c>
      <c r="I57" s="121">
        <v>13.597209485151206</v>
      </c>
      <c r="K57" s="131">
        <v>35.833976839030967</v>
      </c>
      <c r="L57" s="121">
        <v>7.3353319547990017</v>
      </c>
      <c r="N57" s="131">
        <v>2.0905322628152163</v>
      </c>
      <c r="O57" s="121">
        <v>0.42793877383053552</v>
      </c>
      <c r="Q57" s="131">
        <v>28.49949089826174</v>
      </c>
      <c r="R57" s="121">
        <v>5.83393875652167</v>
      </c>
      <c r="S57" s="121"/>
      <c r="T57" s="354">
        <v>488.51200000004457</v>
      </c>
      <c r="U57" s="354">
        <v>554.93600000015249</v>
      </c>
    </row>
    <row r="58" spans="1:21">
      <c r="A58" t="str">
        <f>name!A56</f>
        <v>Architectural and related</v>
      </c>
      <c r="B58" s="131">
        <v>154.33900000012474</v>
      </c>
      <c r="C58" s="121">
        <v>0.49897320903252856</v>
      </c>
      <c r="D58" s="143">
        <v>100</v>
      </c>
      <c r="E58" s="131">
        <v>141.48199999997618</v>
      </c>
      <c r="F58" s="121">
        <v>0.42614758600343433</v>
      </c>
      <c r="H58" s="131">
        <v>-12.857000000148545</v>
      </c>
      <c r="I58" s="121">
        <v>-8.3303636800407901</v>
      </c>
      <c r="K58" s="131">
        <v>11.321277985726381</v>
      </c>
      <c r="L58" s="121">
        <v>7.3353319547990017</v>
      </c>
      <c r="N58" s="131">
        <v>-1.6523514847514473</v>
      </c>
      <c r="O58" s="121">
        <v>-1.0705988018259234</v>
      </c>
      <c r="Q58" s="131">
        <v>-22.525926501123479</v>
      </c>
      <c r="R58" s="121">
        <v>-14.595096833013868</v>
      </c>
      <c r="S58" s="121"/>
      <c r="T58" s="354">
        <v>154.33900000012474</v>
      </c>
      <c r="U58" s="354">
        <v>141.48199999997618</v>
      </c>
    </row>
    <row r="59" spans="1:21">
      <c r="A59" t="str">
        <f>name!A57</f>
        <v>Scientific research and development</v>
      </c>
      <c r="B59" s="131">
        <v>945.30400000076372</v>
      </c>
      <c r="C59" s="121">
        <v>3.0561385676419133</v>
      </c>
      <c r="D59" s="143">
        <v>100</v>
      </c>
      <c r="E59" s="131">
        <v>1147.9249999998067</v>
      </c>
      <c r="F59" s="121">
        <v>3.4575809478449013</v>
      </c>
      <c r="H59" s="131">
        <v>202.62099999904308</v>
      </c>
      <c r="I59" s="121">
        <v>21.434480336365802</v>
      </c>
      <c r="K59" s="131">
        <v>69.341186382049173</v>
      </c>
      <c r="L59" s="121">
        <v>7.3353319547990017</v>
      </c>
      <c r="N59" s="131">
        <v>9.1083863807875787</v>
      </c>
      <c r="O59" s="121">
        <v>0.96354044633051583</v>
      </c>
      <c r="Q59" s="131">
        <v>124.17142723620634</v>
      </c>
      <c r="R59" s="121">
        <v>13.135607935236285</v>
      </c>
      <c r="S59" s="121"/>
      <c r="T59" s="354">
        <v>945.30400000076372</v>
      </c>
      <c r="U59" s="354">
        <v>1147.9249999998067</v>
      </c>
    </row>
    <row r="60" spans="1:21">
      <c r="A60" t="str">
        <f>name!A58</f>
        <v>Advertising, etc</v>
      </c>
      <c r="B60" s="131">
        <v>116.95000000009452</v>
      </c>
      <c r="C60" s="121">
        <v>0.37809572950682724</v>
      </c>
      <c r="D60" s="143">
        <v>100</v>
      </c>
      <c r="E60" s="131">
        <v>118.9089999999799</v>
      </c>
      <c r="F60" s="121">
        <v>0.35815710340596213</v>
      </c>
      <c r="H60" s="131">
        <v>1.9589999998853891</v>
      </c>
      <c r="I60" s="121">
        <v>1.6750748181990645</v>
      </c>
      <c r="K60" s="131">
        <v>8.5786707211443645</v>
      </c>
      <c r="L60" s="121">
        <v>7.3353319547989999</v>
      </c>
      <c r="N60" s="131">
        <v>-0.45239047839668522</v>
      </c>
      <c r="O60" s="121">
        <v>-0.38682383787628871</v>
      </c>
      <c r="Q60" s="131">
        <v>-6.1672802428622902</v>
      </c>
      <c r="R60" s="121">
        <v>-5.2734332987236474</v>
      </c>
      <c r="S60" s="121"/>
      <c r="T60" s="354">
        <v>116.95000000009452</v>
      </c>
      <c r="U60" s="354">
        <v>118.9089999999799</v>
      </c>
    </row>
    <row r="61" spans="1:21" ht="12.75" customHeight="1">
      <c r="A61" t="str">
        <f>name!A59</f>
        <v>Other professional</v>
      </c>
      <c r="B61" s="131">
        <v>1329.574000001074</v>
      </c>
      <c r="C61" s="121">
        <v>4.2984715815588732</v>
      </c>
      <c r="D61" s="143">
        <v>100</v>
      </c>
      <c r="E61" s="131">
        <v>1355.4139999997719</v>
      </c>
      <c r="F61" s="121">
        <v>4.0825433916346876</v>
      </c>
      <c r="H61" s="131">
        <v>25.839999998697778</v>
      </c>
      <c r="I61" s="121">
        <v>1.9434796407478565</v>
      </c>
      <c r="K61" s="131">
        <v>97.528666484778057</v>
      </c>
      <c r="L61" s="121">
        <v>7.3353319547990017</v>
      </c>
      <c r="N61" s="131">
        <v>-4.899227090420851</v>
      </c>
      <c r="O61" s="121">
        <v>-0.36848096385886708</v>
      </c>
      <c r="Q61" s="131">
        <v>-66.789439395659429</v>
      </c>
      <c r="R61" s="121">
        <v>-5.0233713501922779</v>
      </c>
      <c r="S61" s="121"/>
      <c r="T61" s="354">
        <v>1329.574000001074</v>
      </c>
      <c r="U61" s="354">
        <v>1355.4139999997719</v>
      </c>
    </row>
    <row r="62" spans="1:21" ht="12.75" customHeight="1">
      <c r="A62" t="str">
        <f>name!A60</f>
        <v>Veterinary</v>
      </c>
      <c r="B62" s="131">
        <v>1373.6089999998901</v>
      </c>
      <c r="C62" s="121">
        <v>4.4408353733363164</v>
      </c>
      <c r="D62" s="143">
        <v>100</v>
      </c>
      <c r="E62" s="131">
        <v>1410.480000000412</v>
      </c>
      <c r="F62" s="121">
        <v>4.2484036634087783</v>
      </c>
      <c r="H62" s="131">
        <v>36.87100000052201</v>
      </c>
      <c r="I62" s="121">
        <v>2.6842427503405233</v>
      </c>
      <c r="K62" s="131">
        <v>100.75877991098696</v>
      </c>
      <c r="L62" s="121">
        <v>7.3353319547990017</v>
      </c>
      <c r="N62" s="131">
        <v>-4.366111931304566</v>
      </c>
      <c r="O62" s="121">
        <v>-0.31785696885393994</v>
      </c>
      <c r="Q62" s="131">
        <v>-59.521667979160384</v>
      </c>
      <c r="R62" s="121">
        <v>-4.3332322356045383</v>
      </c>
      <c r="S62" s="121"/>
      <c r="T62" s="354">
        <v>1373.6089999998901</v>
      </c>
      <c r="U62" s="354">
        <v>1410.480000000412</v>
      </c>
    </row>
    <row r="63" spans="1:21">
      <c r="A63" t="str">
        <f>name!A61</f>
        <v>Rental and leasing</v>
      </c>
      <c r="B63" s="131">
        <v>2644.983000000736</v>
      </c>
      <c r="C63" s="121">
        <v>8.5511481566278444</v>
      </c>
      <c r="D63" s="143">
        <v>100</v>
      </c>
      <c r="E63" s="131">
        <v>2641.450000001309</v>
      </c>
      <c r="F63" s="121">
        <v>7.9561183829004314</v>
      </c>
      <c r="H63" s="131">
        <v>-3.5329999994267709</v>
      </c>
      <c r="I63" s="121">
        <v>-0.13357363731357774</v>
      </c>
      <c r="K63" s="131">
        <v>194.01828319805523</v>
      </c>
      <c r="L63" s="121">
        <v>7.3353319547989999</v>
      </c>
      <c r="N63" s="131">
        <v>-13.500719790574287</v>
      </c>
      <c r="O63" s="121">
        <v>-0.51042746930965266</v>
      </c>
      <c r="Q63" s="131">
        <v>-184.05056340690771</v>
      </c>
      <c r="R63" s="121">
        <v>-6.9584781228029264</v>
      </c>
      <c r="S63" s="121"/>
      <c r="T63" s="354">
        <v>2644.983000000736</v>
      </c>
      <c r="U63" s="354">
        <v>2641.450000001309</v>
      </c>
    </row>
    <row r="64" spans="1:21">
      <c r="A64" t="str">
        <f>name!A62</f>
        <v>Employment activities</v>
      </c>
      <c r="B64" s="131">
        <v>2374.4340000002467</v>
      </c>
      <c r="C64" s="121">
        <v>7.6764716151789791</v>
      </c>
      <c r="D64" s="143">
        <v>100</v>
      </c>
      <c r="E64" s="131">
        <v>2612.1830000006412</v>
      </c>
      <c r="F64" s="121">
        <v>7.8679653924150754</v>
      </c>
      <c r="H64" s="131">
        <v>237.7490000003944</v>
      </c>
      <c r="I64" s="121">
        <v>10.012870435664656</v>
      </c>
      <c r="K64" s="131">
        <v>174.17261594763022</v>
      </c>
      <c r="L64" s="121">
        <v>7.3353319547990017</v>
      </c>
      <c r="N64" s="131">
        <v>4.3448310357788387</v>
      </c>
      <c r="O64" s="121">
        <v>0.18298386208159026</v>
      </c>
      <c r="Q64" s="131">
        <v>59.231553016985345</v>
      </c>
      <c r="R64" s="121">
        <v>2.4945546187840635</v>
      </c>
      <c r="S64" s="121"/>
      <c r="T64" s="354">
        <v>2374.4340000002467</v>
      </c>
      <c r="U64" s="354">
        <v>2612.1830000006412</v>
      </c>
    </row>
    <row r="65" spans="1:21">
      <c r="A65" t="str">
        <f>name!A63</f>
        <v>Travel, etc</v>
      </c>
      <c r="B65" s="131">
        <v>1674.2150000001743</v>
      </c>
      <c r="C65" s="121">
        <v>5.4126852652913824</v>
      </c>
      <c r="D65" s="143">
        <v>100</v>
      </c>
      <c r="E65" s="131">
        <v>1674.3130000004107</v>
      </c>
      <c r="F65" s="121">
        <v>5.0430757493141405</v>
      </c>
      <c r="H65" s="131">
        <v>9.8000000236323159E-2</v>
      </c>
      <c r="I65" s="121">
        <v>5.8534895599617097E-3</v>
      </c>
      <c r="K65" s="131">
        <v>122.80922788705089</v>
      </c>
      <c r="L65" s="121">
        <v>7.3353319547990017</v>
      </c>
      <c r="N65" s="131">
        <v>-8.3861257494394739</v>
      </c>
      <c r="O65" s="121">
        <v>-0.50089897351526547</v>
      </c>
      <c r="Q65" s="131">
        <v>-114.3251021373751</v>
      </c>
      <c r="R65" s="121">
        <v>-6.8285794917237741</v>
      </c>
      <c r="S65" s="121"/>
      <c r="T65" s="354">
        <v>1674.2150000001743</v>
      </c>
      <c r="U65" s="354">
        <v>1674.3130000004107</v>
      </c>
    </row>
    <row r="66" spans="1:21">
      <c r="A66" t="str">
        <f>name!A64</f>
        <v>Security, etc</v>
      </c>
      <c r="B66" s="131">
        <v>413.60599999980559</v>
      </c>
      <c r="C66" s="121">
        <v>1.3371753937426327</v>
      </c>
      <c r="D66" s="143">
        <v>100</v>
      </c>
      <c r="E66" s="131">
        <v>428.36800000013642</v>
      </c>
      <c r="F66" s="121">
        <v>1.2902559274056631</v>
      </c>
      <c r="H66" s="131">
        <v>14.762000000330852</v>
      </c>
      <c r="I66" s="121">
        <v>3.5690971601808945</v>
      </c>
      <c r="K66" s="131">
        <v>30.339373084951696</v>
      </c>
      <c r="L66" s="121">
        <v>7.3353319547990017</v>
      </c>
      <c r="N66" s="131">
        <v>-1.064562809640007</v>
      </c>
      <c r="O66" s="121">
        <v>-0.25738572690930678</v>
      </c>
      <c r="Q66" s="131">
        <v>-14.512810274980836</v>
      </c>
      <c r="R66" s="121">
        <v>-3.5088490677087996</v>
      </c>
      <c r="S66" s="121"/>
      <c r="T66" s="354">
        <v>413.60599999980559</v>
      </c>
      <c r="U66" s="354">
        <v>428.36800000013642</v>
      </c>
    </row>
    <row r="67" spans="1:21">
      <c r="A67" t="str">
        <f>name!A65</f>
        <v>Services to buildings</v>
      </c>
      <c r="B67" s="131">
        <v>435.47399999979547</v>
      </c>
      <c r="C67" s="121">
        <v>1.4078739607613997</v>
      </c>
      <c r="D67" s="143">
        <v>100</v>
      </c>
      <c r="E67" s="131">
        <v>454.83400000014473</v>
      </c>
      <c r="F67" s="121">
        <v>1.3699722306185969</v>
      </c>
      <c r="H67" s="131">
        <v>19.360000000349245</v>
      </c>
      <c r="I67" s="121">
        <v>4.4457303996009729</v>
      </c>
      <c r="K67" s="131">
        <v>31.943463476826398</v>
      </c>
      <c r="L67" s="121">
        <v>7.3353319547990017</v>
      </c>
      <c r="N67" s="131">
        <v>-0.85995804046995161</v>
      </c>
      <c r="O67" s="121">
        <v>-0.19747632246020552</v>
      </c>
      <c r="Q67" s="131">
        <v>-11.723505436007201</v>
      </c>
      <c r="R67" s="121">
        <v>-2.6921252327378231</v>
      </c>
      <c r="S67" s="121"/>
      <c r="T67" s="354">
        <v>435.47399999979547</v>
      </c>
      <c r="U67" s="354">
        <v>454.83400000014473</v>
      </c>
    </row>
    <row r="68" spans="1:21">
      <c r="A68" t="str">
        <f>name!A66</f>
        <v>Office administrative</v>
      </c>
      <c r="B68" s="131">
        <v>242.30100000016066</v>
      </c>
      <c r="C68" s="121">
        <v>0.78335163193861013</v>
      </c>
      <c r="D68" s="143">
        <v>100</v>
      </c>
      <c r="E68" s="131">
        <v>263.26700000002035</v>
      </c>
      <c r="F68" s="121">
        <v>0.79296727869547856</v>
      </c>
      <c r="H68" s="131">
        <v>20.965999999859719</v>
      </c>
      <c r="I68" s="121">
        <v>8.6528739047077057</v>
      </c>
      <c r="K68" s="131">
        <v>17.773582679809312</v>
      </c>
      <c r="L68" s="121">
        <v>7.3353319547990017</v>
      </c>
      <c r="N68" s="131">
        <v>0.2181708516137455</v>
      </c>
      <c r="O68" s="121">
        <v>9.0041251011593354E-2</v>
      </c>
      <c r="Q68" s="131">
        <v>2.974246468436661</v>
      </c>
      <c r="R68" s="121">
        <v>1.2275006988971109</v>
      </c>
      <c r="S68" s="121"/>
      <c r="T68" s="354">
        <v>242.30100000016066</v>
      </c>
      <c r="U68" s="354">
        <v>263.26700000002035</v>
      </c>
    </row>
    <row r="69" spans="1:21">
      <c r="A69" t="str">
        <f>name!A67</f>
        <v>Public administration and defence</v>
      </c>
      <c r="B69" s="131">
        <v>90.647000000060117</v>
      </c>
      <c r="C69" s="121">
        <v>0.29305894478495426</v>
      </c>
      <c r="D69" s="143">
        <v>100</v>
      </c>
      <c r="E69" s="131">
        <v>97.768000000007532</v>
      </c>
      <c r="F69" s="121">
        <v>0.29447984329027005</v>
      </c>
      <c r="H69" s="131">
        <v>7.1209999999474238</v>
      </c>
      <c r="I69" s="121">
        <v>7.8557481217720406</v>
      </c>
      <c r="K69" s="131">
        <v>6.6492583570710604</v>
      </c>
      <c r="L69" s="121">
        <v>7.3353319547990017</v>
      </c>
      <c r="N69" s="131">
        <v>3.2238979321913774E-2</v>
      </c>
      <c r="O69" s="121">
        <v>3.5565412337851661E-2</v>
      </c>
      <c r="Q69" s="131">
        <v>0.43950266355444967</v>
      </c>
      <c r="R69" s="121">
        <v>0.48485075463518729</v>
      </c>
      <c r="S69" s="121"/>
      <c r="T69" s="354">
        <v>90.647000000060117</v>
      </c>
      <c r="U69" s="354">
        <v>97.768000000007532</v>
      </c>
    </row>
    <row r="70" spans="1:21">
      <c r="A70" t="str">
        <f>name!A68</f>
        <v xml:space="preserve">Education </v>
      </c>
      <c r="B70" s="131">
        <v>541.20600000035859</v>
      </c>
      <c r="C70" s="121">
        <v>1.7497022435523057</v>
      </c>
      <c r="D70" s="143">
        <v>100</v>
      </c>
      <c r="E70" s="131">
        <v>583.72000000004539</v>
      </c>
      <c r="F70" s="121">
        <v>1.75818032613326</v>
      </c>
      <c r="H70" s="131">
        <v>42.513999999686845</v>
      </c>
      <c r="I70" s="121">
        <v>7.8554191933678998</v>
      </c>
      <c r="K70" s="131">
        <v>39.699256659315786</v>
      </c>
      <c r="L70" s="121">
        <v>7.3353319547990017</v>
      </c>
      <c r="N70" s="131">
        <v>0.19236048739177392</v>
      </c>
      <c r="O70" s="121">
        <v>3.5542933262315363E-2</v>
      </c>
      <c r="Q70" s="131">
        <v>2.6223828529792854</v>
      </c>
      <c r="R70" s="121">
        <v>0.48454430530658343</v>
      </c>
      <c r="S70" s="121"/>
      <c r="T70" s="354">
        <v>541.20600000035859</v>
      </c>
      <c r="U70" s="354">
        <v>583.72000000004539</v>
      </c>
    </row>
    <row r="71" spans="1:21">
      <c r="A71" t="str">
        <f>name!A69</f>
        <v>Health</v>
      </c>
      <c r="B71" s="131">
        <v>89.69100000005939</v>
      </c>
      <c r="C71" s="121">
        <v>0.28996822638043518</v>
      </c>
      <c r="D71" s="143">
        <v>100</v>
      </c>
      <c r="E71" s="131">
        <v>93.170000000007207</v>
      </c>
      <c r="F71" s="121">
        <v>0.28063054372958912</v>
      </c>
      <c r="H71" s="131">
        <v>3.4789999999478169</v>
      </c>
      <c r="I71" s="121">
        <v>3.8788730195287302</v>
      </c>
      <c r="K71" s="131">
        <v>6.5791325835831289</v>
      </c>
      <c r="L71" s="121">
        <v>7.3353319547990017</v>
      </c>
      <c r="N71" s="131">
        <v>-0.21186408231755838</v>
      </c>
      <c r="O71" s="121">
        <v>-0.23621554260451783</v>
      </c>
      <c r="Q71" s="131">
        <v>-2.8882685013177536</v>
      </c>
      <c r="R71" s="121">
        <v>-3.2202433926657537</v>
      </c>
      <c r="S71" s="121"/>
      <c r="T71" s="354">
        <v>89.69100000005939</v>
      </c>
      <c r="U71" s="354">
        <v>93.170000000007207</v>
      </c>
    </row>
    <row r="72" spans="1:21">
      <c r="A72" s="21" t="str">
        <f>name!A3</f>
        <v>All industries</v>
      </c>
      <c r="B72" s="132">
        <v>30931.320000000887</v>
      </c>
      <c r="C72" s="127">
        <v>100</v>
      </c>
      <c r="D72" s="174">
        <v>100</v>
      </c>
      <c r="E72" s="132">
        <v>33200.235000002089</v>
      </c>
      <c r="F72" s="127">
        <v>100</v>
      </c>
      <c r="G72" s="125"/>
      <c r="H72" s="132">
        <v>2268.9150000011996</v>
      </c>
      <c r="I72" s="127">
        <v>7.3353319547990017</v>
      </c>
      <c r="J72" s="125"/>
      <c r="K72" s="132">
        <v>2268.9150000011996</v>
      </c>
      <c r="L72" s="127">
        <v>7.3353319547990017</v>
      </c>
      <c r="M72" s="125"/>
      <c r="N72" s="132">
        <v>-2.5920599000528455E-11</v>
      </c>
      <c r="O72" s="127">
        <v>-8.3800494128694509E-14</v>
      </c>
      <c r="P72" s="125"/>
      <c r="Q72" s="132">
        <v>2.5963231564674061E-11</v>
      </c>
      <c r="R72" s="127">
        <v>2.7161651386449669E-13</v>
      </c>
      <c r="S72" s="127"/>
      <c r="T72" s="357">
        <v>30931.320000000887</v>
      </c>
      <c r="U72" s="357">
        <v>33200.235000002089</v>
      </c>
    </row>
    <row r="75" spans="1:21">
      <c r="A75" s="147" t="s">
        <v>228</v>
      </c>
      <c r="B75" s="148"/>
      <c r="C75" s="148"/>
      <c r="D75" s="148"/>
      <c r="E75" s="148"/>
    </row>
    <row r="76" spans="1:21">
      <c r="A76" s="381" t="s">
        <v>229</v>
      </c>
      <c r="B76" s="381"/>
      <c r="C76" s="381"/>
      <c r="D76" s="381"/>
      <c r="E76" s="381"/>
      <c r="F76" s="381"/>
      <c r="G76" s="381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</row>
    <row r="77" spans="1:21">
      <c r="A77" s="381" t="s">
        <v>230</v>
      </c>
      <c r="B77" s="381"/>
      <c r="C77" s="381"/>
      <c r="D77" s="381"/>
      <c r="E77" s="381"/>
      <c r="F77" s="381"/>
      <c r="G77" s="381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</row>
    <row r="78" spans="1:21">
      <c r="A78" s="381" t="s">
        <v>231</v>
      </c>
      <c r="B78" s="381"/>
      <c r="C78" s="381"/>
      <c r="D78" s="381"/>
      <c r="E78" s="381"/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</row>
    <row r="79" spans="1:21">
      <c r="A79" s="381" t="s">
        <v>232</v>
      </c>
      <c r="B79" s="381"/>
      <c r="C79" s="381"/>
      <c r="D79" s="381"/>
      <c r="E79" s="381"/>
      <c r="F79" s="381"/>
      <c r="G79" s="381"/>
      <c r="H79" s="381"/>
      <c r="I79" s="381"/>
      <c r="J79" s="381"/>
      <c r="K79" s="381"/>
      <c r="L79" s="381"/>
      <c r="M79" s="381"/>
      <c r="N79" s="381"/>
      <c r="O79" s="381"/>
      <c r="P79" s="381"/>
      <c r="Q79" s="381"/>
      <c r="R79" s="381"/>
    </row>
    <row r="80" spans="1:21">
      <c r="A80" s="381" t="s">
        <v>233</v>
      </c>
      <c r="B80" s="381"/>
      <c r="C80" s="381"/>
      <c r="D80" s="381"/>
      <c r="E80" s="381"/>
      <c r="F80" s="381"/>
      <c r="G80" s="381"/>
      <c r="H80" s="381"/>
      <c r="I80" s="381"/>
      <c r="J80" s="381"/>
      <c r="K80" s="381"/>
      <c r="L80" s="381"/>
      <c r="M80" s="381"/>
      <c r="N80" s="381"/>
      <c r="O80" s="381"/>
      <c r="P80" s="381"/>
      <c r="Q80" s="381"/>
      <c r="R80" s="381"/>
    </row>
    <row r="81" spans="1:18">
      <c r="A81" s="381" t="s">
        <v>234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6"/>
  <cols>
    <col min="1" max="1" width="18.140625" style="72" customWidth="1"/>
    <col min="2" max="6" width="7.7109375" style="72" customWidth="1"/>
    <col min="7" max="7" width="3.5703125" style="72" customWidth="1"/>
    <col min="8" max="12" width="7.7109375" style="72" customWidth="1"/>
    <col min="13" max="13" width="3.5703125" style="72" customWidth="1"/>
    <col min="14" max="18" width="7.7109375" style="72" customWidth="1"/>
    <col min="19" max="19" width="3.5703125" style="72" customWidth="1"/>
    <col min="20" max="24" width="7.7109375" style="72" customWidth="1"/>
    <col min="25" max="16384" width="9.140625" style="72"/>
  </cols>
  <sheetData>
    <row r="1" spans="1:60" ht="15.6">
      <c r="A1" s="17" t="str">
        <f>CONCATENATE("Basic Table 2a  Population by Gender, Age Group and ISCED Qualification, ",Info!B8,", ",$B$5,"-",$F$5)</f>
        <v>Basic Table 2a  Population by Gender, Age Group and ISCED Qualification, , 2008-2025</v>
      </c>
      <c r="P1" s="157" t="s">
        <v>235</v>
      </c>
      <c r="Y1" s="17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7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>
      <c r="W2" s="377" t="s">
        <v>115</v>
      </c>
      <c r="X2" s="377"/>
      <c r="AP2" s="102" t="s">
        <v>115</v>
      </c>
      <c r="BH2" s="102" t="s">
        <v>115</v>
      </c>
    </row>
    <row r="3" spans="1:60" ht="12.95">
      <c r="A3" s="99" t="s">
        <v>236</v>
      </c>
      <c r="B3" s="160" t="s">
        <v>237</v>
      </c>
      <c r="C3" s="160"/>
      <c r="D3" s="161"/>
      <c r="E3" s="160"/>
      <c r="F3" s="160"/>
      <c r="G3" s="99"/>
      <c r="H3" s="160" t="s">
        <v>238</v>
      </c>
      <c r="I3" s="160"/>
      <c r="J3" s="160"/>
      <c r="K3" s="160"/>
      <c r="L3" s="160"/>
      <c r="M3" s="99"/>
      <c r="N3" s="160" t="s">
        <v>239</v>
      </c>
      <c r="O3" s="160"/>
      <c r="P3" s="160"/>
      <c r="Q3" s="160"/>
      <c r="R3" s="160"/>
      <c r="S3" s="99"/>
      <c r="T3" s="382" t="s">
        <v>240</v>
      </c>
      <c r="U3" s="382"/>
      <c r="V3" s="382"/>
      <c r="W3" s="382"/>
      <c r="X3" s="382"/>
      <c r="Y3" s="99" t="s">
        <v>236</v>
      </c>
      <c r="Z3" s="382" t="s">
        <v>241</v>
      </c>
      <c r="AA3" s="382"/>
      <c r="AB3" s="382"/>
      <c r="AC3" s="382"/>
      <c r="AD3" s="382"/>
      <c r="AE3" s="99"/>
      <c r="AF3" s="160" t="s">
        <v>242</v>
      </c>
      <c r="AG3" s="160"/>
      <c r="AH3" s="160"/>
      <c r="AI3" s="160"/>
      <c r="AJ3" s="160"/>
      <c r="AK3" s="99"/>
      <c r="AL3" s="382" t="s">
        <v>243</v>
      </c>
      <c r="AM3" s="382"/>
      <c r="AN3" s="382"/>
      <c r="AO3" s="382"/>
      <c r="AP3" s="382"/>
      <c r="AQ3" s="99" t="s">
        <v>236</v>
      </c>
      <c r="AR3" s="382" t="s">
        <v>244</v>
      </c>
      <c r="AS3" s="382"/>
      <c r="AT3" s="382"/>
      <c r="AU3" s="382"/>
      <c r="AV3" s="382"/>
      <c r="AW3" s="99"/>
      <c r="AX3" s="160" t="s">
        <v>245</v>
      </c>
      <c r="AY3" s="160"/>
      <c r="AZ3" s="160"/>
      <c r="BA3" s="160"/>
      <c r="BB3" s="160"/>
      <c r="BC3" s="99"/>
      <c r="BD3" s="382" t="s">
        <v>246</v>
      </c>
      <c r="BE3" s="382"/>
      <c r="BF3" s="382"/>
      <c r="BG3" s="382"/>
      <c r="BH3" s="382"/>
    </row>
    <row r="4" spans="1:60" ht="12.95">
      <c r="A4" s="156" t="s">
        <v>247</v>
      </c>
      <c r="B4" s="162"/>
      <c r="C4" s="162"/>
      <c r="D4" s="162"/>
      <c r="E4" s="162"/>
      <c r="F4" s="162"/>
      <c r="G4" s="73"/>
      <c r="H4" s="162"/>
      <c r="I4" s="162"/>
      <c r="J4" s="162"/>
      <c r="K4" s="162"/>
      <c r="L4" s="162"/>
      <c r="M4" s="73"/>
      <c r="N4" s="162"/>
      <c r="O4" s="162"/>
      <c r="P4" s="162"/>
      <c r="Q4" s="162"/>
      <c r="R4" s="162"/>
      <c r="S4" s="73"/>
      <c r="T4" s="162"/>
      <c r="U4" s="162"/>
      <c r="V4" s="162"/>
      <c r="W4" s="162"/>
      <c r="X4" s="162"/>
      <c r="Y4" s="156" t="s">
        <v>247</v>
      </c>
      <c r="Z4" s="162"/>
      <c r="AA4" s="162"/>
      <c r="AB4" s="162"/>
      <c r="AC4" s="162"/>
      <c r="AD4" s="162"/>
      <c r="AE4" s="73"/>
      <c r="AF4" s="162"/>
      <c r="AG4" s="162"/>
      <c r="AH4" s="162"/>
      <c r="AI4" s="162"/>
      <c r="AJ4" s="162"/>
      <c r="AK4" s="73"/>
      <c r="AL4" s="162"/>
      <c r="AM4" s="162"/>
      <c r="AN4" s="162"/>
      <c r="AO4" s="162"/>
      <c r="AP4" s="162"/>
      <c r="AQ4" s="156" t="s">
        <v>247</v>
      </c>
      <c r="AR4" s="162"/>
      <c r="AS4" s="162"/>
      <c r="AT4" s="162"/>
      <c r="AU4" s="162"/>
      <c r="AV4" s="162"/>
      <c r="AW4" s="73"/>
      <c r="AX4" s="162"/>
      <c r="AY4" s="162"/>
      <c r="AZ4" s="162"/>
      <c r="BA4" s="162"/>
      <c r="BB4" s="162"/>
      <c r="BC4" s="73"/>
      <c r="BD4" s="162"/>
      <c r="BE4" s="162"/>
      <c r="BF4" s="162"/>
      <c r="BG4" s="162"/>
      <c r="BH4" s="162"/>
    </row>
    <row r="5" spans="1:60" ht="12.95">
      <c r="A5" s="155"/>
      <c r="B5" s="163">
        <v>2008</v>
      </c>
      <c r="C5" s="163">
        <v>2010</v>
      </c>
      <c r="D5" s="163">
        <v>2015</v>
      </c>
      <c r="E5" s="163">
        <v>2020</v>
      </c>
      <c r="F5" s="101">
        <v>2025</v>
      </c>
      <c r="G5" s="101"/>
      <c r="H5" s="101">
        <f>B5</f>
        <v>2008</v>
      </c>
      <c r="I5" s="101">
        <f>C5</f>
        <v>2010</v>
      </c>
      <c r="J5" s="101">
        <f>D5</f>
        <v>2015</v>
      </c>
      <c r="K5" s="101">
        <f>E5</f>
        <v>2020</v>
      </c>
      <c r="L5" s="101">
        <f>F5</f>
        <v>2025</v>
      </c>
      <c r="M5" s="101"/>
      <c r="N5" s="101">
        <f>B5</f>
        <v>2008</v>
      </c>
      <c r="O5" s="101">
        <f>C5</f>
        <v>2010</v>
      </c>
      <c r="P5" s="101">
        <f>D5</f>
        <v>2015</v>
      </c>
      <c r="Q5" s="101">
        <f>E5</f>
        <v>2020</v>
      </c>
      <c r="R5" s="101">
        <f>F5</f>
        <v>2025</v>
      </c>
      <c r="S5" s="101"/>
      <c r="T5" s="101">
        <f>B5</f>
        <v>2008</v>
      </c>
      <c r="U5" s="101">
        <f>C5</f>
        <v>2010</v>
      </c>
      <c r="V5" s="101">
        <f>D5</f>
        <v>2015</v>
      </c>
      <c r="W5" s="101">
        <f>E5</f>
        <v>2020</v>
      </c>
      <c r="X5" s="101">
        <f>F5</f>
        <v>2025</v>
      </c>
      <c r="Y5" s="155"/>
      <c r="Z5" s="163">
        <v>2008</v>
      </c>
      <c r="AA5" s="163">
        <v>2010</v>
      </c>
      <c r="AB5" s="163">
        <v>2012</v>
      </c>
      <c r="AC5" s="163">
        <v>2015</v>
      </c>
      <c r="AD5" s="156">
        <v>2020</v>
      </c>
      <c r="AE5" s="101"/>
      <c r="AF5" s="101">
        <f>Z5</f>
        <v>2008</v>
      </c>
      <c r="AG5" s="101">
        <f>AA5</f>
        <v>2010</v>
      </c>
      <c r="AH5" s="101">
        <f>AB5</f>
        <v>2012</v>
      </c>
      <c r="AI5" s="101">
        <f>AC5</f>
        <v>2015</v>
      </c>
      <c r="AJ5" s="101">
        <f>AD5</f>
        <v>2020</v>
      </c>
      <c r="AK5" s="101"/>
      <c r="AL5" s="101">
        <f>Z5</f>
        <v>2008</v>
      </c>
      <c r="AM5" s="101">
        <f>AA5</f>
        <v>2010</v>
      </c>
      <c r="AN5" s="101">
        <f>AB5</f>
        <v>2012</v>
      </c>
      <c r="AO5" s="101">
        <f>AC5</f>
        <v>2015</v>
      </c>
      <c r="AP5" s="101">
        <f>AD5</f>
        <v>2020</v>
      </c>
      <c r="AQ5" s="155"/>
      <c r="AR5" s="163">
        <v>2008</v>
      </c>
      <c r="AS5" s="163">
        <v>2010</v>
      </c>
      <c r="AT5" s="163">
        <v>2012</v>
      </c>
      <c r="AU5" s="163">
        <v>2015</v>
      </c>
      <c r="AV5" s="156">
        <v>2020</v>
      </c>
      <c r="AW5" s="101"/>
      <c r="AX5" s="101">
        <f>AR5</f>
        <v>2008</v>
      </c>
      <c r="AY5" s="101">
        <f>AS5</f>
        <v>2010</v>
      </c>
      <c r="AZ5" s="101">
        <f>AT5</f>
        <v>2012</v>
      </c>
      <c r="BA5" s="101">
        <f>AU5</f>
        <v>2015</v>
      </c>
      <c r="BB5" s="101">
        <f>AV5</f>
        <v>2020</v>
      </c>
      <c r="BC5" s="101"/>
      <c r="BD5" s="101">
        <f>AR5</f>
        <v>2008</v>
      </c>
      <c r="BE5" s="101">
        <f>AS5</f>
        <v>2010</v>
      </c>
      <c r="BF5" s="101">
        <f>AT5</f>
        <v>2012</v>
      </c>
      <c r="BG5" s="101">
        <f>AU5</f>
        <v>2015</v>
      </c>
      <c r="BH5" s="101">
        <f>AV5</f>
        <v>2020</v>
      </c>
    </row>
    <row r="6" spans="1:60" ht="12.95">
      <c r="A6" s="95" t="s">
        <v>248</v>
      </c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Y6" s="95" t="str">
        <f>A6</f>
        <v>Males and females</v>
      </c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95" t="str">
        <f>A6</f>
        <v>Males and females</v>
      </c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</row>
    <row r="7" spans="1:60">
      <c r="A7" s="72" t="s">
        <v>249</v>
      </c>
      <c r="B7" s="165">
        <f>SUM(B21,B35)</f>
        <v>3459.4640427147242</v>
      </c>
      <c r="C7" s="165">
        <f t="shared" ref="C7:F7" si="0">SUM(C21,C35)</f>
        <v>3400.2899538632541</v>
      </c>
      <c r="D7" s="165">
        <f t="shared" si="0"/>
        <v>3045.4402650537522</v>
      </c>
      <c r="E7" s="165">
        <f t="shared" si="0"/>
        <v>2678.9714989136332</v>
      </c>
      <c r="F7" s="165">
        <f t="shared" si="0"/>
        <v>2317.0105072138758</v>
      </c>
      <c r="G7" s="164"/>
      <c r="H7" s="165">
        <f>SUM(H21,H35)</f>
        <v>1679.4259754428681</v>
      </c>
      <c r="I7" s="165">
        <f t="shared" ref="I7:L7" si="1">SUM(I21,I35)</f>
        <v>1648.317888485841</v>
      </c>
      <c r="J7" s="165">
        <f t="shared" si="1"/>
        <v>1477.7490935463652</v>
      </c>
      <c r="K7" s="165">
        <f t="shared" si="1"/>
        <v>1288.2296891194944</v>
      </c>
      <c r="L7" s="165">
        <f t="shared" si="1"/>
        <v>1088.2685344941576</v>
      </c>
      <c r="M7" s="164"/>
      <c r="N7" s="165">
        <f>SUM(N21,N35)</f>
        <v>1780.0380672718561</v>
      </c>
      <c r="O7" s="165">
        <f t="shared" ref="O7:R7" si="2">SUM(O21,O35)</f>
        <v>1751.9720653774136</v>
      </c>
      <c r="P7" s="165">
        <f t="shared" si="2"/>
        <v>1567.6911715073866</v>
      </c>
      <c r="Q7" s="165">
        <f t="shared" si="2"/>
        <v>1390.7418097941386</v>
      </c>
      <c r="R7" s="165">
        <f t="shared" si="2"/>
        <v>1228.7419727197182</v>
      </c>
      <c r="S7" s="164"/>
      <c r="T7" s="165">
        <f>SUM(T21,T35)</f>
        <v>0</v>
      </c>
      <c r="U7" s="165">
        <f t="shared" ref="U7:X7" si="3">SUM(U21,U35)</f>
        <v>0</v>
      </c>
      <c r="V7" s="165">
        <f t="shared" si="3"/>
        <v>0</v>
      </c>
      <c r="W7" s="165">
        <f t="shared" si="3"/>
        <v>0</v>
      </c>
      <c r="X7" s="165">
        <f t="shared" si="3"/>
        <v>0</v>
      </c>
      <c r="Y7" s="72" t="str">
        <f>A7</f>
        <v>15+</v>
      </c>
      <c r="Z7" s="165">
        <f>SUM(Z21,Z35)</f>
        <v>3091.791884793171</v>
      </c>
      <c r="AA7" s="165">
        <f t="shared" ref="AA7:AD7" si="4">SUM(AA21,AA35)</f>
        <v>3065.8806069644388</v>
      </c>
      <c r="AB7" s="165">
        <f t="shared" si="4"/>
        <v>3409.3013579609269</v>
      </c>
      <c r="AC7" s="165">
        <f t="shared" si="4"/>
        <v>3706.9349474249966</v>
      </c>
      <c r="AD7" s="165">
        <f t="shared" si="4"/>
        <v>4020.4986268054308</v>
      </c>
      <c r="AE7" s="164"/>
      <c r="AF7" s="165">
        <f>SUM(AF21,AF35)</f>
        <v>2927.4264642789112</v>
      </c>
      <c r="AG7" s="165">
        <f t="shared" ref="AG7:AJ7" si="5">SUM(AG21,AG35)</f>
        <v>2904.0501410418874</v>
      </c>
      <c r="AH7" s="165">
        <f t="shared" si="5"/>
        <v>3230.1495942820802</v>
      </c>
      <c r="AI7" s="165">
        <f t="shared" si="5"/>
        <v>3512.6427518955061</v>
      </c>
      <c r="AJ7" s="165">
        <f t="shared" si="5"/>
        <v>3811.1764268486331</v>
      </c>
      <c r="AK7" s="164"/>
      <c r="AL7" s="165">
        <f>SUM(AL21,AL35)</f>
        <v>164.36542051425988</v>
      </c>
      <c r="AM7" s="165">
        <f t="shared" ref="AM7:AP7" si="6">SUM(AM21,AM35)</f>
        <v>161.83046592255167</v>
      </c>
      <c r="AN7" s="165">
        <f t="shared" si="6"/>
        <v>179.15176367884681</v>
      </c>
      <c r="AO7" s="165">
        <f t="shared" si="6"/>
        <v>194.29219552948987</v>
      </c>
      <c r="AP7" s="165">
        <f t="shared" si="6"/>
        <v>209.3221999567977</v>
      </c>
      <c r="AQ7" s="72" t="str">
        <f>A7</f>
        <v>15+</v>
      </c>
      <c r="AR7" s="165">
        <f>SUM(AR21,AR35)</f>
        <v>2315.1550724921058</v>
      </c>
      <c r="AS7" s="165">
        <f t="shared" ref="AS7:AV7" si="7">SUM(AS21,AS35)</f>
        <v>2541.5004391723069</v>
      </c>
      <c r="AT7" s="165">
        <f t="shared" si="7"/>
        <v>2941.8093769853213</v>
      </c>
      <c r="AU7" s="165">
        <f t="shared" si="7"/>
        <v>3371.4645536613707</v>
      </c>
      <c r="AV7" s="165">
        <f t="shared" si="7"/>
        <v>3852.3018659806939</v>
      </c>
      <c r="AW7" s="164"/>
      <c r="AX7" s="165">
        <f>SUM(AX21,AX35)</f>
        <v>2273.2830854649774</v>
      </c>
      <c r="AY7" s="165">
        <f t="shared" ref="AY7:BB7" si="8">SUM(AY21,AY35)</f>
        <v>2495.5789443393905</v>
      </c>
      <c r="AZ7" s="165">
        <f t="shared" si="8"/>
        <v>2888.5095204216923</v>
      </c>
      <c r="BA7" s="165">
        <f t="shared" si="8"/>
        <v>3309.625834412429</v>
      </c>
      <c r="BB7" s="165">
        <f t="shared" si="8"/>
        <v>3780.5650780045271</v>
      </c>
      <c r="BC7" s="164"/>
      <c r="BD7" s="165">
        <f>SUM(BD21,BD35)</f>
        <v>41.87198702712827</v>
      </c>
      <c r="BE7" s="165">
        <f t="shared" ref="BE7:BH7" si="9">SUM(BE21,BE35)</f>
        <v>45.921494832916046</v>
      </c>
      <c r="BF7" s="165">
        <f t="shared" si="9"/>
        <v>53.299856563628751</v>
      </c>
      <c r="BG7" s="165">
        <f t="shared" si="9"/>
        <v>61.838719248942184</v>
      </c>
      <c r="BH7" s="165">
        <f t="shared" si="9"/>
        <v>71.736787976166625</v>
      </c>
    </row>
    <row r="8" spans="1:60">
      <c r="A8" s="72" t="s">
        <v>250</v>
      </c>
      <c r="B8" s="165">
        <f t="shared" ref="B8:F18" si="10">SUM(B22,B36)</f>
        <v>501.63108046561928</v>
      </c>
      <c r="C8" s="165">
        <f t="shared" si="10"/>
        <v>493.36896304450306</v>
      </c>
      <c r="D8" s="165">
        <f t="shared" si="10"/>
        <v>467.66784217805935</v>
      </c>
      <c r="E8" s="165">
        <f t="shared" si="10"/>
        <v>467.57168305686275</v>
      </c>
      <c r="F8" s="165">
        <f t="shared" si="10"/>
        <v>503.21354379106839</v>
      </c>
      <c r="G8" s="164"/>
      <c r="H8" s="165">
        <f t="shared" ref="H8:L18" si="11">SUM(H22,H36)</f>
        <v>114.48583632559203</v>
      </c>
      <c r="I8" s="165">
        <f t="shared" si="11"/>
        <v>112.4668251880446</v>
      </c>
      <c r="J8" s="165">
        <f t="shared" si="11"/>
        <v>106.55167737427834</v>
      </c>
      <c r="K8" s="165">
        <f t="shared" si="11"/>
        <v>106.48887604298042</v>
      </c>
      <c r="L8" s="165">
        <f t="shared" si="11"/>
        <v>114.56799971676224</v>
      </c>
      <c r="M8" s="164"/>
      <c r="N8" s="165">
        <f t="shared" ref="N8:R18" si="12">SUM(N22,N36)</f>
        <v>387.14524414002727</v>
      </c>
      <c r="O8" s="165">
        <f t="shared" si="12"/>
        <v>380.90213785645847</v>
      </c>
      <c r="P8" s="165">
        <f t="shared" si="12"/>
        <v>361.11616480378109</v>
      </c>
      <c r="Q8" s="165">
        <f t="shared" si="12"/>
        <v>361.08280701388242</v>
      </c>
      <c r="R8" s="165">
        <f t="shared" si="12"/>
        <v>388.64554407430614</v>
      </c>
      <c r="S8" s="164"/>
      <c r="T8" s="165">
        <f t="shared" ref="T8:X18" si="13">SUM(T22,T36)</f>
        <v>0</v>
      </c>
      <c r="U8" s="165">
        <f t="shared" si="13"/>
        <v>0</v>
      </c>
      <c r="V8" s="165">
        <f t="shared" si="13"/>
        <v>0</v>
      </c>
      <c r="W8" s="165">
        <f t="shared" si="13"/>
        <v>0</v>
      </c>
      <c r="X8" s="165">
        <f t="shared" si="13"/>
        <v>0</v>
      </c>
      <c r="Y8" s="72" t="str">
        <f t="shared" ref="Y8:Y20" si="14">A8</f>
        <v>15-19</v>
      </c>
      <c r="Z8" s="165">
        <f t="shared" ref="Z8:AD18" si="15">SUM(Z22,Z36)</f>
        <v>150.08101199827104</v>
      </c>
      <c r="AA8" s="165">
        <f t="shared" si="15"/>
        <v>155.93795619324226</v>
      </c>
      <c r="AB8" s="165">
        <f t="shared" si="15"/>
        <v>164.99720704459003</v>
      </c>
      <c r="AC8" s="165">
        <f t="shared" si="15"/>
        <v>178.36278144057661</v>
      </c>
      <c r="AD8" s="165">
        <f t="shared" si="15"/>
        <v>207.50995998860915</v>
      </c>
      <c r="AE8" s="164"/>
      <c r="AF8" s="165">
        <f t="shared" ref="AF8:AJ18" si="16">SUM(AF22,AF36)</f>
        <v>147.86996763731275</v>
      </c>
      <c r="AG8" s="165">
        <f t="shared" si="16"/>
        <v>153.62639813852158</v>
      </c>
      <c r="AH8" s="165">
        <f t="shared" si="16"/>
        <v>162.54197557268748</v>
      </c>
      <c r="AI8" s="165">
        <f t="shared" si="16"/>
        <v>175.70743183187028</v>
      </c>
      <c r="AJ8" s="165">
        <f t="shared" si="16"/>
        <v>204.41892397369543</v>
      </c>
      <c r="AK8" s="164"/>
      <c r="AL8" s="165">
        <f t="shared" ref="AL8:AP18" si="17">SUM(AL22,AL36)</f>
        <v>2.2110443609582711</v>
      </c>
      <c r="AM8" s="165">
        <f t="shared" si="17"/>
        <v>2.3115580547206553</v>
      </c>
      <c r="AN8" s="165">
        <f t="shared" si="17"/>
        <v>2.4552314719025436</v>
      </c>
      <c r="AO8" s="165">
        <f t="shared" si="17"/>
        <v>2.6553496087063317</v>
      </c>
      <c r="AP8" s="165">
        <f t="shared" si="17"/>
        <v>3.0910360149137395</v>
      </c>
      <c r="AQ8" s="72" t="str">
        <f t="shared" ref="AQ8:AQ18" si="18">A8</f>
        <v>15-19</v>
      </c>
      <c r="AR8" s="165">
        <f t="shared" ref="AR8:AV18" si="19">SUM(AR22,AR36)</f>
        <v>0.60290753610971359</v>
      </c>
      <c r="AS8" s="165">
        <f t="shared" si="19"/>
        <v>1.3250807622546965</v>
      </c>
      <c r="AT8" s="165">
        <f t="shared" si="19"/>
        <v>1.9219507773505975</v>
      </c>
      <c r="AU8" s="165">
        <f t="shared" si="19"/>
        <v>1.9655355025605465</v>
      </c>
      <c r="AV8" s="165">
        <f t="shared" si="19"/>
        <v>2.1654962203224546</v>
      </c>
      <c r="AW8" s="164"/>
      <c r="AX8" s="165">
        <f t="shared" ref="AX8:BB18" si="20">SUM(AX22,AX36)</f>
        <v>0.54737466781637356</v>
      </c>
      <c r="AY8" s="165">
        <f t="shared" si="20"/>
        <v>1.2407671949430608</v>
      </c>
      <c r="AZ8" s="165">
        <f t="shared" si="20"/>
        <v>1.8657913659809988</v>
      </c>
      <c r="BA8" s="165">
        <f t="shared" si="20"/>
        <v>1.9082644770900146</v>
      </c>
      <c r="BB8" s="165">
        <f t="shared" si="20"/>
        <v>2.1026008851094398</v>
      </c>
      <c r="BC8" s="164"/>
      <c r="BD8" s="165">
        <f t="shared" ref="BD8:BH18" si="21">SUM(BD22,BD36)</f>
        <v>5.5532868293339949E-2</v>
      </c>
      <c r="BE8" s="165">
        <f t="shared" si="21"/>
        <v>8.4313567311635793E-2</v>
      </c>
      <c r="BF8" s="165">
        <f t="shared" si="21"/>
        <v>5.6159411369598657E-2</v>
      </c>
      <c r="BG8" s="165">
        <f t="shared" si="21"/>
        <v>5.7271025470531763E-2</v>
      </c>
      <c r="BH8" s="165">
        <f t="shared" si="21"/>
        <v>6.2895335213014894E-2</v>
      </c>
    </row>
    <row r="9" spans="1:60">
      <c r="A9" s="72" t="s">
        <v>251</v>
      </c>
      <c r="B9" s="165">
        <f t="shared" si="10"/>
        <v>113.85056817629103</v>
      </c>
      <c r="C9" s="165">
        <f t="shared" si="10"/>
        <v>115.65112792404403</v>
      </c>
      <c r="D9" s="165">
        <f t="shared" si="10"/>
        <v>108.64656736044506</v>
      </c>
      <c r="E9" s="165">
        <f t="shared" si="10"/>
        <v>95.846387380896019</v>
      </c>
      <c r="F9" s="165">
        <f t="shared" si="10"/>
        <v>87.521667739268693</v>
      </c>
      <c r="G9" s="164"/>
      <c r="H9" s="165">
        <f t="shared" si="11"/>
        <v>36.71242366227203</v>
      </c>
      <c r="I9" s="165">
        <f t="shared" si="11"/>
        <v>37.140869961294854</v>
      </c>
      <c r="J9" s="165">
        <f t="shared" si="11"/>
        <v>34.405280511674597</v>
      </c>
      <c r="K9" s="165">
        <f t="shared" si="11"/>
        <v>30.323294922669287</v>
      </c>
      <c r="L9" s="165">
        <f t="shared" si="11"/>
        <v>27.681805786841899</v>
      </c>
      <c r="M9" s="164"/>
      <c r="N9" s="165">
        <f t="shared" si="12"/>
        <v>77.13814451401899</v>
      </c>
      <c r="O9" s="165">
        <f t="shared" si="12"/>
        <v>78.510257962749179</v>
      </c>
      <c r="P9" s="165">
        <f t="shared" si="12"/>
        <v>74.241286848770471</v>
      </c>
      <c r="Q9" s="165">
        <f t="shared" si="12"/>
        <v>65.523092458226728</v>
      </c>
      <c r="R9" s="165">
        <f t="shared" si="12"/>
        <v>59.839861952426787</v>
      </c>
      <c r="S9" s="164"/>
      <c r="T9" s="165">
        <f t="shared" si="13"/>
        <v>0</v>
      </c>
      <c r="U9" s="165">
        <f t="shared" si="13"/>
        <v>0</v>
      </c>
      <c r="V9" s="165">
        <f t="shared" si="13"/>
        <v>0</v>
      </c>
      <c r="W9" s="165">
        <f t="shared" si="13"/>
        <v>0</v>
      </c>
      <c r="X9" s="165">
        <f t="shared" si="13"/>
        <v>0</v>
      </c>
      <c r="Y9" s="72" t="str">
        <f t="shared" si="14"/>
        <v>20-24</v>
      </c>
      <c r="Z9" s="165">
        <f t="shared" si="15"/>
        <v>382.98069564153434</v>
      </c>
      <c r="AA9" s="165">
        <f t="shared" si="15"/>
        <v>394.35590193118628</v>
      </c>
      <c r="AB9" s="165">
        <f t="shared" si="15"/>
        <v>412.87076891444883</v>
      </c>
      <c r="AC9" s="165">
        <f t="shared" si="15"/>
        <v>399.37934349064994</v>
      </c>
      <c r="AD9" s="165">
        <f t="shared" si="15"/>
        <v>400.88677473503026</v>
      </c>
      <c r="AE9" s="164"/>
      <c r="AF9" s="165">
        <f t="shared" si="16"/>
        <v>363.98477719851724</v>
      </c>
      <c r="AG9" s="165">
        <f t="shared" si="16"/>
        <v>374.77312480698299</v>
      </c>
      <c r="AH9" s="165">
        <f t="shared" si="16"/>
        <v>392.37404871527087</v>
      </c>
      <c r="AI9" s="165">
        <f t="shared" si="16"/>
        <v>379.57670333802525</v>
      </c>
      <c r="AJ9" s="165">
        <f t="shared" si="16"/>
        <v>381.02605803364366</v>
      </c>
      <c r="AK9" s="164"/>
      <c r="AL9" s="165">
        <f t="shared" si="17"/>
        <v>18.995918443017182</v>
      </c>
      <c r="AM9" s="165">
        <f t="shared" si="17"/>
        <v>19.582777124203318</v>
      </c>
      <c r="AN9" s="165">
        <f t="shared" si="17"/>
        <v>20.49672019917795</v>
      </c>
      <c r="AO9" s="165">
        <f t="shared" si="17"/>
        <v>19.802640152624711</v>
      </c>
      <c r="AP9" s="165">
        <f t="shared" si="17"/>
        <v>19.860716701386607</v>
      </c>
      <c r="AQ9" s="72" t="str">
        <f t="shared" si="18"/>
        <v>20-24</v>
      </c>
      <c r="AR9" s="165">
        <f t="shared" si="19"/>
        <v>143.68473618217462</v>
      </c>
      <c r="AS9" s="165">
        <f t="shared" si="19"/>
        <v>150.71097014476959</v>
      </c>
      <c r="AT9" s="165">
        <f t="shared" si="19"/>
        <v>186.98366372510611</v>
      </c>
      <c r="AU9" s="165">
        <f t="shared" si="19"/>
        <v>201.56226912845403</v>
      </c>
      <c r="AV9" s="165">
        <f t="shared" si="19"/>
        <v>224.84155752570109</v>
      </c>
      <c r="AW9" s="164"/>
      <c r="AX9" s="165">
        <f t="shared" si="20"/>
        <v>143.33653114819879</v>
      </c>
      <c r="AY9" s="165">
        <f t="shared" si="20"/>
        <v>150.34362309651959</v>
      </c>
      <c r="AZ9" s="165">
        <f t="shared" si="20"/>
        <v>186.52415613000247</v>
      </c>
      <c r="BA9" s="165">
        <f t="shared" si="20"/>
        <v>201.06633972833936</v>
      </c>
      <c r="BB9" s="165">
        <f t="shared" si="20"/>
        <v>224.28837377749321</v>
      </c>
      <c r="BC9" s="164"/>
      <c r="BD9" s="165">
        <f t="shared" si="21"/>
        <v>0.34820503397584823</v>
      </c>
      <c r="BE9" s="165">
        <f t="shared" si="21"/>
        <v>0.36734704825001729</v>
      </c>
      <c r="BF9" s="165">
        <f t="shared" si="21"/>
        <v>0.4595075951036377</v>
      </c>
      <c r="BG9" s="165">
        <f t="shared" si="21"/>
        <v>0.49592940011468256</v>
      </c>
      <c r="BH9" s="165">
        <f t="shared" si="21"/>
        <v>0.55318374820788452</v>
      </c>
    </row>
    <row r="10" spans="1:60">
      <c r="A10" s="72" t="s">
        <v>252</v>
      </c>
      <c r="B10" s="165">
        <f t="shared" si="10"/>
        <v>115.37907358541085</v>
      </c>
      <c r="C10" s="165">
        <f t="shared" si="10"/>
        <v>127.07460532220105</v>
      </c>
      <c r="D10" s="165">
        <f t="shared" si="10"/>
        <v>118.40314244947737</v>
      </c>
      <c r="E10" s="165">
        <f t="shared" si="10"/>
        <v>117.74066640587412</v>
      </c>
      <c r="F10" s="165">
        <f t="shared" si="10"/>
        <v>104.64926095222505</v>
      </c>
      <c r="G10" s="164"/>
      <c r="H10" s="165">
        <f t="shared" si="11"/>
        <v>40.798223765839786</v>
      </c>
      <c r="I10" s="165">
        <f t="shared" si="11"/>
        <v>45.065990030629422</v>
      </c>
      <c r="J10" s="165">
        <f t="shared" si="11"/>
        <v>41.916443930124132</v>
      </c>
      <c r="K10" s="165">
        <f t="shared" si="11"/>
        <v>41.603247748686108</v>
      </c>
      <c r="L10" s="165">
        <f t="shared" si="11"/>
        <v>36.975172705743539</v>
      </c>
      <c r="M10" s="164"/>
      <c r="N10" s="165">
        <f t="shared" si="12"/>
        <v>74.580849819571057</v>
      </c>
      <c r="O10" s="165">
        <f t="shared" si="12"/>
        <v>82.008615291571644</v>
      </c>
      <c r="P10" s="165">
        <f t="shared" si="12"/>
        <v>76.48669851935324</v>
      </c>
      <c r="Q10" s="165">
        <f t="shared" si="12"/>
        <v>76.137418657188022</v>
      </c>
      <c r="R10" s="165">
        <f t="shared" si="12"/>
        <v>67.674088246481503</v>
      </c>
      <c r="S10" s="164"/>
      <c r="T10" s="165">
        <f t="shared" si="13"/>
        <v>0</v>
      </c>
      <c r="U10" s="165">
        <f t="shared" si="13"/>
        <v>0</v>
      </c>
      <c r="V10" s="165">
        <f t="shared" si="13"/>
        <v>0</v>
      </c>
      <c r="W10" s="165">
        <f t="shared" si="13"/>
        <v>0</v>
      </c>
      <c r="X10" s="165">
        <f t="shared" si="13"/>
        <v>0</v>
      </c>
      <c r="Y10" s="72" t="str">
        <f t="shared" si="14"/>
        <v>25-29</v>
      </c>
      <c r="Z10" s="165">
        <f t="shared" si="15"/>
        <v>285.32401508902581</v>
      </c>
      <c r="AA10" s="165">
        <f t="shared" si="15"/>
        <v>266.19879984541552</v>
      </c>
      <c r="AB10" s="165">
        <f t="shared" si="15"/>
        <v>280.11568976670378</v>
      </c>
      <c r="AC10" s="165">
        <f t="shared" si="15"/>
        <v>295.3482302777582</v>
      </c>
      <c r="AD10" s="165">
        <f t="shared" si="15"/>
        <v>289.74487116781143</v>
      </c>
      <c r="AE10" s="164"/>
      <c r="AF10" s="165">
        <f t="shared" si="16"/>
        <v>264.71283723333693</v>
      </c>
      <c r="AG10" s="165">
        <f t="shared" si="16"/>
        <v>246.96600220301298</v>
      </c>
      <c r="AH10" s="165">
        <f t="shared" si="16"/>
        <v>260.0379790136522</v>
      </c>
      <c r="AI10" s="165">
        <f t="shared" si="16"/>
        <v>274.30243506375962</v>
      </c>
      <c r="AJ10" s="165">
        <f t="shared" si="16"/>
        <v>269.19630907068336</v>
      </c>
      <c r="AK10" s="164"/>
      <c r="AL10" s="165">
        <f t="shared" si="17"/>
        <v>20.611177855688922</v>
      </c>
      <c r="AM10" s="165">
        <f t="shared" si="17"/>
        <v>19.232797642402538</v>
      </c>
      <c r="AN10" s="165">
        <f t="shared" si="17"/>
        <v>20.077710753051615</v>
      </c>
      <c r="AO10" s="165">
        <f t="shared" si="17"/>
        <v>21.04579521399852</v>
      </c>
      <c r="AP10" s="165">
        <f t="shared" si="17"/>
        <v>20.548562097128041</v>
      </c>
      <c r="AQ10" s="72" t="str">
        <f t="shared" si="18"/>
        <v>25-29</v>
      </c>
      <c r="AR10" s="165">
        <f t="shared" si="19"/>
        <v>285.48891132556332</v>
      </c>
      <c r="AS10" s="165">
        <f t="shared" si="19"/>
        <v>298.43559483238334</v>
      </c>
      <c r="AT10" s="165">
        <f t="shared" si="19"/>
        <v>329.80716778381884</v>
      </c>
      <c r="AU10" s="165">
        <f t="shared" si="19"/>
        <v>365.58310331636773</v>
      </c>
      <c r="AV10" s="165">
        <f t="shared" si="19"/>
        <v>376.96286787996354</v>
      </c>
      <c r="AW10" s="164"/>
      <c r="AX10" s="165">
        <f t="shared" si="20"/>
        <v>282.70510559860855</v>
      </c>
      <c r="AY10" s="165">
        <f t="shared" si="20"/>
        <v>295.51880182634955</v>
      </c>
      <c r="AZ10" s="165">
        <f t="shared" si="20"/>
        <v>326.59395287550331</v>
      </c>
      <c r="BA10" s="165">
        <f t="shared" si="20"/>
        <v>362.02223728946319</v>
      </c>
      <c r="BB10" s="165">
        <f t="shared" si="20"/>
        <v>373.29368404794025</v>
      </c>
      <c r="BC10" s="164"/>
      <c r="BD10" s="165">
        <f t="shared" si="21"/>
        <v>2.7838057269548049</v>
      </c>
      <c r="BE10" s="165">
        <f t="shared" si="21"/>
        <v>2.916793006033831</v>
      </c>
      <c r="BF10" s="165">
        <f t="shared" si="21"/>
        <v>3.2132149083155843</v>
      </c>
      <c r="BG10" s="165">
        <f t="shared" si="21"/>
        <v>3.5608660269045256</v>
      </c>
      <c r="BH10" s="165">
        <f t="shared" si="21"/>
        <v>3.669183832023271</v>
      </c>
    </row>
    <row r="11" spans="1:60">
      <c r="A11" s="72" t="s">
        <v>253</v>
      </c>
      <c r="B11" s="165">
        <f t="shared" si="10"/>
        <v>116.6348130799831</v>
      </c>
      <c r="C11" s="165">
        <f t="shared" si="10"/>
        <v>121.76030756867036</v>
      </c>
      <c r="D11" s="165">
        <f t="shared" si="10"/>
        <v>118.18823108583572</v>
      </c>
      <c r="E11" s="165">
        <f t="shared" si="10"/>
        <v>109.913241263863</v>
      </c>
      <c r="F11" s="165">
        <f t="shared" si="10"/>
        <v>93.676057480419587</v>
      </c>
      <c r="G11" s="164"/>
      <c r="H11" s="165">
        <f t="shared" si="11"/>
        <v>44.791528463722429</v>
      </c>
      <c r="I11" s="165">
        <f t="shared" si="11"/>
        <v>47.017124581566897</v>
      </c>
      <c r="J11" s="165">
        <f t="shared" si="11"/>
        <v>45.575297988406476</v>
      </c>
      <c r="K11" s="165">
        <f t="shared" si="11"/>
        <v>42.364426936905772</v>
      </c>
      <c r="L11" s="165">
        <f t="shared" si="11"/>
        <v>36.057194740501721</v>
      </c>
      <c r="M11" s="164"/>
      <c r="N11" s="165">
        <f t="shared" si="12"/>
        <v>71.843284616260675</v>
      </c>
      <c r="O11" s="165">
        <f t="shared" si="12"/>
        <v>74.743182987103467</v>
      </c>
      <c r="P11" s="165">
        <f t="shared" si="12"/>
        <v>72.612933097429249</v>
      </c>
      <c r="Q11" s="165">
        <f t="shared" si="12"/>
        <v>67.548814326957228</v>
      </c>
      <c r="R11" s="165">
        <f t="shared" si="12"/>
        <v>57.618862739917844</v>
      </c>
      <c r="S11" s="164"/>
      <c r="T11" s="165">
        <f t="shared" si="13"/>
        <v>0</v>
      </c>
      <c r="U11" s="165">
        <f t="shared" si="13"/>
        <v>0</v>
      </c>
      <c r="V11" s="165">
        <f t="shared" si="13"/>
        <v>0</v>
      </c>
      <c r="W11" s="165">
        <f t="shared" si="13"/>
        <v>0</v>
      </c>
      <c r="X11" s="165">
        <f t="shared" si="13"/>
        <v>0</v>
      </c>
      <c r="Y11" s="72" t="str">
        <f t="shared" si="14"/>
        <v>30-34</v>
      </c>
      <c r="Z11" s="165">
        <f t="shared" si="15"/>
        <v>275.1983307590632</v>
      </c>
      <c r="AA11" s="165">
        <f t="shared" si="15"/>
        <v>266.0829768237935</v>
      </c>
      <c r="AB11" s="165">
        <f t="shared" si="15"/>
        <v>285.51361958464611</v>
      </c>
      <c r="AC11" s="165">
        <f t="shared" si="15"/>
        <v>296.32015564557162</v>
      </c>
      <c r="AD11" s="165">
        <f t="shared" si="15"/>
        <v>317.88848271212305</v>
      </c>
      <c r="AE11" s="164"/>
      <c r="AF11" s="165">
        <f t="shared" si="16"/>
        <v>255.48717394280527</v>
      </c>
      <c r="AG11" s="165">
        <f t="shared" si="16"/>
        <v>247.06950912979124</v>
      </c>
      <c r="AH11" s="165">
        <f t="shared" si="16"/>
        <v>265.15360262399543</v>
      </c>
      <c r="AI11" s="165">
        <f t="shared" si="16"/>
        <v>275.24980054915358</v>
      </c>
      <c r="AJ11" s="165">
        <f t="shared" si="16"/>
        <v>295.36996417982152</v>
      </c>
      <c r="AK11" s="164"/>
      <c r="AL11" s="165">
        <f t="shared" si="17"/>
        <v>19.711156816257962</v>
      </c>
      <c r="AM11" s="165">
        <f t="shared" si="17"/>
        <v>19.01346769400228</v>
      </c>
      <c r="AN11" s="165">
        <f t="shared" si="17"/>
        <v>20.360016960650725</v>
      </c>
      <c r="AO11" s="165">
        <f t="shared" si="17"/>
        <v>21.070355096418023</v>
      </c>
      <c r="AP11" s="165">
        <f t="shared" si="17"/>
        <v>22.518518532301513</v>
      </c>
      <c r="AQ11" s="72" t="str">
        <f t="shared" si="18"/>
        <v>30-34</v>
      </c>
      <c r="AR11" s="165">
        <f t="shared" si="19"/>
        <v>294.76785616095367</v>
      </c>
      <c r="AS11" s="165">
        <f t="shared" si="19"/>
        <v>310.21271560753621</v>
      </c>
      <c r="AT11" s="165">
        <f t="shared" si="19"/>
        <v>340.70814932951816</v>
      </c>
      <c r="AU11" s="165">
        <f t="shared" si="19"/>
        <v>369.83560309056543</v>
      </c>
      <c r="AV11" s="165">
        <f t="shared" si="19"/>
        <v>418.22345980745735</v>
      </c>
      <c r="AW11" s="164"/>
      <c r="AX11" s="165">
        <f t="shared" si="20"/>
        <v>289.63080788660079</v>
      </c>
      <c r="AY11" s="165">
        <f t="shared" si="20"/>
        <v>304.79570037586518</v>
      </c>
      <c r="AZ11" s="165">
        <f t="shared" si="20"/>
        <v>334.81192752241731</v>
      </c>
      <c r="BA11" s="165">
        <f t="shared" si="20"/>
        <v>363.47263912244296</v>
      </c>
      <c r="BB11" s="165">
        <f t="shared" si="20"/>
        <v>411.01000020534735</v>
      </c>
      <c r="BC11" s="164"/>
      <c r="BD11" s="165">
        <f t="shared" si="21"/>
        <v>5.1370482743529013</v>
      </c>
      <c r="BE11" s="165">
        <f t="shared" si="21"/>
        <v>5.4170152316709643</v>
      </c>
      <c r="BF11" s="165">
        <f t="shared" si="21"/>
        <v>5.8962218071008108</v>
      </c>
      <c r="BG11" s="165">
        <f t="shared" si="21"/>
        <v>6.3629639681224219</v>
      </c>
      <c r="BH11" s="165">
        <f t="shared" si="21"/>
        <v>7.213459602110035</v>
      </c>
    </row>
    <row r="12" spans="1:60">
      <c r="A12" s="72" t="s">
        <v>254</v>
      </c>
      <c r="B12" s="165">
        <f t="shared" si="10"/>
        <v>154.11214519557188</v>
      </c>
      <c r="C12" s="165">
        <f t="shared" si="10"/>
        <v>148.15717385227549</v>
      </c>
      <c r="D12" s="165">
        <f t="shared" si="10"/>
        <v>124.1637405731941</v>
      </c>
      <c r="E12" s="165">
        <f t="shared" si="10"/>
        <v>103.00106387667563</v>
      </c>
      <c r="F12" s="165">
        <f t="shared" si="10"/>
        <v>79.667767346824377</v>
      </c>
      <c r="G12" s="164"/>
      <c r="H12" s="165">
        <f t="shared" si="11"/>
        <v>56.003261702459064</v>
      </c>
      <c r="I12" s="165">
        <f t="shared" si="11"/>
        <v>53.61808406304786</v>
      </c>
      <c r="J12" s="165">
        <f t="shared" si="11"/>
        <v>44.946036484441635</v>
      </c>
      <c r="K12" s="165">
        <f t="shared" si="11"/>
        <v>37.289691972205802</v>
      </c>
      <c r="L12" s="165">
        <f t="shared" si="11"/>
        <v>28.798762169451095</v>
      </c>
      <c r="M12" s="164"/>
      <c r="N12" s="165">
        <f t="shared" si="12"/>
        <v>98.108883493112813</v>
      </c>
      <c r="O12" s="165">
        <f t="shared" si="12"/>
        <v>94.539089789227646</v>
      </c>
      <c r="P12" s="165">
        <f t="shared" si="12"/>
        <v>79.21770408875247</v>
      </c>
      <c r="Q12" s="165">
        <f t="shared" si="12"/>
        <v>65.711371904469829</v>
      </c>
      <c r="R12" s="165">
        <f t="shared" si="12"/>
        <v>50.869005177373282</v>
      </c>
      <c r="S12" s="164"/>
      <c r="T12" s="165">
        <f t="shared" si="13"/>
        <v>0</v>
      </c>
      <c r="U12" s="165">
        <f t="shared" si="13"/>
        <v>0</v>
      </c>
      <c r="V12" s="165">
        <f t="shared" si="13"/>
        <v>0</v>
      </c>
      <c r="W12" s="165">
        <f t="shared" si="13"/>
        <v>0</v>
      </c>
      <c r="X12" s="165">
        <f t="shared" si="13"/>
        <v>0</v>
      </c>
      <c r="Y12" s="72" t="str">
        <f t="shared" si="14"/>
        <v>35-39</v>
      </c>
      <c r="Z12" s="165">
        <f t="shared" si="15"/>
        <v>322.88579844316473</v>
      </c>
      <c r="AA12" s="165">
        <f t="shared" si="15"/>
        <v>287.4998240668773</v>
      </c>
      <c r="AB12" s="165">
        <f t="shared" si="15"/>
        <v>280.92839455401918</v>
      </c>
      <c r="AC12" s="165">
        <f t="shared" si="15"/>
        <v>299.54044624192568</v>
      </c>
      <c r="AD12" s="165">
        <f t="shared" si="15"/>
        <v>317.07239175090058</v>
      </c>
      <c r="AE12" s="164"/>
      <c r="AF12" s="165">
        <f t="shared" si="16"/>
        <v>303.37132132153579</v>
      </c>
      <c r="AG12" s="165">
        <f t="shared" si="16"/>
        <v>270.10893635844064</v>
      </c>
      <c r="AH12" s="165">
        <f t="shared" si="16"/>
        <v>263.99085237827694</v>
      </c>
      <c r="AI12" s="165">
        <f t="shared" si="16"/>
        <v>281.50570542953108</v>
      </c>
      <c r="AJ12" s="165">
        <f t="shared" si="16"/>
        <v>298.00980149252553</v>
      </c>
      <c r="AK12" s="164"/>
      <c r="AL12" s="165">
        <f t="shared" si="17"/>
        <v>19.514477121629021</v>
      </c>
      <c r="AM12" s="165">
        <f t="shared" si="17"/>
        <v>17.390887708436701</v>
      </c>
      <c r="AN12" s="165">
        <f t="shared" si="17"/>
        <v>16.937542175742227</v>
      </c>
      <c r="AO12" s="165">
        <f t="shared" si="17"/>
        <v>18.034740812394613</v>
      </c>
      <c r="AP12" s="165">
        <f t="shared" si="17"/>
        <v>19.062590258375032</v>
      </c>
      <c r="AQ12" s="72" t="str">
        <f t="shared" si="18"/>
        <v>35-39</v>
      </c>
      <c r="AR12" s="165">
        <f t="shared" si="19"/>
        <v>284.91205636126335</v>
      </c>
      <c r="AS12" s="165">
        <f t="shared" si="19"/>
        <v>312.0690020808471</v>
      </c>
      <c r="AT12" s="165">
        <f t="shared" si="19"/>
        <v>329.21186487278669</v>
      </c>
      <c r="AU12" s="165">
        <f t="shared" si="19"/>
        <v>370.51748988139866</v>
      </c>
      <c r="AV12" s="165">
        <f t="shared" si="19"/>
        <v>410.36684090227504</v>
      </c>
      <c r="AW12" s="164"/>
      <c r="AX12" s="165">
        <f t="shared" si="20"/>
        <v>279.90489605154085</v>
      </c>
      <c r="AY12" s="165">
        <f t="shared" si="20"/>
        <v>306.58743388534367</v>
      </c>
      <c r="AZ12" s="165">
        <f t="shared" si="20"/>
        <v>323.49821814056338</v>
      </c>
      <c r="BA12" s="165">
        <f t="shared" si="20"/>
        <v>364.11650308755236</v>
      </c>
      <c r="BB12" s="165">
        <f t="shared" si="20"/>
        <v>403.29145582426617</v>
      </c>
      <c r="BC12" s="164"/>
      <c r="BD12" s="165">
        <f t="shared" si="21"/>
        <v>5.0071603097225514</v>
      </c>
      <c r="BE12" s="165">
        <f t="shared" si="21"/>
        <v>5.4815681955034474</v>
      </c>
      <c r="BF12" s="165">
        <f t="shared" si="21"/>
        <v>5.7136467322232507</v>
      </c>
      <c r="BG12" s="165">
        <f t="shared" si="21"/>
        <v>6.4009867938463287</v>
      </c>
      <c r="BH12" s="165">
        <f t="shared" si="21"/>
        <v>7.0753850780088525</v>
      </c>
    </row>
    <row r="13" spans="1:60">
      <c r="A13" s="72" t="s">
        <v>255</v>
      </c>
      <c r="B13" s="165">
        <f t="shared" si="10"/>
        <v>204.95472906429887</v>
      </c>
      <c r="C13" s="165">
        <f t="shared" si="10"/>
        <v>183.2736739920656</v>
      </c>
      <c r="D13" s="165">
        <f t="shared" si="10"/>
        <v>145.6109353666948</v>
      </c>
      <c r="E13" s="165">
        <f t="shared" si="10"/>
        <v>103.89159180775462</v>
      </c>
      <c r="F13" s="165">
        <f t="shared" si="10"/>
        <v>77.263056657170154</v>
      </c>
      <c r="G13" s="164"/>
      <c r="H13" s="165">
        <f t="shared" si="11"/>
        <v>75.043968155480954</v>
      </c>
      <c r="I13" s="165">
        <f t="shared" si="11"/>
        <v>66.962528106248641</v>
      </c>
      <c r="J13" s="165">
        <f t="shared" si="11"/>
        <v>53.205635957380473</v>
      </c>
      <c r="K13" s="165">
        <f t="shared" si="11"/>
        <v>37.898539746132187</v>
      </c>
      <c r="L13" s="165">
        <f t="shared" si="11"/>
        <v>28.104284599359445</v>
      </c>
      <c r="M13" s="164"/>
      <c r="N13" s="165">
        <f t="shared" si="12"/>
        <v>129.91076090881791</v>
      </c>
      <c r="O13" s="165">
        <f t="shared" si="12"/>
        <v>116.31114588581696</v>
      </c>
      <c r="P13" s="165">
        <f t="shared" si="12"/>
        <v>92.405299409314324</v>
      </c>
      <c r="Q13" s="165">
        <f t="shared" si="12"/>
        <v>65.993052061622421</v>
      </c>
      <c r="R13" s="165">
        <f t="shared" si="12"/>
        <v>49.158772057810708</v>
      </c>
      <c r="S13" s="164"/>
      <c r="T13" s="165">
        <f t="shared" si="13"/>
        <v>0</v>
      </c>
      <c r="U13" s="165">
        <f t="shared" si="13"/>
        <v>0</v>
      </c>
      <c r="V13" s="165">
        <f t="shared" si="13"/>
        <v>0</v>
      </c>
      <c r="W13" s="165">
        <f t="shared" si="13"/>
        <v>0</v>
      </c>
      <c r="X13" s="165">
        <f t="shared" si="13"/>
        <v>0</v>
      </c>
      <c r="Y13" s="72" t="str">
        <f t="shared" si="14"/>
        <v>40-44</v>
      </c>
      <c r="Z13" s="165">
        <f t="shared" si="15"/>
        <v>335.88123323100854</v>
      </c>
      <c r="AA13" s="165">
        <f t="shared" si="15"/>
        <v>312.92776503427081</v>
      </c>
      <c r="AB13" s="165">
        <f t="shared" si="15"/>
        <v>302.35363356602068</v>
      </c>
      <c r="AC13" s="165">
        <f t="shared" si="15"/>
        <v>306.64075194256282</v>
      </c>
      <c r="AD13" s="165">
        <f t="shared" si="15"/>
        <v>332.62704072525781</v>
      </c>
      <c r="AE13" s="164"/>
      <c r="AF13" s="165">
        <f t="shared" si="16"/>
        <v>318.57769939988361</v>
      </c>
      <c r="AG13" s="165">
        <f t="shared" si="16"/>
        <v>296.81769048378715</v>
      </c>
      <c r="AH13" s="165">
        <f t="shared" si="16"/>
        <v>286.81359197562756</v>
      </c>
      <c r="AI13" s="165">
        <f t="shared" si="16"/>
        <v>290.88951267461152</v>
      </c>
      <c r="AJ13" s="165">
        <f t="shared" si="16"/>
        <v>315.54744066806541</v>
      </c>
      <c r="AK13" s="164"/>
      <c r="AL13" s="165">
        <f t="shared" si="17"/>
        <v>17.303533831124952</v>
      </c>
      <c r="AM13" s="165">
        <f t="shared" si="17"/>
        <v>16.110074550483667</v>
      </c>
      <c r="AN13" s="165">
        <f t="shared" si="17"/>
        <v>15.540041590393106</v>
      </c>
      <c r="AO13" s="165">
        <f t="shared" si="17"/>
        <v>15.751239267951231</v>
      </c>
      <c r="AP13" s="165">
        <f t="shared" si="17"/>
        <v>17.079600057192419</v>
      </c>
      <c r="AQ13" s="72" t="str">
        <f t="shared" si="18"/>
        <v>40-44</v>
      </c>
      <c r="AR13" s="165">
        <f t="shared" si="19"/>
        <v>270.9300377046925</v>
      </c>
      <c r="AS13" s="165">
        <f t="shared" si="19"/>
        <v>293.55256097366362</v>
      </c>
      <c r="AT13" s="165">
        <f t="shared" si="19"/>
        <v>322.20043106728446</v>
      </c>
      <c r="AU13" s="165">
        <f t="shared" si="19"/>
        <v>339.66265624968264</v>
      </c>
      <c r="AV13" s="165">
        <f t="shared" si="19"/>
        <v>380.66890261757209</v>
      </c>
      <c r="AW13" s="164"/>
      <c r="AX13" s="165">
        <f t="shared" si="20"/>
        <v>266.38705152405146</v>
      </c>
      <c r="AY13" s="165">
        <f t="shared" si="20"/>
        <v>288.66110365884219</v>
      </c>
      <c r="AZ13" s="165">
        <f t="shared" si="20"/>
        <v>316.84860387450232</v>
      </c>
      <c r="BA13" s="165">
        <f t="shared" si="20"/>
        <v>334.03930780465259</v>
      </c>
      <c r="BB13" s="165">
        <f t="shared" si="20"/>
        <v>374.38350092432177</v>
      </c>
      <c r="BC13" s="164"/>
      <c r="BD13" s="165">
        <f t="shared" si="21"/>
        <v>4.5429861806410692</v>
      </c>
      <c r="BE13" s="165">
        <f t="shared" si="21"/>
        <v>4.8914573148213645</v>
      </c>
      <c r="BF13" s="165">
        <f t="shared" si="21"/>
        <v>5.3518271927821548</v>
      </c>
      <c r="BG13" s="165">
        <f t="shared" si="21"/>
        <v>5.6233484450300253</v>
      </c>
      <c r="BH13" s="165">
        <f t="shared" si="21"/>
        <v>6.2854016932503862</v>
      </c>
    </row>
    <row r="14" spans="1:60">
      <c r="A14" s="72" t="s">
        <v>256</v>
      </c>
      <c r="B14" s="165">
        <f t="shared" si="10"/>
        <v>254.65884951398874</v>
      </c>
      <c r="C14" s="165">
        <f t="shared" si="10"/>
        <v>249.88437754828158</v>
      </c>
      <c r="D14" s="165">
        <f t="shared" si="10"/>
        <v>178.47858254526204</v>
      </c>
      <c r="E14" s="165">
        <f t="shared" si="10"/>
        <v>132.26113301280915</v>
      </c>
      <c r="F14" s="165">
        <f t="shared" si="10"/>
        <v>96.751846747388981</v>
      </c>
      <c r="G14" s="164"/>
      <c r="H14" s="165">
        <f t="shared" si="11"/>
        <v>97.081589333520498</v>
      </c>
      <c r="I14" s="165">
        <f t="shared" si="11"/>
        <v>95.255541277602333</v>
      </c>
      <c r="J14" s="165">
        <f t="shared" si="11"/>
        <v>67.471423380418784</v>
      </c>
      <c r="K14" s="165">
        <f t="shared" si="11"/>
        <v>49.673795228067675</v>
      </c>
      <c r="L14" s="165">
        <f t="shared" si="11"/>
        <v>36.08222161527133</v>
      </c>
      <c r="M14" s="164"/>
      <c r="N14" s="165">
        <f t="shared" si="12"/>
        <v>157.57726018046827</v>
      </c>
      <c r="O14" s="165">
        <f t="shared" si="12"/>
        <v>154.62883627067924</v>
      </c>
      <c r="P14" s="165">
        <f t="shared" si="12"/>
        <v>111.00715916484326</v>
      </c>
      <c r="Q14" s="165">
        <f t="shared" si="12"/>
        <v>82.587337784741479</v>
      </c>
      <c r="R14" s="165">
        <f t="shared" si="12"/>
        <v>60.669625132117659</v>
      </c>
      <c r="S14" s="164"/>
      <c r="T14" s="165">
        <f t="shared" si="13"/>
        <v>0</v>
      </c>
      <c r="U14" s="165">
        <f t="shared" si="13"/>
        <v>0</v>
      </c>
      <c r="V14" s="165">
        <f t="shared" si="13"/>
        <v>0</v>
      </c>
      <c r="W14" s="165">
        <f t="shared" si="13"/>
        <v>0</v>
      </c>
      <c r="X14" s="165">
        <f t="shared" si="13"/>
        <v>0</v>
      </c>
      <c r="Y14" s="72" t="str">
        <f t="shared" si="14"/>
        <v>45-49</v>
      </c>
      <c r="Z14" s="165">
        <f t="shared" si="15"/>
        <v>296.89078106183149</v>
      </c>
      <c r="AA14" s="165">
        <f t="shared" si="15"/>
        <v>297.81089783713531</v>
      </c>
      <c r="AB14" s="165">
        <f t="shared" si="15"/>
        <v>323.00238790557432</v>
      </c>
      <c r="AC14" s="165">
        <f t="shared" si="15"/>
        <v>331.21130960813161</v>
      </c>
      <c r="AD14" s="165">
        <f t="shared" si="15"/>
        <v>336.85601788588576</v>
      </c>
      <c r="AE14" s="164"/>
      <c r="AF14" s="165">
        <f t="shared" si="16"/>
        <v>283.27902750867406</v>
      </c>
      <c r="AG14" s="165">
        <f t="shared" si="16"/>
        <v>284.17878044572376</v>
      </c>
      <c r="AH14" s="165">
        <f t="shared" si="16"/>
        <v>308.23712222424672</v>
      </c>
      <c r="AI14" s="165">
        <f t="shared" si="16"/>
        <v>316.06982132262846</v>
      </c>
      <c r="AJ14" s="165">
        <f t="shared" si="16"/>
        <v>321.4595503021684</v>
      </c>
      <c r="AK14" s="164"/>
      <c r="AL14" s="165">
        <f t="shared" si="17"/>
        <v>13.611753553157442</v>
      </c>
      <c r="AM14" s="165">
        <f t="shared" si="17"/>
        <v>13.632117391411541</v>
      </c>
      <c r="AN14" s="165">
        <f t="shared" si="17"/>
        <v>14.765265681327598</v>
      </c>
      <c r="AO14" s="165">
        <f t="shared" si="17"/>
        <v>15.141488285503199</v>
      </c>
      <c r="AP14" s="165">
        <f t="shared" si="17"/>
        <v>15.39646758371746</v>
      </c>
      <c r="AQ14" s="72" t="str">
        <f t="shared" si="18"/>
        <v>45-49</v>
      </c>
      <c r="AR14" s="165">
        <f t="shared" si="19"/>
        <v>250.46536942417981</v>
      </c>
      <c r="AS14" s="165">
        <f t="shared" si="19"/>
        <v>272.37172461458317</v>
      </c>
      <c r="AT14" s="165">
        <f t="shared" si="19"/>
        <v>298.56302954916367</v>
      </c>
      <c r="AU14" s="165">
        <f t="shared" si="19"/>
        <v>312.99255737905924</v>
      </c>
      <c r="AV14" s="165">
        <f t="shared" si="19"/>
        <v>324.57513536672525</v>
      </c>
      <c r="AW14" s="164"/>
      <c r="AX14" s="165">
        <f t="shared" si="20"/>
        <v>245.6503099953992</v>
      </c>
      <c r="AY14" s="165">
        <f t="shared" si="20"/>
        <v>267.15960275583393</v>
      </c>
      <c r="AZ14" s="165">
        <f t="shared" si="20"/>
        <v>292.91536308672585</v>
      </c>
      <c r="BA14" s="165">
        <f t="shared" si="20"/>
        <v>307.10108024986414</v>
      </c>
      <c r="BB14" s="165">
        <f t="shared" si="20"/>
        <v>318.48324328013177</v>
      </c>
      <c r="BC14" s="164"/>
      <c r="BD14" s="165">
        <f t="shared" si="21"/>
        <v>4.815059428780601</v>
      </c>
      <c r="BE14" s="165">
        <f t="shared" si="21"/>
        <v>5.2121218587492244</v>
      </c>
      <c r="BF14" s="165">
        <f t="shared" si="21"/>
        <v>5.6476664624378259</v>
      </c>
      <c r="BG14" s="165">
        <f t="shared" si="21"/>
        <v>5.8914771291951418</v>
      </c>
      <c r="BH14" s="165">
        <f t="shared" si="21"/>
        <v>6.0918920865934654</v>
      </c>
    </row>
    <row r="15" spans="1:60">
      <c r="A15" s="72" t="s">
        <v>257</v>
      </c>
      <c r="B15" s="165">
        <f t="shared" si="10"/>
        <v>294.38575187935118</v>
      </c>
      <c r="C15" s="165">
        <f t="shared" si="10"/>
        <v>286.9982182545242</v>
      </c>
      <c r="D15" s="165">
        <f t="shared" si="10"/>
        <v>249.82582092451261</v>
      </c>
      <c r="E15" s="165">
        <f t="shared" si="10"/>
        <v>196.7617947968931</v>
      </c>
      <c r="F15" s="165">
        <f t="shared" si="10"/>
        <v>151.97754802573786</v>
      </c>
      <c r="G15" s="164"/>
      <c r="H15" s="165">
        <f t="shared" si="11"/>
        <v>131.00937650791479</v>
      </c>
      <c r="I15" s="165">
        <f t="shared" si="11"/>
        <v>127.36456196076394</v>
      </c>
      <c r="J15" s="165">
        <f t="shared" si="11"/>
        <v>110.61745625735594</v>
      </c>
      <c r="K15" s="165">
        <f t="shared" si="11"/>
        <v>86.72311902225573</v>
      </c>
      <c r="L15" s="165">
        <f t="shared" si="11"/>
        <v>66.672294242780168</v>
      </c>
      <c r="M15" s="164"/>
      <c r="N15" s="165">
        <f t="shared" si="12"/>
        <v>163.37637537143638</v>
      </c>
      <c r="O15" s="165">
        <f t="shared" si="12"/>
        <v>159.63365629376028</v>
      </c>
      <c r="P15" s="165">
        <f t="shared" si="12"/>
        <v>139.20836466715667</v>
      </c>
      <c r="Q15" s="165">
        <f t="shared" si="12"/>
        <v>110.03867577463737</v>
      </c>
      <c r="R15" s="165">
        <f t="shared" si="12"/>
        <v>85.305253782957692</v>
      </c>
      <c r="S15" s="164"/>
      <c r="T15" s="165">
        <f t="shared" si="13"/>
        <v>0</v>
      </c>
      <c r="U15" s="165">
        <f t="shared" si="13"/>
        <v>0</v>
      </c>
      <c r="V15" s="165">
        <f t="shared" si="13"/>
        <v>0</v>
      </c>
      <c r="W15" s="165">
        <f t="shared" si="13"/>
        <v>0</v>
      </c>
      <c r="X15" s="165">
        <f t="shared" si="13"/>
        <v>0</v>
      </c>
      <c r="Y15" s="72" t="str">
        <f t="shared" si="14"/>
        <v>50-54</v>
      </c>
      <c r="Z15" s="165">
        <f t="shared" si="15"/>
        <v>252.37047905418916</v>
      </c>
      <c r="AA15" s="165">
        <f t="shared" si="15"/>
        <v>261.89041594407234</v>
      </c>
      <c r="AB15" s="165">
        <f t="shared" si="15"/>
        <v>299.71030873183417</v>
      </c>
      <c r="AC15" s="165">
        <f t="shared" si="15"/>
        <v>315.46818569365763</v>
      </c>
      <c r="AD15" s="165">
        <f t="shared" si="15"/>
        <v>326.48805608055682</v>
      </c>
      <c r="AE15" s="164"/>
      <c r="AF15" s="165">
        <f t="shared" si="16"/>
        <v>240.43095817773155</v>
      </c>
      <c r="AG15" s="165">
        <f t="shared" si="16"/>
        <v>249.49009896266847</v>
      </c>
      <c r="AH15" s="165">
        <f t="shared" si="16"/>
        <v>285.51870262738919</v>
      </c>
      <c r="AI15" s="165">
        <f t="shared" si="16"/>
        <v>300.52266588791969</v>
      </c>
      <c r="AJ15" s="165">
        <f t="shared" si="16"/>
        <v>311.01138512295665</v>
      </c>
      <c r="AK15" s="164"/>
      <c r="AL15" s="165">
        <f t="shared" si="17"/>
        <v>11.939520876457582</v>
      </c>
      <c r="AM15" s="165">
        <f t="shared" si="17"/>
        <v>12.400316981403893</v>
      </c>
      <c r="AN15" s="165">
        <f t="shared" si="17"/>
        <v>14.191606104444997</v>
      </c>
      <c r="AO15" s="165">
        <f t="shared" si="17"/>
        <v>14.945519805737941</v>
      </c>
      <c r="AP15" s="165">
        <f t="shared" si="17"/>
        <v>15.476670957600156</v>
      </c>
      <c r="AQ15" s="72" t="str">
        <f t="shared" si="18"/>
        <v>50-54</v>
      </c>
      <c r="AR15" s="165">
        <f t="shared" si="19"/>
        <v>192.52176906645971</v>
      </c>
      <c r="AS15" s="165">
        <f t="shared" si="19"/>
        <v>218.63836580140344</v>
      </c>
      <c r="AT15" s="165">
        <f t="shared" si="19"/>
        <v>269.43387034365321</v>
      </c>
      <c r="AU15" s="165">
        <f t="shared" si="19"/>
        <v>285.28301950944933</v>
      </c>
      <c r="AV15" s="165">
        <f t="shared" si="19"/>
        <v>297.31139589370531</v>
      </c>
      <c r="AW15" s="164"/>
      <c r="AX15" s="165">
        <f t="shared" si="20"/>
        <v>188.73862621744155</v>
      </c>
      <c r="AY15" s="165">
        <f t="shared" si="20"/>
        <v>214.45420550224321</v>
      </c>
      <c r="AZ15" s="165">
        <f t="shared" si="20"/>
        <v>264.30480604656157</v>
      </c>
      <c r="BA15" s="165">
        <f t="shared" si="20"/>
        <v>279.90450448189154</v>
      </c>
      <c r="BB15" s="165">
        <f t="shared" si="20"/>
        <v>291.76093520892465</v>
      </c>
      <c r="BC15" s="164"/>
      <c r="BD15" s="165">
        <f t="shared" si="21"/>
        <v>3.7831428490181196</v>
      </c>
      <c r="BE15" s="165">
        <f t="shared" si="21"/>
        <v>4.1841602991602418</v>
      </c>
      <c r="BF15" s="165">
        <f t="shared" si="21"/>
        <v>5.1290642970916389</v>
      </c>
      <c r="BG15" s="165">
        <f t="shared" si="21"/>
        <v>5.3785150275577474</v>
      </c>
      <c r="BH15" s="165">
        <f t="shared" si="21"/>
        <v>5.5504606847806457</v>
      </c>
    </row>
    <row r="16" spans="1:60">
      <c r="A16" s="72" t="s">
        <v>258</v>
      </c>
      <c r="B16" s="165">
        <f t="shared" si="10"/>
        <v>306.08926780144049</v>
      </c>
      <c r="C16" s="165">
        <f t="shared" si="10"/>
        <v>294.14842701950209</v>
      </c>
      <c r="D16" s="165">
        <f t="shared" si="10"/>
        <v>278.7696849113002</v>
      </c>
      <c r="E16" s="165">
        <f t="shared" si="10"/>
        <v>248.77345263961809</v>
      </c>
      <c r="F16" s="165">
        <f t="shared" si="10"/>
        <v>193.72538705183911</v>
      </c>
      <c r="G16" s="164"/>
      <c r="H16" s="165">
        <f t="shared" si="11"/>
        <v>148.94385811824938</v>
      </c>
      <c r="I16" s="165">
        <f t="shared" si="11"/>
        <v>142.80048229460601</v>
      </c>
      <c r="J16" s="165">
        <f t="shared" si="11"/>
        <v>135.1816907077864</v>
      </c>
      <c r="K16" s="165">
        <f t="shared" si="11"/>
        <v>120.20919098393057</v>
      </c>
      <c r="L16" s="165">
        <f t="shared" si="11"/>
        <v>93.347075058771225</v>
      </c>
      <c r="M16" s="164"/>
      <c r="N16" s="165">
        <f t="shared" si="12"/>
        <v>157.14540968319108</v>
      </c>
      <c r="O16" s="165">
        <f t="shared" si="12"/>
        <v>151.34794472489608</v>
      </c>
      <c r="P16" s="165">
        <f t="shared" si="12"/>
        <v>143.5879942035138</v>
      </c>
      <c r="Q16" s="165">
        <f t="shared" si="12"/>
        <v>128.56426165568749</v>
      </c>
      <c r="R16" s="165">
        <f t="shared" si="12"/>
        <v>100.37831199306788</v>
      </c>
      <c r="S16" s="164"/>
      <c r="T16" s="165">
        <f t="shared" si="13"/>
        <v>0</v>
      </c>
      <c r="U16" s="165">
        <f t="shared" si="13"/>
        <v>0</v>
      </c>
      <c r="V16" s="165">
        <f t="shared" si="13"/>
        <v>0</v>
      </c>
      <c r="W16" s="165">
        <f t="shared" si="13"/>
        <v>0</v>
      </c>
      <c r="X16" s="165">
        <f t="shared" si="13"/>
        <v>0</v>
      </c>
      <c r="Y16" s="72" t="str">
        <f t="shared" si="14"/>
        <v>55-59</v>
      </c>
      <c r="Z16" s="165">
        <f t="shared" si="15"/>
        <v>212.90735173400915</v>
      </c>
      <c r="AA16" s="165">
        <f t="shared" si="15"/>
        <v>208.34374328055009</v>
      </c>
      <c r="AB16" s="165">
        <f t="shared" si="15"/>
        <v>259.24373379880308</v>
      </c>
      <c r="AC16" s="165">
        <f t="shared" si="15"/>
        <v>305.1432760109069</v>
      </c>
      <c r="AD16" s="165">
        <f t="shared" si="15"/>
        <v>322.49455355236876</v>
      </c>
      <c r="AE16" s="164"/>
      <c r="AF16" s="165">
        <f t="shared" si="16"/>
        <v>201.39475054266842</v>
      </c>
      <c r="AG16" s="165">
        <f t="shared" si="16"/>
        <v>197.03624221177998</v>
      </c>
      <c r="AH16" s="165">
        <f t="shared" si="16"/>
        <v>245.14463767909808</v>
      </c>
      <c r="AI16" s="165">
        <f t="shared" si="16"/>
        <v>288.53398269710931</v>
      </c>
      <c r="AJ16" s="165">
        <f t="shared" si="16"/>
        <v>304.93914690919075</v>
      </c>
      <c r="AK16" s="164"/>
      <c r="AL16" s="165">
        <f t="shared" si="17"/>
        <v>11.512601191340718</v>
      </c>
      <c r="AM16" s="165">
        <f t="shared" si="17"/>
        <v>11.30750106877008</v>
      </c>
      <c r="AN16" s="165">
        <f t="shared" si="17"/>
        <v>14.099096119705006</v>
      </c>
      <c r="AO16" s="165">
        <f t="shared" si="17"/>
        <v>16.609293313797622</v>
      </c>
      <c r="AP16" s="165">
        <f t="shared" si="17"/>
        <v>17.555406643178003</v>
      </c>
      <c r="AQ16" s="72" t="str">
        <f t="shared" si="18"/>
        <v>55-59</v>
      </c>
      <c r="AR16" s="165">
        <f t="shared" si="19"/>
        <v>157.97838046455036</v>
      </c>
      <c r="AS16" s="165">
        <f t="shared" si="19"/>
        <v>186.95882969994784</v>
      </c>
      <c r="AT16" s="165">
        <f t="shared" si="19"/>
        <v>217.65058128989665</v>
      </c>
      <c r="AU16" s="165">
        <f t="shared" si="19"/>
        <v>252.64427134947505</v>
      </c>
      <c r="AV16" s="165">
        <f t="shared" si="19"/>
        <v>271.26605939579213</v>
      </c>
      <c r="AW16" s="164"/>
      <c r="AX16" s="165">
        <f t="shared" si="20"/>
        <v>154.50769225162065</v>
      </c>
      <c r="AY16" s="165">
        <f t="shared" si="20"/>
        <v>182.97075166245719</v>
      </c>
      <c r="AZ16" s="165">
        <f t="shared" si="20"/>
        <v>213.04788309462984</v>
      </c>
      <c r="BA16" s="165">
        <f t="shared" si="20"/>
        <v>247.41376136943245</v>
      </c>
      <c r="BB16" s="165">
        <f t="shared" si="20"/>
        <v>265.66983752581206</v>
      </c>
      <c r="BC16" s="164"/>
      <c r="BD16" s="165">
        <f t="shared" si="21"/>
        <v>3.470688212929685</v>
      </c>
      <c r="BE16" s="165">
        <f t="shared" si="21"/>
        <v>3.9880780374906122</v>
      </c>
      <c r="BF16" s="165">
        <f t="shared" si="21"/>
        <v>4.6026981952668296</v>
      </c>
      <c r="BG16" s="165">
        <f t="shared" si="21"/>
        <v>5.2305099800425978</v>
      </c>
      <c r="BH16" s="165">
        <f t="shared" si="21"/>
        <v>5.5962218699800657</v>
      </c>
    </row>
    <row r="17" spans="1:60">
      <c r="A17" s="72" t="s">
        <v>259</v>
      </c>
      <c r="B17" s="165">
        <f t="shared" si="10"/>
        <v>300.27408615273544</v>
      </c>
      <c r="C17" s="165">
        <f t="shared" si="10"/>
        <v>307.02902619700649</v>
      </c>
      <c r="D17" s="165">
        <f t="shared" si="10"/>
        <v>275.57160817400484</v>
      </c>
      <c r="E17" s="165">
        <f t="shared" si="10"/>
        <v>242.50355927772591</v>
      </c>
      <c r="F17" s="165">
        <f t="shared" si="10"/>
        <v>196.62341104090149</v>
      </c>
      <c r="G17" s="164"/>
      <c r="H17" s="165">
        <f t="shared" si="11"/>
        <v>163.84239820508242</v>
      </c>
      <c r="I17" s="165">
        <f t="shared" si="11"/>
        <v>167.48634018543549</v>
      </c>
      <c r="J17" s="165">
        <f t="shared" si="11"/>
        <v>150.0793901711946</v>
      </c>
      <c r="K17" s="165">
        <f t="shared" si="11"/>
        <v>131.95757743155312</v>
      </c>
      <c r="L17" s="165">
        <f t="shared" si="11"/>
        <v>106.85061904727925</v>
      </c>
      <c r="M17" s="164"/>
      <c r="N17" s="165">
        <f t="shared" si="12"/>
        <v>136.43168794765302</v>
      </c>
      <c r="O17" s="165">
        <f t="shared" si="12"/>
        <v>139.54268601157099</v>
      </c>
      <c r="P17" s="165">
        <f t="shared" si="12"/>
        <v>125.49221800281023</v>
      </c>
      <c r="Q17" s="165">
        <f t="shared" si="12"/>
        <v>110.54598184617279</v>
      </c>
      <c r="R17" s="165">
        <f t="shared" si="12"/>
        <v>89.772791993622235</v>
      </c>
      <c r="S17" s="164"/>
      <c r="T17" s="165">
        <f t="shared" si="13"/>
        <v>0</v>
      </c>
      <c r="U17" s="165">
        <f t="shared" si="13"/>
        <v>0</v>
      </c>
      <c r="V17" s="165">
        <f t="shared" si="13"/>
        <v>0</v>
      </c>
      <c r="W17" s="165">
        <f t="shared" si="13"/>
        <v>0</v>
      </c>
      <c r="X17" s="165">
        <f t="shared" si="13"/>
        <v>0</v>
      </c>
      <c r="Y17" s="72" t="str">
        <f t="shared" si="14"/>
        <v>60-64</v>
      </c>
      <c r="Z17" s="165">
        <f t="shared" si="15"/>
        <v>164.67698820651987</v>
      </c>
      <c r="AA17" s="165">
        <f t="shared" si="15"/>
        <v>173.02754429415353</v>
      </c>
      <c r="AB17" s="165">
        <f t="shared" si="15"/>
        <v>211.64420247686218</v>
      </c>
      <c r="AC17" s="165">
        <f t="shared" si="15"/>
        <v>262.32745519640429</v>
      </c>
      <c r="AD17" s="165">
        <f t="shared" si="15"/>
        <v>307.19809774569194</v>
      </c>
      <c r="AE17" s="164"/>
      <c r="AF17" s="165">
        <f t="shared" si="16"/>
        <v>156.364761045058</v>
      </c>
      <c r="AG17" s="165">
        <f t="shared" si="16"/>
        <v>164.2583318854096</v>
      </c>
      <c r="AH17" s="165">
        <f t="shared" si="16"/>
        <v>200.85031018974644</v>
      </c>
      <c r="AI17" s="165">
        <f t="shared" si="16"/>
        <v>248.92153917613587</v>
      </c>
      <c r="AJ17" s="165">
        <f t="shared" si="16"/>
        <v>291.50729249745882</v>
      </c>
      <c r="AK17" s="164"/>
      <c r="AL17" s="165">
        <f t="shared" si="17"/>
        <v>8.3122271614618572</v>
      </c>
      <c r="AM17" s="165">
        <f t="shared" si="17"/>
        <v>8.7692124087439236</v>
      </c>
      <c r="AN17" s="165">
        <f t="shared" si="17"/>
        <v>10.793892287115703</v>
      </c>
      <c r="AO17" s="165">
        <f t="shared" si="17"/>
        <v>13.405916020268418</v>
      </c>
      <c r="AP17" s="165">
        <f t="shared" si="17"/>
        <v>15.690805248233143</v>
      </c>
      <c r="AQ17" s="72" t="str">
        <f t="shared" si="18"/>
        <v>60-64</v>
      </c>
      <c r="AR17" s="165">
        <f t="shared" si="19"/>
        <v>124.1659256407448</v>
      </c>
      <c r="AS17" s="165">
        <f t="shared" si="19"/>
        <v>151.81542950884</v>
      </c>
      <c r="AT17" s="165">
        <f t="shared" si="19"/>
        <v>179.49318934913299</v>
      </c>
      <c r="AU17" s="165">
        <f t="shared" si="19"/>
        <v>229.32198552586985</v>
      </c>
      <c r="AV17" s="165">
        <f t="shared" si="19"/>
        <v>282.2344912134065</v>
      </c>
      <c r="AW17" s="164"/>
      <c r="AX17" s="165">
        <f t="shared" si="20"/>
        <v>120.47353378485059</v>
      </c>
      <c r="AY17" s="165">
        <f t="shared" si="20"/>
        <v>147.28380768694541</v>
      </c>
      <c r="AZ17" s="165">
        <f t="shared" si="20"/>
        <v>174.20095676665699</v>
      </c>
      <c r="BA17" s="165">
        <f t="shared" si="20"/>
        <v>222.61021872219823</v>
      </c>
      <c r="BB17" s="165">
        <f t="shared" si="20"/>
        <v>274.01688935790713</v>
      </c>
      <c r="BC17" s="164"/>
      <c r="BD17" s="165">
        <f t="shared" si="21"/>
        <v>3.6923918558942086</v>
      </c>
      <c r="BE17" s="165">
        <f t="shared" si="21"/>
        <v>4.5316218218945803</v>
      </c>
      <c r="BF17" s="165">
        <f t="shared" si="21"/>
        <v>5.2922325824760046</v>
      </c>
      <c r="BG17" s="165">
        <f t="shared" si="21"/>
        <v>6.7117668036716331</v>
      </c>
      <c r="BH17" s="165">
        <f t="shared" si="21"/>
        <v>8.2176018554993142</v>
      </c>
    </row>
    <row r="18" spans="1:60">
      <c r="A18" s="72" t="s">
        <v>260</v>
      </c>
      <c r="B18" s="165">
        <f t="shared" si="10"/>
        <v>1097.4936778000333</v>
      </c>
      <c r="C18" s="165">
        <f t="shared" si="10"/>
        <v>1072.9440531401806</v>
      </c>
      <c r="D18" s="165">
        <f t="shared" si="10"/>
        <v>980.11410948496587</v>
      </c>
      <c r="E18" s="165">
        <f t="shared" si="10"/>
        <v>860.70692539466086</v>
      </c>
      <c r="F18" s="165">
        <f t="shared" si="10"/>
        <v>731.94096038103203</v>
      </c>
      <c r="G18" s="164"/>
      <c r="H18" s="165">
        <f t="shared" si="11"/>
        <v>770.71351120273471</v>
      </c>
      <c r="I18" s="165">
        <f t="shared" si="11"/>
        <v>753.1395408366011</v>
      </c>
      <c r="J18" s="165">
        <f t="shared" si="11"/>
        <v>687.79876078330381</v>
      </c>
      <c r="K18" s="165">
        <f t="shared" si="11"/>
        <v>603.69792908410795</v>
      </c>
      <c r="L18" s="165">
        <f t="shared" si="11"/>
        <v>513.13110481139574</v>
      </c>
      <c r="M18" s="164"/>
      <c r="N18" s="165">
        <f t="shared" si="12"/>
        <v>326.78016659729855</v>
      </c>
      <c r="O18" s="165">
        <f t="shared" si="12"/>
        <v>319.80451230357949</v>
      </c>
      <c r="P18" s="165">
        <f t="shared" si="12"/>
        <v>292.31534870166195</v>
      </c>
      <c r="Q18" s="165">
        <f t="shared" si="12"/>
        <v>257.0089963105529</v>
      </c>
      <c r="R18" s="165">
        <f t="shared" si="12"/>
        <v>218.80985556963645</v>
      </c>
      <c r="S18" s="164"/>
      <c r="T18" s="165">
        <f t="shared" si="13"/>
        <v>0</v>
      </c>
      <c r="U18" s="165">
        <f t="shared" si="13"/>
        <v>0</v>
      </c>
      <c r="V18" s="165">
        <f t="shared" si="13"/>
        <v>0</v>
      </c>
      <c r="W18" s="165">
        <f t="shared" si="13"/>
        <v>0</v>
      </c>
      <c r="X18" s="165">
        <f t="shared" si="13"/>
        <v>0</v>
      </c>
      <c r="Y18" s="72" t="str">
        <f t="shared" si="14"/>
        <v>65+</v>
      </c>
      <c r="Z18" s="165">
        <f t="shared" si="15"/>
        <v>412.59519957455325</v>
      </c>
      <c r="AA18" s="165">
        <f t="shared" si="15"/>
        <v>441.80478171374187</v>
      </c>
      <c r="AB18" s="165">
        <f t="shared" si="15"/>
        <v>588.92141161742438</v>
      </c>
      <c r="AC18" s="165">
        <f t="shared" si="15"/>
        <v>717.19301187685096</v>
      </c>
      <c r="AD18" s="165">
        <f t="shared" si="15"/>
        <v>861.73238046119513</v>
      </c>
      <c r="AE18" s="164"/>
      <c r="AF18" s="165">
        <f t="shared" si="16"/>
        <v>391.95319027138726</v>
      </c>
      <c r="AG18" s="165">
        <f t="shared" si="16"/>
        <v>419.72502641576881</v>
      </c>
      <c r="AH18" s="165">
        <f t="shared" si="16"/>
        <v>559.48677128208897</v>
      </c>
      <c r="AI18" s="165">
        <f t="shared" si="16"/>
        <v>681.36315392476172</v>
      </c>
      <c r="AJ18" s="165">
        <f t="shared" si="16"/>
        <v>818.69055459842366</v>
      </c>
      <c r="AK18" s="164"/>
      <c r="AL18" s="165">
        <f t="shared" si="17"/>
        <v>20.642009303165985</v>
      </c>
      <c r="AM18" s="165">
        <f t="shared" si="17"/>
        <v>22.079755297973087</v>
      </c>
      <c r="AN18" s="165">
        <f t="shared" si="17"/>
        <v>29.434640335335327</v>
      </c>
      <c r="AO18" s="165">
        <f t="shared" si="17"/>
        <v>35.82985795208927</v>
      </c>
      <c r="AP18" s="165">
        <f t="shared" si="17"/>
        <v>43.041825862771589</v>
      </c>
      <c r="AQ18" s="72" t="str">
        <f t="shared" si="18"/>
        <v>65+</v>
      </c>
      <c r="AR18" s="165">
        <f t="shared" si="19"/>
        <v>309.63712262541355</v>
      </c>
      <c r="AS18" s="165">
        <f t="shared" si="19"/>
        <v>345.41016514607776</v>
      </c>
      <c r="AT18" s="165">
        <f t="shared" si="19"/>
        <v>465.83547889760985</v>
      </c>
      <c r="AU18" s="165">
        <f t="shared" si="19"/>
        <v>642.09606272848828</v>
      </c>
      <c r="AV18" s="165">
        <f t="shared" si="19"/>
        <v>863.68565915777276</v>
      </c>
      <c r="AW18" s="164"/>
      <c r="AX18" s="165">
        <f t="shared" si="20"/>
        <v>301.40115633884841</v>
      </c>
      <c r="AY18" s="165">
        <f t="shared" si="20"/>
        <v>336.56314669404765</v>
      </c>
      <c r="AZ18" s="165">
        <f t="shared" si="20"/>
        <v>453.89786151814837</v>
      </c>
      <c r="BA18" s="165">
        <f t="shared" si="20"/>
        <v>625.97097807950172</v>
      </c>
      <c r="BB18" s="165">
        <f t="shared" si="20"/>
        <v>842.26455696727317</v>
      </c>
      <c r="BC18" s="164"/>
      <c r="BD18" s="165">
        <f t="shared" si="21"/>
        <v>8.2359662865651462</v>
      </c>
      <c r="BE18" s="165">
        <f t="shared" si="21"/>
        <v>8.847018452030122</v>
      </c>
      <c r="BF18" s="165">
        <f t="shared" si="21"/>
        <v>11.937617379461411</v>
      </c>
      <c r="BG18" s="165">
        <f t="shared" si="21"/>
        <v>16.125084648986547</v>
      </c>
      <c r="BH18" s="165">
        <f t="shared" si="21"/>
        <v>21.421102190499685</v>
      </c>
    </row>
    <row r="19" spans="1:60">
      <c r="B19" s="165"/>
      <c r="C19" s="165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75"/>
      <c r="U19" s="75"/>
      <c r="V19" s="75"/>
      <c r="W19" s="75"/>
      <c r="X19" s="75"/>
      <c r="Z19" s="165"/>
      <c r="AA19" s="165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R19" s="165"/>
      <c r="AS19" s="165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</row>
    <row r="20" spans="1:60" ht="12.95">
      <c r="A20" s="95" t="s">
        <v>176</v>
      </c>
      <c r="B20" s="75"/>
      <c r="C20" s="75"/>
      <c r="D20" s="75"/>
      <c r="E20" s="7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75"/>
      <c r="U20" s="75"/>
      <c r="V20" s="75"/>
      <c r="W20" s="75"/>
      <c r="X20" s="75"/>
      <c r="Y20" s="95" t="str">
        <f t="shared" si="14"/>
        <v>Males</v>
      </c>
      <c r="Z20" s="75"/>
      <c r="AA20" s="75"/>
      <c r="AB20" s="75"/>
      <c r="AC20" s="7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95" t="str">
        <f>A20</f>
        <v>Males</v>
      </c>
      <c r="AR20" s="75"/>
      <c r="AS20" s="75"/>
      <c r="AT20" s="75"/>
      <c r="AU20" s="75"/>
      <c r="AV20" s="165"/>
      <c r="AW20" s="165"/>
      <c r="AX20" s="165"/>
      <c r="AY20" s="165"/>
      <c r="AZ20" s="165"/>
      <c r="BA20" s="165"/>
      <c r="BB20" s="165"/>
      <c r="BC20" s="165"/>
      <c r="BD20" s="165"/>
      <c r="BE20" s="165"/>
      <c r="BF20" s="165"/>
      <c r="BG20" s="165"/>
      <c r="BH20" s="165"/>
    </row>
    <row r="21" spans="1:60">
      <c r="A21" s="72" t="str">
        <f>$A$7</f>
        <v>15+</v>
      </c>
      <c r="B21" s="165">
        <f>SUM(B22:B32)</f>
        <v>1620.2473852146525</v>
      </c>
      <c r="C21" s="165">
        <f t="shared" ref="C21:F21" si="22">SUM(C22:C32)</f>
        <v>1614.229579565203</v>
      </c>
      <c r="D21" s="165">
        <f t="shared" si="22"/>
        <v>1473.336267790763</v>
      </c>
      <c r="E21" s="165">
        <f t="shared" si="22"/>
        <v>1328.0088879474006</v>
      </c>
      <c r="F21" s="165">
        <f t="shared" si="22"/>
        <v>1173.6897154992268</v>
      </c>
      <c r="G21" s="165"/>
      <c r="H21" s="165">
        <f>SUM(H22:H32)</f>
        <v>716.1464894810149</v>
      </c>
      <c r="I21" s="165">
        <f t="shared" ref="I21:L21" si="23">SUM(I22:I32)</f>
        <v>715.64405967986499</v>
      </c>
      <c r="J21" s="165">
        <f t="shared" si="23"/>
        <v>655.33170359679184</v>
      </c>
      <c r="K21" s="165">
        <f t="shared" si="23"/>
        <v>588.71852138985469</v>
      </c>
      <c r="L21" s="165">
        <f t="shared" si="23"/>
        <v>511.80228655523888</v>
      </c>
      <c r="M21" s="165"/>
      <c r="N21" s="165">
        <f>SUM(N22:N32)</f>
        <v>904.1008957336378</v>
      </c>
      <c r="O21" s="165">
        <f t="shared" ref="O21:R21" si="24">SUM(O22:O32)</f>
        <v>898.5855198853385</v>
      </c>
      <c r="P21" s="165">
        <f t="shared" si="24"/>
        <v>818.00456419397131</v>
      </c>
      <c r="Q21" s="165">
        <f t="shared" si="24"/>
        <v>739.29036655754555</v>
      </c>
      <c r="R21" s="165">
        <f t="shared" si="24"/>
        <v>661.88742894398808</v>
      </c>
      <c r="S21" s="165"/>
      <c r="T21" s="165">
        <f>SUM(T22:T32)</f>
        <v>0</v>
      </c>
      <c r="U21" s="165">
        <f t="shared" ref="U21:X21" si="25">SUM(U22:U32)</f>
        <v>0</v>
      </c>
      <c r="V21" s="165">
        <f t="shared" si="25"/>
        <v>0</v>
      </c>
      <c r="W21" s="165">
        <f t="shared" si="25"/>
        <v>0</v>
      </c>
      <c r="X21" s="165">
        <f t="shared" si="25"/>
        <v>0</v>
      </c>
      <c r="Y21" s="72" t="str">
        <f>$A$7</f>
        <v>15+</v>
      </c>
      <c r="Z21" s="165">
        <f>SUM(Z22:Z32)</f>
        <v>1577.3024491368396</v>
      </c>
      <c r="AA21" s="165">
        <f t="shared" ref="AA21:AD21" si="26">SUM(AA22:AA32)</f>
        <v>1562.2040994555152</v>
      </c>
      <c r="AB21" s="165">
        <f t="shared" si="26"/>
        <v>1749.398715210659</v>
      </c>
      <c r="AC21" s="165">
        <f t="shared" si="26"/>
        <v>1909.488504579884</v>
      </c>
      <c r="AD21" s="165">
        <f t="shared" si="26"/>
        <v>2081.0684990931632</v>
      </c>
      <c r="AE21" s="165"/>
      <c r="AF21" s="165">
        <f>SUM(AF22:AF32)</f>
        <v>1499.7774540648427</v>
      </c>
      <c r="AG21" s="165">
        <f t="shared" ref="AG21:AJ21" si="27">SUM(AG22:AG32)</f>
        <v>1486.1007164675289</v>
      </c>
      <c r="AH21" s="165">
        <f t="shared" si="27"/>
        <v>1664.4597911861424</v>
      </c>
      <c r="AI21" s="165">
        <f t="shared" si="27"/>
        <v>1816.8390130222895</v>
      </c>
      <c r="AJ21" s="165">
        <f t="shared" si="27"/>
        <v>1980.4678395589967</v>
      </c>
      <c r="AK21" s="165"/>
      <c r="AL21" s="165">
        <f>SUM(AL22:AL32)</f>
        <v>77.524995071996941</v>
      </c>
      <c r="AM21" s="165">
        <f t="shared" ref="AM21:AP21" si="28">SUM(AM22:AM32)</f>
        <v>76.103382987986208</v>
      </c>
      <c r="AN21" s="165">
        <f t="shared" si="28"/>
        <v>84.938924024516524</v>
      </c>
      <c r="AO21" s="165">
        <f t="shared" si="28"/>
        <v>92.649491557594388</v>
      </c>
      <c r="AP21" s="165">
        <f t="shared" si="28"/>
        <v>100.60065953416633</v>
      </c>
      <c r="AQ21" s="72" t="str">
        <f>A21</f>
        <v>15+</v>
      </c>
      <c r="AR21" s="165">
        <f>SUM(AR22:AR32)</f>
        <v>1106.6731656485081</v>
      </c>
      <c r="AS21" s="165">
        <f t="shared" ref="AS21:AV21" si="29">SUM(AS22:AS32)</f>
        <v>1199.3363209792817</v>
      </c>
      <c r="AT21" s="165">
        <f t="shared" si="29"/>
        <v>1365.5690169985778</v>
      </c>
      <c r="AU21" s="165">
        <f t="shared" si="29"/>
        <v>1541.874607472716</v>
      </c>
      <c r="AV21" s="165">
        <f t="shared" si="29"/>
        <v>1748.1917854076103</v>
      </c>
      <c r="AW21" s="165"/>
      <c r="AX21" s="165">
        <f>SUM(AX22:AX32)</f>
        <v>1077.4599726477079</v>
      </c>
      <c r="AY21" s="165">
        <f t="shared" ref="AY21:BB21" si="30">SUM(AY22:AY32)</f>
        <v>1167.5793096493508</v>
      </c>
      <c r="AZ21" s="165">
        <f t="shared" si="30"/>
        <v>1328.8583394486275</v>
      </c>
      <c r="BA21" s="165">
        <f t="shared" si="30"/>
        <v>1499.4805167904162</v>
      </c>
      <c r="BB21" s="165">
        <f t="shared" si="30"/>
        <v>1698.9799024688193</v>
      </c>
      <c r="BC21" s="165"/>
      <c r="BD21" s="165">
        <f>SUM(BD22:BD32)</f>
        <v>29.213193000800217</v>
      </c>
      <c r="BE21" s="165">
        <f t="shared" ref="BE21:BH21" si="31">SUM(BE22:BE32)</f>
        <v>31.757011329930545</v>
      </c>
      <c r="BF21" s="165">
        <f t="shared" si="31"/>
        <v>36.710677549950461</v>
      </c>
      <c r="BG21" s="165">
        <f t="shared" si="31"/>
        <v>42.394090682299776</v>
      </c>
      <c r="BH21" s="165">
        <f t="shared" si="31"/>
        <v>49.211882938790794</v>
      </c>
    </row>
    <row r="22" spans="1:60">
      <c r="A22" s="72" t="str">
        <f>$A$8</f>
        <v>15-19</v>
      </c>
      <c r="B22" s="165">
        <v>265.87910321369338</v>
      </c>
      <c r="C22" s="165">
        <v>258.0443726840308</v>
      </c>
      <c r="D22" s="165">
        <v>243.141770298518</v>
      </c>
      <c r="E22" s="165">
        <v>242.0329033496289</v>
      </c>
      <c r="F22" s="164">
        <v>259.48953414978911</v>
      </c>
      <c r="G22" s="165"/>
      <c r="H22" s="165">
        <v>65.502301380201217</v>
      </c>
      <c r="I22" s="165">
        <v>63.57213501074979</v>
      </c>
      <c r="J22" s="165">
        <v>59.900673398189532</v>
      </c>
      <c r="K22" s="165">
        <v>59.627470660231161</v>
      </c>
      <c r="L22" s="164">
        <v>63.928125917066254</v>
      </c>
      <c r="M22" s="165"/>
      <c r="N22" s="165">
        <v>200.37680183349218</v>
      </c>
      <c r="O22" s="165">
        <v>194.47223767328106</v>
      </c>
      <c r="P22" s="165">
        <v>183.2410969003285</v>
      </c>
      <c r="Q22" s="165">
        <v>182.40543268939777</v>
      </c>
      <c r="R22" s="164">
        <v>195.56140823272287</v>
      </c>
      <c r="S22" s="165"/>
      <c r="T22" s="165">
        <v>0</v>
      </c>
      <c r="U22" s="165">
        <v>0</v>
      </c>
      <c r="V22" s="165">
        <v>0</v>
      </c>
      <c r="W22" s="165">
        <v>0</v>
      </c>
      <c r="X22" s="164">
        <v>0</v>
      </c>
      <c r="Y22" s="72" t="str">
        <f>$A$8</f>
        <v>15-19</v>
      </c>
      <c r="Z22" s="165">
        <v>66.511132470586716</v>
      </c>
      <c r="AA22" s="165">
        <v>73.411299772273082</v>
      </c>
      <c r="AB22" s="165">
        <v>80.502722532222251</v>
      </c>
      <c r="AC22" s="165">
        <v>87.416701640226961</v>
      </c>
      <c r="AD22" s="164">
        <v>102.22230692001014</v>
      </c>
      <c r="AE22" s="165"/>
      <c r="AF22" s="165">
        <v>65.408785510809949</v>
      </c>
      <c r="AG22" s="165">
        <v>72.194629595921498</v>
      </c>
      <c r="AH22" s="165">
        <v>79.16853183013346</v>
      </c>
      <c r="AI22" s="165">
        <v>85.967955058277127</v>
      </c>
      <c r="AJ22" s="164">
        <v>100.52812602924274</v>
      </c>
      <c r="AK22" s="165"/>
      <c r="AL22" s="165">
        <v>1.1023469597767663</v>
      </c>
      <c r="AM22" s="165">
        <v>1.2166701763515873</v>
      </c>
      <c r="AN22" s="165">
        <v>1.3341907020887731</v>
      </c>
      <c r="AO22" s="165">
        <v>1.4487465819498317</v>
      </c>
      <c r="AP22" s="164">
        <v>1.6941808907673945</v>
      </c>
      <c r="AQ22" s="72" t="str">
        <f t="shared" ref="AQ22:AQ32" si="32">A22</f>
        <v>15-19</v>
      </c>
      <c r="AR22" s="165">
        <v>0.47976431571996198</v>
      </c>
      <c r="AS22" s="165">
        <v>0.72732754369609554</v>
      </c>
      <c r="AT22" s="165">
        <v>0.48550716925975612</v>
      </c>
      <c r="AU22" s="165">
        <v>0.49439501014410386</v>
      </c>
      <c r="AV22" s="164">
        <v>0.54315893020071748</v>
      </c>
      <c r="AW22" s="165"/>
      <c r="AX22" s="165">
        <v>0.424231447426622</v>
      </c>
      <c r="AY22" s="165">
        <v>0.64301397638445978</v>
      </c>
      <c r="AZ22" s="165">
        <v>0.4293477578901575</v>
      </c>
      <c r="BA22" s="165">
        <v>0.43712398467357205</v>
      </c>
      <c r="BB22" s="164">
        <v>0.4802635949877026</v>
      </c>
      <c r="BC22" s="165"/>
      <c r="BD22" s="165">
        <v>5.5532868293339949E-2</v>
      </c>
      <c r="BE22" s="165">
        <v>8.4313567311635793E-2</v>
      </c>
      <c r="BF22" s="165">
        <v>5.6159411369598657E-2</v>
      </c>
      <c r="BG22" s="165">
        <v>5.7271025470531763E-2</v>
      </c>
      <c r="BH22" s="164">
        <v>6.2895335213014894E-2</v>
      </c>
    </row>
    <row r="23" spans="1:60">
      <c r="A23" s="72" t="str">
        <f>$A$9</f>
        <v>20-24</v>
      </c>
      <c r="B23" s="165">
        <v>62.563891293376557</v>
      </c>
      <c r="C23" s="165">
        <v>65.325512781581011</v>
      </c>
      <c r="D23" s="165">
        <v>67.029010553797633</v>
      </c>
      <c r="E23" s="165">
        <v>59.464637575430878</v>
      </c>
      <c r="F23" s="164">
        <v>54.38972351131563</v>
      </c>
      <c r="G23" s="165"/>
      <c r="H23" s="165">
        <v>17.754171051225015</v>
      </c>
      <c r="I23" s="165">
        <v>18.537831805843624</v>
      </c>
      <c r="J23" s="165">
        <v>19.021243659623707</v>
      </c>
      <c r="K23" s="165">
        <v>16.874679665555647</v>
      </c>
      <c r="L23" s="164">
        <v>15.434495406960504</v>
      </c>
      <c r="M23" s="165"/>
      <c r="N23" s="165">
        <v>44.809720242151542</v>
      </c>
      <c r="O23" s="165">
        <v>46.787680975737388</v>
      </c>
      <c r="P23" s="165">
        <v>48.00776689417394</v>
      </c>
      <c r="Q23" s="165">
        <v>42.589957909875231</v>
      </c>
      <c r="R23" s="164">
        <v>38.955228104355122</v>
      </c>
      <c r="S23" s="165"/>
      <c r="T23" s="165">
        <v>0</v>
      </c>
      <c r="U23" s="165">
        <v>0</v>
      </c>
      <c r="V23" s="165">
        <v>0</v>
      </c>
      <c r="W23" s="165">
        <v>0</v>
      </c>
      <c r="X23" s="164">
        <v>0</v>
      </c>
      <c r="Y23" s="72" t="str">
        <f>$A$9</f>
        <v>20-24</v>
      </c>
      <c r="Z23" s="165">
        <v>203.50469894139783</v>
      </c>
      <c r="AA23" s="165">
        <v>206.78831948241526</v>
      </c>
      <c r="AB23" s="165">
        <v>217.16688614689699</v>
      </c>
      <c r="AC23" s="165">
        <v>213.03529301815917</v>
      </c>
      <c r="AD23" s="164">
        <v>215.87448968593148</v>
      </c>
      <c r="AE23" s="165"/>
      <c r="AF23" s="165">
        <v>194.19340573185747</v>
      </c>
      <c r="AG23" s="165">
        <v>197.32683079971491</v>
      </c>
      <c r="AH23" s="165">
        <v>207.23048265883725</v>
      </c>
      <c r="AI23" s="165">
        <v>203.2879208070558</v>
      </c>
      <c r="AJ23" s="164">
        <v>205.99720170925298</v>
      </c>
      <c r="AK23" s="165"/>
      <c r="AL23" s="165">
        <v>9.3112932095403682</v>
      </c>
      <c r="AM23" s="165">
        <v>9.4614886827003613</v>
      </c>
      <c r="AN23" s="165">
        <v>9.936403488059721</v>
      </c>
      <c r="AO23" s="165">
        <v>9.7473722111033432</v>
      </c>
      <c r="AP23" s="164">
        <v>9.8772879766784918</v>
      </c>
      <c r="AQ23" s="72" t="str">
        <f t="shared" si="32"/>
        <v>20-24</v>
      </c>
      <c r="AR23" s="165">
        <v>55.35540976522563</v>
      </c>
      <c r="AS23" s="165">
        <v>59.428167736003701</v>
      </c>
      <c r="AT23" s="165">
        <v>76.351103299305365</v>
      </c>
      <c r="AU23" s="165">
        <v>82.69706940640998</v>
      </c>
      <c r="AV23" s="164">
        <v>92.251786802752903</v>
      </c>
      <c r="AW23" s="165"/>
      <c r="AX23" s="165">
        <v>55.171502233744391</v>
      </c>
      <c r="AY23" s="165">
        <v>59.230692610728923</v>
      </c>
      <c r="AZ23" s="165">
        <v>76.097464300047577</v>
      </c>
      <c r="BA23" s="165">
        <v>82.422307619001344</v>
      </c>
      <c r="BB23" s="164">
        <v>91.945269557157303</v>
      </c>
      <c r="BC23" s="165"/>
      <c r="BD23" s="165">
        <v>0.18390753148124411</v>
      </c>
      <c r="BE23" s="165">
        <v>0.19747512527477654</v>
      </c>
      <c r="BF23" s="165">
        <v>0.2536389992577906</v>
      </c>
      <c r="BG23" s="165">
        <v>0.27476178740863866</v>
      </c>
      <c r="BH23" s="164">
        <v>0.30651724559561289</v>
      </c>
    </row>
    <row r="24" spans="1:60">
      <c r="A24" s="72" t="str">
        <f>$A$10</f>
        <v>25-29</v>
      </c>
      <c r="B24" s="165">
        <v>66.398736675349255</v>
      </c>
      <c r="C24" s="165">
        <v>69.045212178063281</v>
      </c>
      <c r="D24" s="165">
        <v>66.627042081793974</v>
      </c>
      <c r="E24" s="165">
        <v>68.686692459413791</v>
      </c>
      <c r="F24" s="164">
        <v>61.118016987628771</v>
      </c>
      <c r="G24" s="165"/>
      <c r="H24" s="165">
        <v>22.566174767142297</v>
      </c>
      <c r="I24" s="165">
        <v>23.465649013403809</v>
      </c>
      <c r="J24" s="165">
        <v>22.643783635613381</v>
      </c>
      <c r="K24" s="165">
        <v>23.343782133688464</v>
      </c>
      <c r="L24" s="164">
        <v>20.771486527956</v>
      </c>
      <c r="M24" s="165"/>
      <c r="N24" s="165">
        <v>43.832561908206955</v>
      </c>
      <c r="O24" s="165">
        <v>45.579563164659476</v>
      </c>
      <c r="P24" s="165">
        <v>43.983258446180592</v>
      </c>
      <c r="Q24" s="165">
        <v>45.342910325725327</v>
      </c>
      <c r="R24" s="164">
        <v>40.346530459672763</v>
      </c>
      <c r="S24" s="165"/>
      <c r="T24" s="165">
        <v>0</v>
      </c>
      <c r="U24" s="165">
        <v>0</v>
      </c>
      <c r="V24" s="165">
        <v>0</v>
      </c>
      <c r="W24" s="165">
        <v>0</v>
      </c>
      <c r="X24" s="164">
        <v>0</v>
      </c>
      <c r="Y24" s="72" t="str">
        <f>$A$10</f>
        <v>25-29</v>
      </c>
      <c r="Z24" s="165">
        <v>157.53682636123301</v>
      </c>
      <c r="AA24" s="165">
        <v>146.82469164415315</v>
      </c>
      <c r="AB24" s="165">
        <v>162.09459077138558</v>
      </c>
      <c r="AC24" s="165">
        <v>176.76412293200428</v>
      </c>
      <c r="AD24" s="164">
        <v>178.0449747242445</v>
      </c>
      <c r="AE24" s="165"/>
      <c r="AF24" s="165">
        <v>147.64849438417414</v>
      </c>
      <c r="AG24" s="165">
        <v>137.60882551682283</v>
      </c>
      <c r="AH24" s="165">
        <v>151.92024178805138</v>
      </c>
      <c r="AI24" s="165">
        <v>165.66900835507411</v>
      </c>
      <c r="AJ24" s="164">
        <v>166.86940114891388</v>
      </c>
      <c r="AK24" s="165"/>
      <c r="AL24" s="165">
        <v>9.8883319770588862</v>
      </c>
      <c r="AM24" s="165">
        <v>9.21586612733031</v>
      </c>
      <c r="AN24" s="165">
        <v>10.174348983334211</v>
      </c>
      <c r="AO24" s="165">
        <v>11.095114576930154</v>
      </c>
      <c r="AP24" s="164">
        <v>11.175573575330596</v>
      </c>
      <c r="AQ24" s="72" t="str">
        <f t="shared" si="32"/>
        <v>25-29</v>
      </c>
      <c r="AR24" s="165">
        <v>119.99943696341774</v>
      </c>
      <c r="AS24" s="165">
        <v>129.39109617778351</v>
      </c>
      <c r="AT24" s="165">
        <v>137.02936714682045</v>
      </c>
      <c r="AU24" s="165">
        <v>151.42218460858194</v>
      </c>
      <c r="AV24" s="164">
        <v>154.61300828812676</v>
      </c>
      <c r="AW24" s="165"/>
      <c r="AX24" s="165">
        <v>118.70993980899782</v>
      </c>
      <c r="AY24" s="165">
        <v>128.00063464065943</v>
      </c>
      <c r="AZ24" s="165">
        <v>135.5567932955843</v>
      </c>
      <c r="BA24" s="165">
        <v>149.7950052068511</v>
      </c>
      <c r="BB24" s="164">
        <v>152.9514745672883</v>
      </c>
      <c r="BC24" s="165"/>
      <c r="BD24" s="165">
        <v>1.2894971544199207</v>
      </c>
      <c r="BE24" s="165">
        <v>1.3904615371240769</v>
      </c>
      <c r="BF24" s="165">
        <v>1.4725738512361566</v>
      </c>
      <c r="BG24" s="165">
        <v>1.6271794017308401</v>
      </c>
      <c r="BH24" s="164">
        <v>1.6615337208384582</v>
      </c>
    </row>
    <row r="25" spans="1:60">
      <c r="A25" s="72" t="str">
        <f>$A$11</f>
        <v>30-34</v>
      </c>
      <c r="B25" s="165">
        <v>68.283196879250426</v>
      </c>
      <c r="C25" s="165">
        <v>66.945802724107253</v>
      </c>
      <c r="D25" s="165">
        <v>66.03723253213704</v>
      </c>
      <c r="E25" s="165">
        <v>61.74876482433028</v>
      </c>
      <c r="F25" s="164">
        <v>53.450029841365982</v>
      </c>
      <c r="G25" s="165"/>
      <c r="H25" s="165">
        <v>24.544039774496266</v>
      </c>
      <c r="I25" s="165">
        <v>24.063322041545216</v>
      </c>
      <c r="J25" s="165">
        <v>23.736795331659089</v>
      </c>
      <c r="K25" s="165">
        <v>22.195343632842444</v>
      </c>
      <c r="L25" s="164">
        <v>19.212368288465317</v>
      </c>
      <c r="M25" s="165"/>
      <c r="N25" s="165">
        <v>43.739157104754149</v>
      </c>
      <c r="O25" s="165">
        <v>42.88248068256204</v>
      </c>
      <c r="P25" s="165">
        <v>42.300437200477958</v>
      </c>
      <c r="Q25" s="165">
        <v>39.553421191487843</v>
      </c>
      <c r="R25" s="164">
        <v>34.237661552900661</v>
      </c>
      <c r="S25" s="165"/>
      <c r="T25" s="165">
        <v>0</v>
      </c>
      <c r="U25" s="165">
        <v>0</v>
      </c>
      <c r="V25" s="165">
        <v>0</v>
      </c>
      <c r="W25" s="165">
        <v>0</v>
      </c>
      <c r="X25" s="164">
        <v>0</v>
      </c>
      <c r="Y25" s="72" t="str">
        <f>$A$11</f>
        <v>30-34</v>
      </c>
      <c r="Z25" s="165">
        <v>148.60780472425301</v>
      </c>
      <c r="AA25" s="165">
        <v>147.31893427815288</v>
      </c>
      <c r="AB25" s="165">
        <v>161.47366094590328</v>
      </c>
      <c r="AC25" s="165">
        <v>172.47340823028688</v>
      </c>
      <c r="AD25" s="164">
        <v>191.95713844294832</v>
      </c>
      <c r="AE25" s="165"/>
      <c r="AF25" s="165">
        <v>138.80683308840062</v>
      </c>
      <c r="AG25" s="165">
        <v>137.60298665378525</v>
      </c>
      <c r="AH25" s="165">
        <v>150.82413863510811</v>
      </c>
      <c r="AI25" s="165">
        <v>161.09845641798645</v>
      </c>
      <c r="AJ25" s="164">
        <v>179.29720884021523</v>
      </c>
      <c r="AK25" s="165"/>
      <c r="AL25" s="165">
        <v>9.8009716358523953</v>
      </c>
      <c r="AM25" s="165">
        <v>9.7159476243676277</v>
      </c>
      <c r="AN25" s="165">
        <v>10.649522310795193</v>
      </c>
      <c r="AO25" s="165">
        <v>11.374951812300438</v>
      </c>
      <c r="AP25" s="164">
        <v>12.659929602733092</v>
      </c>
      <c r="AQ25" s="72" t="str">
        <f t="shared" si="32"/>
        <v>30-34</v>
      </c>
      <c r="AR25" s="165">
        <v>129.43499839649661</v>
      </c>
      <c r="AS25" s="165">
        <v>136.9352629977399</v>
      </c>
      <c r="AT25" s="165">
        <v>146.86710652195967</v>
      </c>
      <c r="AU25" s="165">
        <v>156.94682694538284</v>
      </c>
      <c r="AV25" s="164">
        <v>178.67283171568567</v>
      </c>
      <c r="AW25" s="165"/>
      <c r="AX25" s="165">
        <v>126.08382142150504</v>
      </c>
      <c r="AY25" s="165">
        <v>133.38988826824271</v>
      </c>
      <c r="AZ25" s="165">
        <v>143.06466319041809</v>
      </c>
      <c r="BA25" s="165">
        <v>152.88342672901697</v>
      </c>
      <c r="BB25" s="164">
        <v>174.04687249714561</v>
      </c>
      <c r="BC25" s="165"/>
      <c r="BD25" s="165">
        <v>3.3511769749915721</v>
      </c>
      <c r="BE25" s="165">
        <v>3.5453747294971758</v>
      </c>
      <c r="BF25" s="165">
        <v>3.8024433315415691</v>
      </c>
      <c r="BG25" s="165">
        <v>4.0634002163658671</v>
      </c>
      <c r="BH25" s="164">
        <v>4.625959218540066</v>
      </c>
    </row>
    <row r="26" spans="1:60">
      <c r="A26" s="72" t="str">
        <f>$A$12</f>
        <v>35-39</v>
      </c>
      <c r="B26" s="165">
        <v>81.570107580789099</v>
      </c>
      <c r="C26" s="165">
        <v>83.089506586868126</v>
      </c>
      <c r="D26" s="165">
        <v>69.396955766521813</v>
      </c>
      <c r="E26" s="165">
        <v>57.477476782623199</v>
      </c>
      <c r="F26" s="164">
        <v>45.376437261099497</v>
      </c>
      <c r="G26" s="165"/>
      <c r="H26" s="165">
        <v>27.823839481647656</v>
      </c>
      <c r="I26" s="165">
        <v>28.342149363665129</v>
      </c>
      <c r="J26" s="165">
        <v>23.671532314933994</v>
      </c>
      <c r="K26" s="165">
        <v>19.605797942974593</v>
      </c>
      <c r="L26" s="164">
        <v>15.478099602590135</v>
      </c>
      <c r="M26" s="165"/>
      <c r="N26" s="165">
        <v>53.746268099141446</v>
      </c>
      <c r="O26" s="165">
        <v>54.747357223203004</v>
      </c>
      <c r="P26" s="165">
        <v>45.725423451587815</v>
      </c>
      <c r="Q26" s="165">
        <v>37.871678839648609</v>
      </c>
      <c r="R26" s="164">
        <v>29.898337658509362</v>
      </c>
      <c r="S26" s="165"/>
      <c r="T26" s="165">
        <v>0</v>
      </c>
      <c r="U26" s="165">
        <v>0</v>
      </c>
      <c r="V26" s="165">
        <v>0</v>
      </c>
      <c r="W26" s="165">
        <v>0</v>
      </c>
      <c r="X26" s="164">
        <v>0</v>
      </c>
      <c r="Y26" s="72" t="str">
        <f>$A$12</f>
        <v>35-39</v>
      </c>
      <c r="Z26" s="165">
        <v>172.87314170144836</v>
      </c>
      <c r="AA26" s="165">
        <v>151.81746175182639</v>
      </c>
      <c r="AB26" s="165">
        <v>156.19921187888309</v>
      </c>
      <c r="AC26" s="165">
        <v>170.06847351368867</v>
      </c>
      <c r="AD26" s="164">
        <v>183.91916269923121</v>
      </c>
      <c r="AE26" s="165"/>
      <c r="AF26" s="165">
        <v>162.99555148006215</v>
      </c>
      <c r="AG26" s="165">
        <v>143.14291162441359</v>
      </c>
      <c r="AH26" s="165">
        <v>147.27436031165053</v>
      </c>
      <c r="AI26" s="165">
        <v>160.35109660117249</v>
      </c>
      <c r="AJ26" s="164">
        <v>173.41038032330772</v>
      </c>
      <c r="AK26" s="165"/>
      <c r="AL26" s="165">
        <v>9.8775902213862175</v>
      </c>
      <c r="AM26" s="165">
        <v>8.6745501274128145</v>
      </c>
      <c r="AN26" s="165">
        <v>8.9248515672325688</v>
      </c>
      <c r="AO26" s="165">
        <v>9.7173769125161513</v>
      </c>
      <c r="AP26" s="164">
        <v>10.508782375923495</v>
      </c>
      <c r="AQ26" s="72" t="str">
        <f t="shared" si="32"/>
        <v>35-39</v>
      </c>
      <c r="AR26" s="165">
        <v>130.84375071776253</v>
      </c>
      <c r="AS26" s="165">
        <v>143.10303166130547</v>
      </c>
      <c r="AT26" s="165">
        <v>145.7508323545951</v>
      </c>
      <c r="AU26" s="165">
        <v>161.80904970368815</v>
      </c>
      <c r="AV26" s="164">
        <v>178.15540003966933</v>
      </c>
      <c r="AW26" s="165"/>
      <c r="AX26" s="165">
        <v>127.60652595957404</v>
      </c>
      <c r="AY26" s="165">
        <v>139.56251449676819</v>
      </c>
      <c r="AZ26" s="165">
        <v>142.14475173688641</v>
      </c>
      <c r="BA26" s="165">
        <v>157.80566912987618</v>
      </c>
      <c r="BB26" s="164">
        <v>173.74761952873018</v>
      </c>
      <c r="BC26" s="165"/>
      <c r="BD26" s="165">
        <v>3.237224758188491</v>
      </c>
      <c r="BE26" s="165">
        <v>3.5405171645372788</v>
      </c>
      <c r="BF26" s="165">
        <v>3.6060806177086793</v>
      </c>
      <c r="BG26" s="165">
        <v>4.003380573811949</v>
      </c>
      <c r="BH26" s="164">
        <v>4.4077805109391317</v>
      </c>
    </row>
    <row r="27" spans="1:60">
      <c r="A27" s="72" t="str">
        <f>$A$13</f>
        <v>40-44</v>
      </c>
      <c r="B27" s="165">
        <v>109.36258023994721</v>
      </c>
      <c r="C27" s="165">
        <v>100.65735353635027</v>
      </c>
      <c r="D27" s="165">
        <v>79.894996074335893</v>
      </c>
      <c r="E27" s="165">
        <v>58.266248681924139</v>
      </c>
      <c r="F27" s="164">
        <v>44.943691641188508</v>
      </c>
      <c r="G27" s="165"/>
      <c r="H27" s="165">
        <v>37.497201603751407</v>
      </c>
      <c r="I27" s="165">
        <v>34.512468517177361</v>
      </c>
      <c r="J27" s="165">
        <v>27.393678246007219</v>
      </c>
      <c r="K27" s="165">
        <v>19.977808097422283</v>
      </c>
      <c r="L27" s="164">
        <v>15.409876741628949</v>
      </c>
      <c r="M27" s="165"/>
      <c r="N27" s="165">
        <v>71.8653786361958</v>
      </c>
      <c r="O27" s="165">
        <v>66.144885019172918</v>
      </c>
      <c r="P27" s="165">
        <v>52.501317828328666</v>
      </c>
      <c r="Q27" s="165">
        <v>38.288440584501856</v>
      </c>
      <c r="R27" s="164">
        <v>29.533814899559559</v>
      </c>
      <c r="S27" s="165"/>
      <c r="T27" s="165">
        <v>0</v>
      </c>
      <c r="U27" s="165">
        <v>0</v>
      </c>
      <c r="V27" s="165">
        <v>0</v>
      </c>
      <c r="W27" s="165">
        <v>0</v>
      </c>
      <c r="X27" s="164">
        <v>0</v>
      </c>
      <c r="Y27" s="72" t="str">
        <f>$A$13</f>
        <v>40-44</v>
      </c>
      <c r="Z27" s="165">
        <v>173.78731454334542</v>
      </c>
      <c r="AA27" s="165">
        <v>163.77527356450886</v>
      </c>
      <c r="AB27" s="165">
        <v>162.60647900072252</v>
      </c>
      <c r="AC27" s="165">
        <v>166.47427183086532</v>
      </c>
      <c r="AD27" s="164">
        <v>181.69643068872716</v>
      </c>
      <c r="AE27" s="165"/>
      <c r="AF27" s="165">
        <v>165.32689297611799</v>
      </c>
      <c r="AG27" s="165">
        <v>155.80222756557217</v>
      </c>
      <c r="AH27" s="165">
        <v>154.69035923872957</v>
      </c>
      <c r="AI27" s="165">
        <v>158.36986274844344</v>
      </c>
      <c r="AJ27" s="164">
        <v>172.85093659793318</v>
      </c>
      <c r="AK27" s="165"/>
      <c r="AL27" s="165">
        <v>8.4604215672274528</v>
      </c>
      <c r="AM27" s="165">
        <v>7.9730459989366764</v>
      </c>
      <c r="AN27" s="165">
        <v>7.9161197619929249</v>
      </c>
      <c r="AO27" s="165">
        <v>8.1044090824218635</v>
      </c>
      <c r="AP27" s="164">
        <v>8.8454940907939719</v>
      </c>
      <c r="AQ27" s="72" t="str">
        <f t="shared" si="32"/>
        <v>40-44</v>
      </c>
      <c r="AR27" s="165">
        <v>128.62610521670734</v>
      </c>
      <c r="AS27" s="165">
        <v>136.39037289914091</v>
      </c>
      <c r="AT27" s="165">
        <v>148.07052492494154</v>
      </c>
      <c r="AU27" s="165">
        <v>154.31647948721056</v>
      </c>
      <c r="AV27" s="164">
        <v>171.30987767008435</v>
      </c>
      <c r="AW27" s="165"/>
      <c r="AX27" s="165">
        <v>125.76772964125814</v>
      </c>
      <c r="AY27" s="165">
        <v>133.35947800784845</v>
      </c>
      <c r="AZ27" s="165">
        <v>144.78005921667193</v>
      </c>
      <c r="BA27" s="165">
        <v>150.88727091047099</v>
      </c>
      <c r="BB27" s="164">
        <v>167.50296624498654</v>
      </c>
      <c r="BC27" s="165"/>
      <c r="BD27" s="165">
        <v>2.8583755754492008</v>
      </c>
      <c r="BE27" s="165">
        <v>3.030894891292423</v>
      </c>
      <c r="BF27" s="165">
        <v>3.2904657082695943</v>
      </c>
      <c r="BG27" s="165">
        <v>3.4292085767395757</v>
      </c>
      <c r="BH27" s="164">
        <v>3.8069114250978413</v>
      </c>
    </row>
    <row r="28" spans="1:60">
      <c r="A28" s="72" t="str">
        <f>$A$14</f>
        <v>45-49</v>
      </c>
      <c r="B28" s="165">
        <v>133.05883203982552</v>
      </c>
      <c r="C28" s="165">
        <v>130.62922404585686</v>
      </c>
      <c r="D28" s="165">
        <v>99.593963362259984</v>
      </c>
      <c r="E28" s="165">
        <v>77.436632042573009</v>
      </c>
      <c r="F28" s="164">
        <v>59.492715137111858</v>
      </c>
      <c r="G28" s="165"/>
      <c r="H28" s="165">
        <v>45.027200591392536</v>
      </c>
      <c r="I28" s="165">
        <v>44.204981813015024</v>
      </c>
      <c r="J28" s="165">
        <v>33.702642640591492</v>
      </c>
      <c r="K28" s="165">
        <v>26.204594261379921</v>
      </c>
      <c r="L28" s="164">
        <v>20.132393786098973</v>
      </c>
      <c r="M28" s="165"/>
      <c r="N28" s="165">
        <v>88.031631448432989</v>
      </c>
      <c r="O28" s="165">
        <v>86.424242232841848</v>
      </c>
      <c r="P28" s="165">
        <v>65.891320721668478</v>
      </c>
      <c r="Q28" s="165">
        <v>51.232037781193085</v>
      </c>
      <c r="R28" s="164">
        <v>39.360321351012892</v>
      </c>
      <c r="S28" s="165"/>
      <c r="T28" s="165">
        <v>0</v>
      </c>
      <c r="U28" s="165">
        <v>0</v>
      </c>
      <c r="V28" s="165">
        <v>0</v>
      </c>
      <c r="W28" s="165">
        <v>0</v>
      </c>
      <c r="X28" s="164">
        <v>0</v>
      </c>
      <c r="Y28" s="72" t="str">
        <f>$A$14</f>
        <v>45-49</v>
      </c>
      <c r="Z28" s="165">
        <v>147.70040930140374</v>
      </c>
      <c r="AA28" s="165">
        <v>150.78309476094216</v>
      </c>
      <c r="AB28" s="165">
        <v>165.92406107867228</v>
      </c>
      <c r="AC28" s="165">
        <v>170.02775905499576</v>
      </c>
      <c r="AD28" s="164">
        <v>173.29143493241449</v>
      </c>
      <c r="AE28" s="165"/>
      <c r="AF28" s="165">
        <v>141.54694322175274</v>
      </c>
      <c r="AG28" s="165">
        <v>144.50116492117996</v>
      </c>
      <c r="AH28" s="165">
        <v>159.01136074679223</v>
      </c>
      <c r="AI28" s="165">
        <v>162.94414401206637</v>
      </c>
      <c r="AJ28" s="164">
        <v>166.07180166684751</v>
      </c>
      <c r="AK28" s="165"/>
      <c r="AL28" s="165">
        <v>6.1534660796509844</v>
      </c>
      <c r="AM28" s="165">
        <v>6.2819298397621735</v>
      </c>
      <c r="AN28" s="165">
        <v>6.9127003318800542</v>
      </c>
      <c r="AO28" s="165">
        <v>7.0836150429293721</v>
      </c>
      <c r="AP28" s="164">
        <v>7.2196332655670084</v>
      </c>
      <c r="AQ28" s="72" t="str">
        <f t="shared" si="32"/>
        <v>45-49</v>
      </c>
      <c r="AR28" s="165">
        <v>123.31275865877076</v>
      </c>
      <c r="AS28" s="165">
        <v>132.41368119320103</v>
      </c>
      <c r="AT28" s="165">
        <v>140.53797555906777</v>
      </c>
      <c r="AU28" s="165">
        <v>145.28260890243126</v>
      </c>
      <c r="AV28" s="164">
        <v>149.41884993047367</v>
      </c>
      <c r="AW28" s="165"/>
      <c r="AX28" s="165">
        <v>120.05066515719325</v>
      </c>
      <c r="AY28" s="165">
        <v>128.91090449693274</v>
      </c>
      <c r="AZ28" s="165">
        <v>136.82028565996129</v>
      </c>
      <c r="BA28" s="165">
        <v>141.4394248982336</v>
      </c>
      <c r="BB28" s="164">
        <v>145.46618310656098</v>
      </c>
      <c r="BC28" s="165"/>
      <c r="BD28" s="165">
        <v>3.2620935015775157</v>
      </c>
      <c r="BE28" s="165">
        <v>3.5027766962682798</v>
      </c>
      <c r="BF28" s="165">
        <v>3.7176898991064919</v>
      </c>
      <c r="BG28" s="165">
        <v>3.8431840041976795</v>
      </c>
      <c r="BH28" s="164">
        <v>3.952666823912681</v>
      </c>
    </row>
    <row r="29" spans="1:60">
      <c r="A29" s="72" t="str">
        <f>$A$15</f>
        <v>50-54</v>
      </c>
      <c r="B29" s="165">
        <v>142.62528866518252</v>
      </c>
      <c r="C29" s="165">
        <v>144.67879652164194</v>
      </c>
      <c r="D29" s="165">
        <v>129.89288976403338</v>
      </c>
      <c r="E29" s="165">
        <v>108.5906384249285</v>
      </c>
      <c r="F29" s="164">
        <v>88.797023806023716</v>
      </c>
      <c r="G29" s="165"/>
      <c r="H29" s="165">
        <v>58.809677206890292</v>
      </c>
      <c r="I29" s="165">
        <v>59.656444402939428</v>
      </c>
      <c r="J29" s="165">
        <v>53.559622114055813</v>
      </c>
      <c r="K29" s="165">
        <v>44.77589197427843</v>
      </c>
      <c r="L29" s="164">
        <v>36.614290916009523</v>
      </c>
      <c r="M29" s="165"/>
      <c r="N29" s="165">
        <v>83.815611458292224</v>
      </c>
      <c r="O29" s="165">
        <v>85.022352118702528</v>
      </c>
      <c r="P29" s="165">
        <v>76.333267649977572</v>
      </c>
      <c r="Q29" s="165">
        <v>63.814746450650077</v>
      </c>
      <c r="R29" s="164">
        <v>52.182732890014194</v>
      </c>
      <c r="S29" s="165"/>
      <c r="T29" s="165">
        <v>0</v>
      </c>
      <c r="U29" s="165">
        <v>0</v>
      </c>
      <c r="V29" s="165">
        <v>0</v>
      </c>
      <c r="W29" s="165">
        <v>0</v>
      </c>
      <c r="X29" s="164">
        <v>0</v>
      </c>
      <c r="Y29" s="72" t="str">
        <f>$A$15</f>
        <v>50-54</v>
      </c>
      <c r="Z29" s="165">
        <v>128.12433076039389</v>
      </c>
      <c r="AA29" s="165">
        <v>131.63132793945925</v>
      </c>
      <c r="AB29" s="165">
        <v>150.56527705284162</v>
      </c>
      <c r="AC29" s="165">
        <v>157.47681805010433</v>
      </c>
      <c r="AD29" s="164">
        <v>161.81424705237774</v>
      </c>
      <c r="AE29" s="165"/>
      <c r="AF29" s="165">
        <v>122.55278649675924</v>
      </c>
      <c r="AG29" s="165">
        <v>125.90722170135525</v>
      </c>
      <c r="AH29" s="165">
        <v>144.01786562915689</v>
      </c>
      <c r="AI29" s="165">
        <v>150.62881683229153</v>
      </c>
      <c r="AJ29" s="164">
        <v>154.77764225506792</v>
      </c>
      <c r="AK29" s="165"/>
      <c r="AL29" s="165">
        <v>5.5715442636346637</v>
      </c>
      <c r="AM29" s="165">
        <v>5.7241062381040022</v>
      </c>
      <c r="AN29" s="165">
        <v>6.5474114236847223</v>
      </c>
      <c r="AO29" s="165">
        <v>6.848001217812798</v>
      </c>
      <c r="AP29" s="164">
        <v>7.0366047973098143</v>
      </c>
      <c r="AQ29" s="72" t="str">
        <f t="shared" si="32"/>
        <v>50-54</v>
      </c>
      <c r="AR29" s="165">
        <v>99.533380574423589</v>
      </c>
      <c r="AS29" s="165">
        <v>107.85887553889877</v>
      </c>
      <c r="AT29" s="165">
        <v>131.66083318312499</v>
      </c>
      <c r="AU29" s="165">
        <v>136.99154352496717</v>
      </c>
      <c r="AV29" s="164">
        <v>140.23672914159854</v>
      </c>
      <c r="AW29" s="165"/>
      <c r="AX29" s="165">
        <v>96.536032850777929</v>
      </c>
      <c r="AY29" s="165">
        <v>104.61089167560138</v>
      </c>
      <c r="AZ29" s="165">
        <v>127.6960784524572</v>
      </c>
      <c r="BA29" s="165">
        <v>132.86627000855998</v>
      </c>
      <c r="BB29" s="164">
        <v>136.01369492085831</v>
      </c>
      <c r="BC29" s="165"/>
      <c r="BD29" s="165">
        <v>2.9973477236456505</v>
      </c>
      <c r="BE29" s="165">
        <v>3.2479838632974087</v>
      </c>
      <c r="BF29" s="165">
        <v>3.9647547306677895</v>
      </c>
      <c r="BG29" s="165">
        <v>4.1252735164071801</v>
      </c>
      <c r="BH29" s="164">
        <v>4.2230342207402218</v>
      </c>
    </row>
    <row r="30" spans="1:60">
      <c r="A30" s="72" t="str">
        <f>$A$16</f>
        <v>55-59</v>
      </c>
      <c r="B30" s="165">
        <v>142.02345355885194</v>
      </c>
      <c r="C30" s="165">
        <v>143.44952230302076</v>
      </c>
      <c r="D30" s="165">
        <v>139.14959212331905</v>
      </c>
      <c r="E30" s="165">
        <v>133.10606492478584</v>
      </c>
      <c r="F30" s="164">
        <v>109.14650779855604</v>
      </c>
      <c r="G30" s="165"/>
      <c r="H30" s="165">
        <v>65.471577847382605</v>
      </c>
      <c r="I30" s="165">
        <v>66.128938994656224</v>
      </c>
      <c r="J30" s="165">
        <v>64.146760401718026</v>
      </c>
      <c r="K30" s="165">
        <v>61.360743377948751</v>
      </c>
      <c r="L30" s="164">
        <v>50.315564885494574</v>
      </c>
      <c r="M30" s="165"/>
      <c r="N30" s="165">
        <v>76.551875711469307</v>
      </c>
      <c r="O30" s="165">
        <v>77.320583308364533</v>
      </c>
      <c r="P30" s="165">
        <v>75.002831721601012</v>
      </c>
      <c r="Q30" s="165">
        <v>71.74532154683709</v>
      </c>
      <c r="R30" s="164">
        <v>58.830942913061456</v>
      </c>
      <c r="S30" s="165"/>
      <c r="T30" s="165">
        <v>0</v>
      </c>
      <c r="U30" s="165">
        <v>0</v>
      </c>
      <c r="V30" s="165">
        <v>0</v>
      </c>
      <c r="W30" s="165">
        <v>0</v>
      </c>
      <c r="X30" s="164">
        <v>0</v>
      </c>
      <c r="Y30" s="72" t="str">
        <f>$A$16</f>
        <v>55-59</v>
      </c>
      <c r="Z30" s="165">
        <v>109.05588764571488</v>
      </c>
      <c r="AA30" s="165">
        <v>103.02668159053177</v>
      </c>
      <c r="AB30" s="165">
        <v>125.61808852626254</v>
      </c>
      <c r="AC30" s="165">
        <v>146.63086089061352</v>
      </c>
      <c r="AD30" s="164">
        <v>154.81770782548793</v>
      </c>
      <c r="AE30" s="165"/>
      <c r="AF30" s="165">
        <v>103.75944425598405</v>
      </c>
      <c r="AG30" s="165">
        <v>98.023014500202649</v>
      </c>
      <c r="AH30" s="165">
        <v>119.51727296970975</v>
      </c>
      <c r="AI30" s="165">
        <v>139.509472215926</v>
      </c>
      <c r="AJ30" s="164">
        <v>147.29874653579841</v>
      </c>
      <c r="AK30" s="165"/>
      <c r="AL30" s="165">
        <v>5.296443389730813</v>
      </c>
      <c r="AM30" s="165">
        <v>5.0036670903291043</v>
      </c>
      <c r="AN30" s="165">
        <v>6.1008155565527895</v>
      </c>
      <c r="AO30" s="165">
        <v>7.1213886746875295</v>
      </c>
      <c r="AP30" s="164">
        <v>7.5189612896894937</v>
      </c>
      <c r="AQ30" s="72" t="str">
        <f t="shared" si="32"/>
        <v>55-59</v>
      </c>
      <c r="AR30" s="165">
        <v>86.859658795433134</v>
      </c>
      <c r="AS30" s="165">
        <v>96.998796106447443</v>
      </c>
      <c r="AT30" s="165">
        <v>110.9803193504184</v>
      </c>
      <c r="AU30" s="165">
        <v>123.37107418460066</v>
      </c>
      <c r="AV30" s="164">
        <v>131.50178437595608</v>
      </c>
      <c r="AW30" s="165"/>
      <c r="AX30" s="165">
        <v>84.146035314499002</v>
      </c>
      <c r="AY30" s="165">
        <v>93.968368312463639</v>
      </c>
      <c r="AZ30" s="165">
        <v>107.5131451192468</v>
      </c>
      <c r="BA30" s="165">
        <v>119.51673817354288</v>
      </c>
      <c r="BB30" s="164">
        <v>127.3934508351265</v>
      </c>
      <c r="BC30" s="165"/>
      <c r="BD30" s="165">
        <v>2.7136234809341366</v>
      </c>
      <c r="BE30" s="165">
        <v>3.030427793983804</v>
      </c>
      <c r="BF30" s="165">
        <v>3.4671742311715938</v>
      </c>
      <c r="BG30" s="165">
        <v>3.8543360110577858</v>
      </c>
      <c r="BH30" s="164">
        <v>4.1083335408295882</v>
      </c>
    </row>
    <row r="31" spans="1:60">
      <c r="A31" s="72" t="str">
        <f>$A$17</f>
        <v>60-64</v>
      </c>
      <c r="B31" s="165">
        <v>135.20871159850742</v>
      </c>
      <c r="C31" s="165">
        <v>139.14227803640441</v>
      </c>
      <c r="D31" s="165">
        <v>130.14619876262617</v>
      </c>
      <c r="E31" s="165">
        <v>116.92965912610188</v>
      </c>
      <c r="F31" s="164">
        <v>97.821165625616288</v>
      </c>
      <c r="G31" s="165"/>
      <c r="H31" s="165">
        <v>70.289274754240722</v>
      </c>
      <c r="I31" s="165">
        <v>72.334142210216811</v>
      </c>
      <c r="J31" s="165">
        <v>67.657493952962056</v>
      </c>
      <c r="K31" s="165">
        <v>60.786778379352796</v>
      </c>
      <c r="L31" s="164">
        <v>50.853075153050249</v>
      </c>
      <c r="M31" s="165"/>
      <c r="N31" s="165">
        <v>64.919436844266713</v>
      </c>
      <c r="O31" s="165">
        <v>66.808135826187581</v>
      </c>
      <c r="P31" s="165">
        <v>62.488704809664121</v>
      </c>
      <c r="Q31" s="165">
        <v>56.142880746749078</v>
      </c>
      <c r="R31" s="164">
        <v>46.968090472566033</v>
      </c>
      <c r="S31" s="165"/>
      <c r="T31" s="165">
        <v>0</v>
      </c>
      <c r="U31" s="165">
        <v>0</v>
      </c>
      <c r="V31" s="165">
        <v>0</v>
      </c>
      <c r="W31" s="165">
        <v>0</v>
      </c>
      <c r="X31" s="164">
        <v>0</v>
      </c>
      <c r="Y31" s="72" t="str">
        <f>$A$17</f>
        <v>60-64</v>
      </c>
      <c r="Z31" s="165">
        <v>86.312916170074814</v>
      </c>
      <c r="AA31" s="165">
        <v>87.978682675397692</v>
      </c>
      <c r="AB31" s="165">
        <v>102.45961005200583</v>
      </c>
      <c r="AC31" s="165">
        <v>124.91232684164649</v>
      </c>
      <c r="AD31" s="164">
        <v>146.90533839921289</v>
      </c>
      <c r="AE31" s="165"/>
      <c r="AF31" s="165">
        <v>82.494145323393639</v>
      </c>
      <c r="AG31" s="165">
        <v>84.086253978523061</v>
      </c>
      <c r="AH31" s="165">
        <v>97.926456664959204</v>
      </c>
      <c r="AI31" s="165">
        <v>119.38584315305835</v>
      </c>
      <c r="AJ31" s="164">
        <v>140.40583035374158</v>
      </c>
      <c r="AK31" s="165"/>
      <c r="AL31" s="165">
        <v>3.8187708466811769</v>
      </c>
      <c r="AM31" s="165">
        <v>3.8924286968746324</v>
      </c>
      <c r="AN31" s="165">
        <v>4.533153387046621</v>
      </c>
      <c r="AO31" s="165">
        <v>5.5264836885881472</v>
      </c>
      <c r="AP31" s="164">
        <v>6.4995080454712904</v>
      </c>
      <c r="AQ31" s="72" t="str">
        <f t="shared" si="32"/>
        <v>60-64</v>
      </c>
      <c r="AR31" s="165">
        <v>67.855372231417789</v>
      </c>
      <c r="AS31" s="165">
        <v>83.945039288197918</v>
      </c>
      <c r="AT31" s="165">
        <v>95.468191185367971</v>
      </c>
      <c r="AU31" s="165">
        <v>119.10401403225165</v>
      </c>
      <c r="AV31" s="164">
        <v>144.11749597517081</v>
      </c>
      <c r="AW31" s="165"/>
      <c r="AX31" s="165">
        <v>65.304426563134072</v>
      </c>
      <c r="AY31" s="165">
        <v>80.789147061586561</v>
      </c>
      <c r="AZ31" s="165">
        <v>91.879108865414764</v>
      </c>
      <c r="BA31" s="165">
        <v>114.62635921396409</v>
      </c>
      <c r="BB31" s="164">
        <v>138.69950783520864</v>
      </c>
      <c r="BC31" s="165"/>
      <c r="BD31" s="165">
        <v>2.5509456682837173</v>
      </c>
      <c r="BE31" s="165">
        <v>3.1558922266113782</v>
      </c>
      <c r="BF31" s="165">
        <v>3.5890823199532207</v>
      </c>
      <c r="BG31" s="165">
        <v>4.4776548182875615</v>
      </c>
      <c r="BH31" s="164">
        <v>5.4179881399621461</v>
      </c>
    </row>
    <row r="32" spans="1:60">
      <c r="A32" s="72" t="str">
        <f>$A$18</f>
        <v>65+</v>
      </c>
      <c r="B32" s="165">
        <v>413.27348346987924</v>
      </c>
      <c r="C32" s="165">
        <v>413.22199816727857</v>
      </c>
      <c r="D32" s="165">
        <v>382.42661647142006</v>
      </c>
      <c r="E32" s="165">
        <v>344.26916975565996</v>
      </c>
      <c r="F32" s="164">
        <v>299.66486973953153</v>
      </c>
      <c r="G32" s="165"/>
      <c r="H32" s="165">
        <v>280.86103102264485</v>
      </c>
      <c r="I32" s="165">
        <v>280.82599650665259</v>
      </c>
      <c r="J32" s="165">
        <v>259.89747790143747</v>
      </c>
      <c r="K32" s="165">
        <v>233.96563126418033</v>
      </c>
      <c r="L32" s="164">
        <v>203.65250932991842</v>
      </c>
      <c r="M32" s="165"/>
      <c r="N32" s="165">
        <v>132.41245244723444</v>
      </c>
      <c r="O32" s="165">
        <v>132.39600166062604</v>
      </c>
      <c r="P32" s="165">
        <v>122.52913856998256</v>
      </c>
      <c r="Q32" s="165">
        <v>110.30353849147959</v>
      </c>
      <c r="R32" s="164">
        <v>96.012360409613152</v>
      </c>
      <c r="S32" s="165"/>
      <c r="T32" s="165">
        <v>0</v>
      </c>
      <c r="U32" s="165">
        <v>0</v>
      </c>
      <c r="V32" s="165">
        <v>0</v>
      </c>
      <c r="W32" s="165">
        <v>0</v>
      </c>
      <c r="X32" s="164">
        <v>0</v>
      </c>
      <c r="Y32" s="72" t="str">
        <f>$A$18</f>
        <v>65+</v>
      </c>
      <c r="Z32" s="165">
        <v>183.28798651698779</v>
      </c>
      <c r="AA32" s="165">
        <v>198.84833199585475</v>
      </c>
      <c r="AB32" s="165">
        <v>264.78812722486305</v>
      </c>
      <c r="AC32" s="165">
        <v>324.20846857729254</v>
      </c>
      <c r="AD32" s="164">
        <v>390.52526772257721</v>
      </c>
      <c r="AE32" s="165"/>
      <c r="AF32" s="165">
        <v>175.04417159553057</v>
      </c>
      <c r="AG32" s="165">
        <v>189.90464961003784</v>
      </c>
      <c r="AH32" s="165">
        <v>252.8787207130141</v>
      </c>
      <c r="AI32" s="165">
        <v>309.62643682093773</v>
      </c>
      <c r="AJ32" s="164">
        <v>372.96056409867555</v>
      </c>
      <c r="AK32" s="165"/>
      <c r="AL32" s="165">
        <v>8.243814921457215</v>
      </c>
      <c r="AM32" s="165">
        <v>8.9436823858169294</v>
      </c>
      <c r="AN32" s="165">
        <v>11.909406511848935</v>
      </c>
      <c r="AO32" s="165">
        <v>14.582031756354773</v>
      </c>
      <c r="AP32" s="164">
        <v>17.564703623901661</v>
      </c>
      <c r="AQ32" s="72" t="str">
        <f t="shared" si="32"/>
        <v>65+</v>
      </c>
      <c r="AR32" s="165">
        <v>164.37253001313297</v>
      </c>
      <c r="AS32" s="165">
        <v>172.14466983686671</v>
      </c>
      <c r="AT32" s="165">
        <v>232.36725630371686</v>
      </c>
      <c r="AU32" s="165">
        <v>309.43936166704759</v>
      </c>
      <c r="AV32" s="164">
        <v>407.37086253789136</v>
      </c>
      <c r="AW32" s="165"/>
      <c r="AX32" s="165">
        <v>157.65906224959758</v>
      </c>
      <c r="AY32" s="165">
        <v>165.11377610213441</v>
      </c>
      <c r="AZ32" s="165">
        <v>222.87664185404887</v>
      </c>
      <c r="BA32" s="165">
        <v>296.80092091622549</v>
      </c>
      <c r="BB32" s="164">
        <v>390.73259978076936</v>
      </c>
      <c r="BC32" s="165"/>
      <c r="BD32" s="165">
        <v>6.7134677635354318</v>
      </c>
      <c r="BE32" s="165">
        <v>7.0308937347323051</v>
      </c>
      <c r="BF32" s="165">
        <v>9.4906144496679747</v>
      </c>
      <c r="BG32" s="165">
        <v>12.63844075082217</v>
      </c>
      <c r="BH32" s="164">
        <v>16.638262757122035</v>
      </c>
    </row>
    <row r="33" spans="1:60">
      <c r="B33" s="165"/>
      <c r="C33" s="165"/>
      <c r="D33" s="165"/>
      <c r="E33" s="165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75"/>
      <c r="U33" s="75"/>
      <c r="V33" s="75"/>
      <c r="W33" s="75"/>
      <c r="X33" s="75"/>
      <c r="Z33" s="165"/>
      <c r="AA33" s="165"/>
      <c r="AB33" s="165"/>
      <c r="AC33" s="165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R33" s="165"/>
      <c r="AS33" s="165"/>
      <c r="AT33" s="165"/>
      <c r="AU33" s="165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</row>
    <row r="34" spans="1:60" ht="12.95">
      <c r="A34" s="95" t="s">
        <v>177</v>
      </c>
      <c r="B34" s="165"/>
      <c r="C34" s="165"/>
      <c r="D34" s="165"/>
      <c r="E34" s="165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75"/>
      <c r="U34" s="75"/>
      <c r="V34" s="75"/>
      <c r="W34" s="75"/>
      <c r="X34" s="75"/>
      <c r="Y34" s="95" t="str">
        <f>A34</f>
        <v>Females</v>
      </c>
      <c r="Z34" s="75"/>
      <c r="AA34" s="75"/>
      <c r="AB34" s="75"/>
      <c r="AC34" s="75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95" t="str">
        <f>A34</f>
        <v>Females</v>
      </c>
      <c r="AR34" s="75"/>
      <c r="AS34" s="75"/>
      <c r="AT34" s="75"/>
      <c r="AU34" s="75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</row>
    <row r="35" spans="1:60">
      <c r="A35" s="72" t="str">
        <f>$A$7</f>
        <v>15+</v>
      </c>
      <c r="B35" s="165">
        <f>SUM(B36:B46)</f>
        <v>1839.2166575000715</v>
      </c>
      <c r="C35" s="165">
        <f t="shared" ref="C35:F35" si="33">SUM(C36:C46)</f>
        <v>1786.0603742980511</v>
      </c>
      <c r="D35" s="165">
        <f t="shared" si="33"/>
        <v>1572.103997262989</v>
      </c>
      <c r="E35" s="165">
        <f t="shared" si="33"/>
        <v>1350.9626109662327</v>
      </c>
      <c r="F35" s="165">
        <f t="shared" si="33"/>
        <v>1143.3207917146487</v>
      </c>
      <c r="G35" s="164"/>
      <c r="H35" s="165">
        <f>SUM(H36:H46)</f>
        <v>963.2794859618532</v>
      </c>
      <c r="I35" s="165">
        <f t="shared" ref="I35:L35" si="34">SUM(I36:I46)</f>
        <v>932.67382880597597</v>
      </c>
      <c r="J35" s="165">
        <f t="shared" si="34"/>
        <v>822.41738994957336</v>
      </c>
      <c r="K35" s="165">
        <f t="shared" si="34"/>
        <v>699.51116772963974</v>
      </c>
      <c r="L35" s="165">
        <f t="shared" si="34"/>
        <v>576.46624793891874</v>
      </c>
      <c r="M35" s="164"/>
      <c r="N35" s="165">
        <f>SUM(N36:N46)</f>
        <v>875.93717153821831</v>
      </c>
      <c r="O35" s="165">
        <f t="shared" ref="O35:R35" si="35">SUM(O36:O46)</f>
        <v>853.38654549207513</v>
      </c>
      <c r="P35" s="165">
        <f t="shared" si="35"/>
        <v>749.68660731341538</v>
      </c>
      <c r="Q35" s="165">
        <f t="shared" si="35"/>
        <v>651.45144323659315</v>
      </c>
      <c r="R35" s="165">
        <f t="shared" si="35"/>
        <v>566.85454377573012</v>
      </c>
      <c r="S35" s="164"/>
      <c r="T35" s="165">
        <f>SUM(T36:T46)</f>
        <v>0</v>
      </c>
      <c r="U35" s="165">
        <f t="shared" ref="U35:X35" si="36">SUM(U36:U46)</f>
        <v>0</v>
      </c>
      <c r="V35" s="165">
        <f t="shared" si="36"/>
        <v>0</v>
      </c>
      <c r="W35" s="165">
        <f t="shared" si="36"/>
        <v>0</v>
      </c>
      <c r="X35" s="165">
        <f t="shared" si="36"/>
        <v>0</v>
      </c>
      <c r="Y35" s="72" t="str">
        <f>$A$7</f>
        <v>15+</v>
      </c>
      <c r="Z35" s="165">
        <f>SUM(Z36:Z46)</f>
        <v>1514.4894356563314</v>
      </c>
      <c r="AA35" s="165">
        <f t="shared" ref="AA35:AD35" si="37">SUM(AA36:AA46)</f>
        <v>1503.6765075089238</v>
      </c>
      <c r="AB35" s="165">
        <f t="shared" si="37"/>
        <v>1659.9026427502681</v>
      </c>
      <c r="AC35" s="165">
        <f t="shared" si="37"/>
        <v>1797.4464428451124</v>
      </c>
      <c r="AD35" s="165">
        <f t="shared" si="37"/>
        <v>1939.4301277122679</v>
      </c>
      <c r="AE35" s="165"/>
      <c r="AF35" s="165">
        <f>SUM(AF36:AF46)</f>
        <v>1427.6490102140683</v>
      </c>
      <c r="AG35" s="165">
        <f t="shared" ref="AG35:AJ35" si="38">SUM(AG36:AG46)</f>
        <v>1417.9494245743583</v>
      </c>
      <c r="AH35" s="165">
        <f t="shared" si="38"/>
        <v>1565.6898030959378</v>
      </c>
      <c r="AI35" s="165">
        <f t="shared" si="38"/>
        <v>1695.8037388732168</v>
      </c>
      <c r="AJ35" s="165">
        <f t="shared" si="38"/>
        <v>1830.7085872896366</v>
      </c>
      <c r="AK35" s="165"/>
      <c r="AL35" s="165">
        <f>SUM(AL36:AL46)</f>
        <v>86.840425442262955</v>
      </c>
      <c r="AM35" s="165">
        <f t="shared" ref="AM35:AP35" si="39">SUM(AM36:AM46)</f>
        <v>85.727082934565459</v>
      </c>
      <c r="AN35" s="165">
        <f t="shared" si="39"/>
        <v>94.212839654330281</v>
      </c>
      <c r="AO35" s="165">
        <f t="shared" si="39"/>
        <v>101.64270397189549</v>
      </c>
      <c r="AP35" s="165">
        <f t="shared" si="39"/>
        <v>108.72154042263139</v>
      </c>
      <c r="AQ35" s="72" t="str">
        <f>$A$7</f>
        <v>15+</v>
      </c>
      <c r="AR35" s="165">
        <f>SUM(AR36:AR46)</f>
        <v>1208.4819068435977</v>
      </c>
      <c r="AS35" s="165">
        <f t="shared" ref="AS35:AV35" si="40">SUM(AS36:AS46)</f>
        <v>1342.1641181930254</v>
      </c>
      <c r="AT35" s="165">
        <f t="shared" si="40"/>
        <v>1576.2403599867432</v>
      </c>
      <c r="AU35" s="165">
        <f t="shared" si="40"/>
        <v>1829.5899461886547</v>
      </c>
      <c r="AV35" s="165">
        <f t="shared" si="40"/>
        <v>2104.1100805730839</v>
      </c>
      <c r="AW35" s="165"/>
      <c r="AX35" s="165">
        <f>SUM(AX36:AX46)</f>
        <v>1195.8231128172695</v>
      </c>
      <c r="AY35" s="165">
        <f t="shared" ref="AY35:BB35" si="41">SUM(AY36:AY46)</f>
        <v>1327.9996346900398</v>
      </c>
      <c r="AZ35" s="165">
        <f t="shared" si="41"/>
        <v>1559.651180973065</v>
      </c>
      <c r="BA35" s="165">
        <f t="shared" si="41"/>
        <v>1810.1453176220125</v>
      </c>
      <c r="BB35" s="165">
        <f t="shared" si="41"/>
        <v>2081.5851755357075</v>
      </c>
      <c r="BC35" s="165"/>
      <c r="BD35" s="165">
        <f>SUM(BD36:BD46)</f>
        <v>12.658794026328057</v>
      </c>
      <c r="BE35" s="165">
        <f t="shared" ref="BE35:BH35" si="42">SUM(BE36:BE46)</f>
        <v>14.164483502985499</v>
      </c>
      <c r="BF35" s="165">
        <f t="shared" si="42"/>
        <v>16.589179013678287</v>
      </c>
      <c r="BG35" s="165">
        <f t="shared" si="42"/>
        <v>19.444628566642407</v>
      </c>
      <c r="BH35" s="165">
        <f t="shared" si="42"/>
        <v>22.524905037375824</v>
      </c>
    </row>
    <row r="36" spans="1:60">
      <c r="A36" s="72" t="str">
        <f>$A$8</f>
        <v>15-19</v>
      </c>
      <c r="B36" s="165">
        <v>235.75197725192589</v>
      </c>
      <c r="C36" s="165">
        <v>235.32459036047223</v>
      </c>
      <c r="D36" s="165">
        <v>224.52607187954138</v>
      </c>
      <c r="E36" s="165">
        <v>225.53877970723389</v>
      </c>
      <c r="F36" s="164">
        <v>243.72400964127928</v>
      </c>
      <c r="G36" s="164"/>
      <c r="H36" s="165">
        <v>48.983534945390808</v>
      </c>
      <c r="I36" s="165">
        <v>48.894690177294805</v>
      </c>
      <c r="J36" s="165">
        <v>46.651003976088816</v>
      </c>
      <c r="K36" s="165">
        <v>46.861405382749254</v>
      </c>
      <c r="L36" s="164">
        <v>50.639873799695991</v>
      </c>
      <c r="M36" s="164"/>
      <c r="N36" s="165">
        <v>186.76844230653509</v>
      </c>
      <c r="O36" s="165">
        <v>186.42990018317741</v>
      </c>
      <c r="P36" s="165">
        <v>177.87506790345256</v>
      </c>
      <c r="Q36" s="165">
        <v>178.67737432448465</v>
      </c>
      <c r="R36" s="164">
        <v>193.08413584158328</v>
      </c>
      <c r="S36" s="164"/>
      <c r="T36" s="165">
        <v>0</v>
      </c>
      <c r="U36" s="165">
        <v>0</v>
      </c>
      <c r="V36" s="165">
        <v>0</v>
      </c>
      <c r="W36" s="165">
        <v>0</v>
      </c>
      <c r="X36" s="164">
        <v>0</v>
      </c>
      <c r="Y36" s="72" t="str">
        <f>$A$8</f>
        <v>15-19</v>
      </c>
      <c r="Z36" s="165">
        <v>83.569879527684336</v>
      </c>
      <c r="AA36" s="165">
        <v>82.526656420969161</v>
      </c>
      <c r="AB36" s="165">
        <v>84.494484512367791</v>
      </c>
      <c r="AC36" s="165">
        <v>90.946079800349651</v>
      </c>
      <c r="AD36" s="164">
        <v>105.28765306859901</v>
      </c>
      <c r="AE36" s="164"/>
      <c r="AF36" s="165">
        <v>82.46118212650282</v>
      </c>
      <c r="AG36" s="165">
        <v>81.431768542600082</v>
      </c>
      <c r="AH36" s="165">
        <v>83.373443742554031</v>
      </c>
      <c r="AI36" s="165">
        <v>89.739476773593154</v>
      </c>
      <c r="AJ36" s="164">
        <v>103.89079794445267</v>
      </c>
      <c r="AK36" s="164"/>
      <c r="AL36" s="165">
        <v>1.1086974011815047</v>
      </c>
      <c r="AM36" s="165">
        <v>1.0948878783690683</v>
      </c>
      <c r="AN36" s="165">
        <v>1.1210407698137705</v>
      </c>
      <c r="AO36" s="165">
        <v>1.2066030267565</v>
      </c>
      <c r="AP36" s="164">
        <v>1.3968551241463449</v>
      </c>
      <c r="AQ36" s="72" t="str">
        <f>$A$8</f>
        <v>15-19</v>
      </c>
      <c r="AR36" s="165">
        <v>0.12314322038975159</v>
      </c>
      <c r="AS36" s="165">
        <v>0.59775321855860108</v>
      </c>
      <c r="AT36" s="165">
        <v>1.4364436080908414</v>
      </c>
      <c r="AU36" s="165">
        <v>1.4711404924164426</v>
      </c>
      <c r="AV36" s="164">
        <v>1.6223372901217372</v>
      </c>
      <c r="AW36" s="164"/>
      <c r="AX36" s="165">
        <v>0.12314322038975159</v>
      </c>
      <c r="AY36" s="165">
        <v>0.59775321855860108</v>
      </c>
      <c r="AZ36" s="165">
        <v>1.4364436080908414</v>
      </c>
      <c r="BA36" s="165">
        <v>1.4711404924164426</v>
      </c>
      <c r="BB36" s="164">
        <v>1.6223372901217372</v>
      </c>
      <c r="BC36" s="164"/>
      <c r="BD36" s="165">
        <v>0</v>
      </c>
      <c r="BE36" s="165">
        <v>0</v>
      </c>
      <c r="BF36" s="165">
        <v>0</v>
      </c>
      <c r="BG36" s="165">
        <v>0</v>
      </c>
      <c r="BH36" s="164">
        <v>0</v>
      </c>
    </row>
    <row r="37" spans="1:60">
      <c r="A37" s="72" t="str">
        <f>$A$9</f>
        <v>20-24</v>
      </c>
      <c r="B37" s="165">
        <v>51.28667688291447</v>
      </c>
      <c r="C37" s="165">
        <v>50.325615142463022</v>
      </c>
      <c r="D37" s="165">
        <v>41.617556806647421</v>
      </c>
      <c r="E37" s="165">
        <v>36.381749805465141</v>
      </c>
      <c r="F37" s="164">
        <v>33.131944227953063</v>
      </c>
      <c r="G37" s="164"/>
      <c r="H37" s="165">
        <v>18.958252611047016</v>
      </c>
      <c r="I37" s="165">
        <v>18.60303815545123</v>
      </c>
      <c r="J37" s="165">
        <v>15.38403685205089</v>
      </c>
      <c r="K37" s="165">
        <v>13.448615257113641</v>
      </c>
      <c r="L37" s="164">
        <v>12.247310379881396</v>
      </c>
      <c r="M37" s="164"/>
      <c r="N37" s="165">
        <v>32.328424271867455</v>
      </c>
      <c r="O37" s="165">
        <v>31.722576987011788</v>
      </c>
      <c r="P37" s="165">
        <v>26.233519954596538</v>
      </c>
      <c r="Q37" s="165">
        <v>22.9331345483515</v>
      </c>
      <c r="R37" s="164">
        <v>20.884633848071665</v>
      </c>
      <c r="S37" s="164"/>
      <c r="T37" s="165">
        <v>0</v>
      </c>
      <c r="U37" s="165">
        <v>0</v>
      </c>
      <c r="V37" s="165">
        <v>0</v>
      </c>
      <c r="W37" s="165">
        <v>0</v>
      </c>
      <c r="X37" s="164">
        <v>0</v>
      </c>
      <c r="Y37" s="72" t="str">
        <f>$A$9</f>
        <v>20-24</v>
      </c>
      <c r="Z37" s="165">
        <v>179.47599670013653</v>
      </c>
      <c r="AA37" s="165">
        <v>187.56758244877105</v>
      </c>
      <c r="AB37" s="165">
        <v>195.70388276755187</v>
      </c>
      <c r="AC37" s="165">
        <v>186.34405047249078</v>
      </c>
      <c r="AD37" s="164">
        <v>185.01228504909878</v>
      </c>
      <c r="AE37" s="164"/>
      <c r="AF37" s="165">
        <v>169.79137146665974</v>
      </c>
      <c r="AG37" s="165">
        <v>177.44629400726811</v>
      </c>
      <c r="AH37" s="165">
        <v>185.14356605643363</v>
      </c>
      <c r="AI37" s="165">
        <v>176.28878253096943</v>
      </c>
      <c r="AJ37" s="164">
        <v>175.02885632439069</v>
      </c>
      <c r="AK37" s="164"/>
      <c r="AL37" s="165">
        <v>9.6846252334768117</v>
      </c>
      <c r="AM37" s="165">
        <v>10.121288441502955</v>
      </c>
      <c r="AN37" s="165">
        <v>10.560316711118229</v>
      </c>
      <c r="AO37" s="165">
        <v>10.055267941521366</v>
      </c>
      <c r="AP37" s="164">
        <v>9.9834287247081175</v>
      </c>
      <c r="AQ37" s="72" t="str">
        <f>$A$9</f>
        <v>20-24</v>
      </c>
      <c r="AR37" s="165">
        <v>88.329326416949002</v>
      </c>
      <c r="AS37" s="165">
        <v>91.282802408765903</v>
      </c>
      <c r="AT37" s="165">
        <v>110.63256042580073</v>
      </c>
      <c r="AU37" s="165">
        <v>118.86519972204405</v>
      </c>
      <c r="AV37" s="164">
        <v>132.58977072294817</v>
      </c>
      <c r="AW37" s="164"/>
      <c r="AX37" s="165">
        <v>88.165028914454396</v>
      </c>
      <c r="AY37" s="165">
        <v>91.112930485790656</v>
      </c>
      <c r="AZ37" s="165">
        <v>110.42669182995489</v>
      </c>
      <c r="BA37" s="165">
        <v>118.644032109338</v>
      </c>
      <c r="BB37" s="164">
        <v>132.3431042203359</v>
      </c>
      <c r="BC37" s="164"/>
      <c r="BD37" s="165">
        <v>0.16429750249460409</v>
      </c>
      <c r="BE37" s="165">
        <v>0.16987192297524076</v>
      </c>
      <c r="BF37" s="165">
        <v>0.2058685958458471</v>
      </c>
      <c r="BG37" s="165">
        <v>0.2211676127060439</v>
      </c>
      <c r="BH37" s="164">
        <v>0.2466665026122716</v>
      </c>
    </row>
    <row r="38" spans="1:60">
      <c r="A38" s="72" t="str">
        <f>$A$10</f>
        <v>25-29</v>
      </c>
      <c r="B38" s="165">
        <v>48.980336910061595</v>
      </c>
      <c r="C38" s="165">
        <v>58.029393144137778</v>
      </c>
      <c r="D38" s="165">
        <v>51.776100367683391</v>
      </c>
      <c r="E38" s="165">
        <v>49.053973946460331</v>
      </c>
      <c r="F38" s="164">
        <v>43.531243964596278</v>
      </c>
      <c r="G38" s="164"/>
      <c r="H38" s="165">
        <v>18.23204899869749</v>
      </c>
      <c r="I38" s="165">
        <v>21.600341017225613</v>
      </c>
      <c r="J38" s="165">
        <v>19.272660294510747</v>
      </c>
      <c r="K38" s="165">
        <v>18.259465614997644</v>
      </c>
      <c r="L38" s="164">
        <v>16.203686177787539</v>
      </c>
      <c r="M38" s="164"/>
      <c r="N38" s="165">
        <v>30.748287911364105</v>
      </c>
      <c r="O38" s="165">
        <v>36.429052126912168</v>
      </c>
      <c r="P38" s="165">
        <v>32.503440073172648</v>
      </c>
      <c r="Q38" s="165">
        <v>30.794508331462694</v>
      </c>
      <c r="R38" s="164">
        <v>27.32755778680874</v>
      </c>
      <c r="S38" s="164"/>
      <c r="T38" s="165">
        <v>0</v>
      </c>
      <c r="U38" s="165">
        <v>0</v>
      </c>
      <c r="V38" s="165">
        <v>0</v>
      </c>
      <c r="W38" s="165">
        <v>0</v>
      </c>
      <c r="X38" s="164">
        <v>0</v>
      </c>
      <c r="Y38" s="72" t="str">
        <f>$A$10</f>
        <v>25-29</v>
      </c>
      <c r="Z38" s="165">
        <v>127.78718872779281</v>
      </c>
      <c r="AA38" s="165">
        <v>119.37410820126239</v>
      </c>
      <c r="AB38" s="165">
        <v>118.02109899531821</v>
      </c>
      <c r="AC38" s="165">
        <v>118.58410734575391</v>
      </c>
      <c r="AD38" s="164">
        <v>111.69989644356696</v>
      </c>
      <c r="AE38" s="164"/>
      <c r="AF38" s="165">
        <v>117.06434284916277</v>
      </c>
      <c r="AG38" s="165">
        <v>109.35717668619014</v>
      </c>
      <c r="AH38" s="165">
        <v>108.11773722560081</v>
      </c>
      <c r="AI38" s="165">
        <v>108.63342670868553</v>
      </c>
      <c r="AJ38" s="164">
        <v>102.3269079217695</v>
      </c>
      <c r="AK38" s="164"/>
      <c r="AL38" s="165">
        <v>10.722845878630038</v>
      </c>
      <c r="AM38" s="165">
        <v>10.01693151507223</v>
      </c>
      <c r="AN38" s="165">
        <v>9.9033617697174048</v>
      </c>
      <c r="AO38" s="165">
        <v>9.9506806370683663</v>
      </c>
      <c r="AP38" s="164">
        <v>9.3729885217974456</v>
      </c>
      <c r="AQ38" s="72" t="str">
        <f>$A$10</f>
        <v>25-29</v>
      </c>
      <c r="AR38" s="165">
        <v>165.48947436214561</v>
      </c>
      <c r="AS38" s="165">
        <v>169.04449865459986</v>
      </c>
      <c r="AT38" s="165">
        <v>192.77780063699839</v>
      </c>
      <c r="AU38" s="165">
        <v>214.16091870778578</v>
      </c>
      <c r="AV38" s="164">
        <v>222.34985959183678</v>
      </c>
      <c r="AW38" s="164"/>
      <c r="AX38" s="165">
        <v>163.99516578961072</v>
      </c>
      <c r="AY38" s="165">
        <v>167.51816718569009</v>
      </c>
      <c r="AZ38" s="165">
        <v>191.03715957991898</v>
      </c>
      <c r="BA38" s="165">
        <v>212.22723208261212</v>
      </c>
      <c r="BB38" s="164">
        <v>220.34220948065195</v>
      </c>
      <c r="BC38" s="164"/>
      <c r="BD38" s="165">
        <v>1.4943085725348841</v>
      </c>
      <c r="BE38" s="165">
        <v>1.526331468909754</v>
      </c>
      <c r="BF38" s="165">
        <v>1.740641057079428</v>
      </c>
      <c r="BG38" s="165">
        <v>1.9336866251736855</v>
      </c>
      <c r="BH38" s="164">
        <v>2.0076501111848128</v>
      </c>
    </row>
    <row r="39" spans="1:60">
      <c r="A39" s="72" t="str">
        <f>$A$11</f>
        <v>30-34</v>
      </c>
      <c r="B39" s="165">
        <v>48.351616200732686</v>
      </c>
      <c r="C39" s="165">
        <v>54.81450484456311</v>
      </c>
      <c r="D39" s="165">
        <v>52.150998553698685</v>
      </c>
      <c r="E39" s="165">
        <v>48.164476439532713</v>
      </c>
      <c r="F39" s="164">
        <v>40.226027639053598</v>
      </c>
      <c r="G39" s="164"/>
      <c r="H39" s="165">
        <v>20.247488689226163</v>
      </c>
      <c r="I39" s="165">
        <v>22.95380254002168</v>
      </c>
      <c r="J39" s="165">
        <v>21.838502656747391</v>
      </c>
      <c r="K39" s="165">
        <v>20.169083304063328</v>
      </c>
      <c r="L39" s="164">
        <v>16.844826452036404</v>
      </c>
      <c r="M39" s="164"/>
      <c r="N39" s="165">
        <v>28.104127511506523</v>
      </c>
      <c r="O39" s="165">
        <v>31.86070230454143</v>
      </c>
      <c r="P39" s="165">
        <v>30.312495896951297</v>
      </c>
      <c r="Q39" s="165">
        <v>27.995393135469385</v>
      </c>
      <c r="R39" s="164">
        <v>23.381201187017187</v>
      </c>
      <c r="S39" s="164"/>
      <c r="T39" s="165">
        <v>0</v>
      </c>
      <c r="U39" s="165">
        <v>0</v>
      </c>
      <c r="V39" s="165">
        <v>0</v>
      </c>
      <c r="W39" s="165">
        <v>0</v>
      </c>
      <c r="X39" s="164">
        <v>0</v>
      </c>
      <c r="Y39" s="72" t="str">
        <f>$A$11</f>
        <v>30-34</v>
      </c>
      <c r="Z39" s="165">
        <v>126.59052603481021</v>
      </c>
      <c r="AA39" s="165">
        <v>118.76404254564063</v>
      </c>
      <c r="AB39" s="165">
        <v>124.03995863874285</v>
      </c>
      <c r="AC39" s="165">
        <v>123.84674741528471</v>
      </c>
      <c r="AD39" s="164">
        <v>125.93134426917472</v>
      </c>
      <c r="AE39" s="164"/>
      <c r="AF39" s="165">
        <v>116.68034085440465</v>
      </c>
      <c r="AG39" s="165">
        <v>109.46652247600598</v>
      </c>
      <c r="AH39" s="165">
        <v>114.32946398888731</v>
      </c>
      <c r="AI39" s="165">
        <v>114.15134413116714</v>
      </c>
      <c r="AJ39" s="164">
        <v>116.0727553396063</v>
      </c>
      <c r="AK39" s="164"/>
      <c r="AL39" s="165">
        <v>9.9101851804055663</v>
      </c>
      <c r="AM39" s="165">
        <v>9.2975200696346505</v>
      </c>
      <c r="AN39" s="165">
        <v>9.7104946498555318</v>
      </c>
      <c r="AO39" s="165">
        <v>9.6954032841175852</v>
      </c>
      <c r="AP39" s="164">
        <v>9.8585889295684215</v>
      </c>
      <c r="AQ39" s="72" t="str">
        <f>$A$11</f>
        <v>30-34</v>
      </c>
      <c r="AR39" s="165">
        <v>165.33285776445709</v>
      </c>
      <c r="AS39" s="165">
        <v>173.27745260979628</v>
      </c>
      <c r="AT39" s="165">
        <v>193.84104280755847</v>
      </c>
      <c r="AU39" s="165">
        <v>212.88877614518256</v>
      </c>
      <c r="AV39" s="164">
        <v>239.55062809177167</v>
      </c>
      <c r="AW39" s="164"/>
      <c r="AX39" s="165">
        <v>163.54698646509576</v>
      </c>
      <c r="AY39" s="165">
        <v>171.40581210762247</v>
      </c>
      <c r="AZ39" s="165">
        <v>191.74726433199922</v>
      </c>
      <c r="BA39" s="165">
        <v>210.58921239342598</v>
      </c>
      <c r="BB39" s="164">
        <v>236.96312770820174</v>
      </c>
      <c r="BC39" s="164"/>
      <c r="BD39" s="165">
        <v>1.785871299361329</v>
      </c>
      <c r="BE39" s="165">
        <v>1.8716405021737883</v>
      </c>
      <c r="BF39" s="165">
        <v>2.0937784755592417</v>
      </c>
      <c r="BG39" s="165">
        <v>2.2995637517565553</v>
      </c>
      <c r="BH39" s="164">
        <v>2.587500383569969</v>
      </c>
    </row>
    <row r="40" spans="1:60">
      <c r="A40" s="72" t="str">
        <f>$A$12</f>
        <v>35-39</v>
      </c>
      <c r="B40" s="165">
        <v>72.542037614782771</v>
      </c>
      <c r="C40" s="165">
        <v>65.06766726540738</v>
      </c>
      <c r="D40" s="165">
        <v>54.766784806672291</v>
      </c>
      <c r="E40" s="165">
        <v>45.523587094052431</v>
      </c>
      <c r="F40" s="164">
        <v>34.291330085724873</v>
      </c>
      <c r="G40" s="164"/>
      <c r="H40" s="165">
        <v>28.179422220811407</v>
      </c>
      <c r="I40" s="165">
        <v>25.275934699382731</v>
      </c>
      <c r="J40" s="165">
        <v>21.27450416950764</v>
      </c>
      <c r="K40" s="165">
        <v>17.683894029231208</v>
      </c>
      <c r="L40" s="164">
        <v>13.320662566860962</v>
      </c>
      <c r="M40" s="164"/>
      <c r="N40" s="165">
        <v>44.362615393971375</v>
      </c>
      <c r="O40" s="165">
        <v>39.791732566024642</v>
      </c>
      <c r="P40" s="165">
        <v>33.492280637164654</v>
      </c>
      <c r="Q40" s="165">
        <v>27.839693064821223</v>
      </c>
      <c r="R40" s="164">
        <v>20.97066751886392</v>
      </c>
      <c r="S40" s="164"/>
      <c r="T40" s="165">
        <v>0</v>
      </c>
      <c r="U40" s="165">
        <v>0</v>
      </c>
      <c r="V40" s="165">
        <v>0</v>
      </c>
      <c r="W40" s="165">
        <v>0</v>
      </c>
      <c r="X40" s="164">
        <v>0</v>
      </c>
      <c r="Y40" s="72" t="str">
        <f>$A$12</f>
        <v>35-39</v>
      </c>
      <c r="Z40" s="165">
        <v>150.0126567417164</v>
      </c>
      <c r="AA40" s="165">
        <v>135.68236231505094</v>
      </c>
      <c r="AB40" s="165">
        <v>124.7291826751361</v>
      </c>
      <c r="AC40" s="165">
        <v>129.47197272823703</v>
      </c>
      <c r="AD40" s="164">
        <v>133.15322905166937</v>
      </c>
      <c r="AE40" s="164"/>
      <c r="AF40" s="165">
        <v>140.37576984147361</v>
      </c>
      <c r="AG40" s="165">
        <v>126.96602473402704</v>
      </c>
      <c r="AH40" s="165">
        <v>116.71649206662644</v>
      </c>
      <c r="AI40" s="165">
        <v>121.15460882835858</v>
      </c>
      <c r="AJ40" s="164">
        <v>124.59942116921782</v>
      </c>
      <c r="AK40" s="164"/>
      <c r="AL40" s="165">
        <v>9.6368869002428053</v>
      </c>
      <c r="AM40" s="165">
        <v>8.7163375810238843</v>
      </c>
      <c r="AN40" s="165">
        <v>8.0126906085096579</v>
      </c>
      <c r="AO40" s="165">
        <v>8.3173638998784618</v>
      </c>
      <c r="AP40" s="164">
        <v>8.5538078824515384</v>
      </c>
      <c r="AQ40" s="72" t="str">
        <f>$A$12</f>
        <v>35-39</v>
      </c>
      <c r="AR40" s="165">
        <v>154.06830564350082</v>
      </c>
      <c r="AS40" s="165">
        <v>168.96597041954166</v>
      </c>
      <c r="AT40" s="165">
        <v>183.46103251819156</v>
      </c>
      <c r="AU40" s="165">
        <v>208.70844017771051</v>
      </c>
      <c r="AV40" s="164">
        <v>232.21144086260571</v>
      </c>
      <c r="AW40" s="164"/>
      <c r="AX40" s="165">
        <v>152.29837009196677</v>
      </c>
      <c r="AY40" s="165">
        <v>167.02491938857551</v>
      </c>
      <c r="AZ40" s="165">
        <v>181.35346640367695</v>
      </c>
      <c r="BA40" s="165">
        <v>206.31083395767615</v>
      </c>
      <c r="BB40" s="164">
        <v>229.54383629553598</v>
      </c>
      <c r="BC40" s="164"/>
      <c r="BD40" s="165">
        <v>1.7699355515340602</v>
      </c>
      <c r="BE40" s="165">
        <v>1.9410510309661682</v>
      </c>
      <c r="BF40" s="165">
        <v>2.1075661145145714</v>
      </c>
      <c r="BG40" s="165">
        <v>2.3976062200343793</v>
      </c>
      <c r="BH40" s="164">
        <v>2.6676045670697208</v>
      </c>
    </row>
    <row r="41" spans="1:60">
      <c r="A41" s="72" t="str">
        <f>$A$13</f>
        <v>40-44</v>
      </c>
      <c r="B41" s="165">
        <v>95.592148824351668</v>
      </c>
      <c r="C41" s="165">
        <v>82.616320455715311</v>
      </c>
      <c r="D41" s="165">
        <v>65.715939292358911</v>
      </c>
      <c r="E41" s="165">
        <v>45.625343125830476</v>
      </c>
      <c r="F41" s="164">
        <v>32.319365015981639</v>
      </c>
      <c r="G41" s="164"/>
      <c r="H41" s="165">
        <v>37.546766551729547</v>
      </c>
      <c r="I41" s="165">
        <v>32.450059589071273</v>
      </c>
      <c r="J41" s="165">
        <v>25.811957711373253</v>
      </c>
      <c r="K41" s="165">
        <v>17.920731648709907</v>
      </c>
      <c r="L41" s="164">
        <v>12.694407857730498</v>
      </c>
      <c r="M41" s="164"/>
      <c r="N41" s="165">
        <v>58.045382272622113</v>
      </c>
      <c r="O41" s="165">
        <v>50.166260866644031</v>
      </c>
      <c r="P41" s="165">
        <v>39.903981580985658</v>
      </c>
      <c r="Q41" s="165">
        <v>27.704611477120565</v>
      </c>
      <c r="R41" s="164">
        <v>19.624957158251146</v>
      </c>
      <c r="S41" s="164"/>
      <c r="T41" s="165">
        <v>0</v>
      </c>
      <c r="U41" s="165">
        <v>0</v>
      </c>
      <c r="V41" s="165">
        <v>0</v>
      </c>
      <c r="W41" s="165">
        <v>0</v>
      </c>
      <c r="X41" s="164">
        <v>0</v>
      </c>
      <c r="Y41" s="72" t="str">
        <f>$A$13</f>
        <v>40-44</v>
      </c>
      <c r="Z41" s="165">
        <v>162.09391868766315</v>
      </c>
      <c r="AA41" s="165">
        <v>149.15249146976197</v>
      </c>
      <c r="AB41" s="165">
        <v>139.74715456529819</v>
      </c>
      <c r="AC41" s="165">
        <v>140.1664801116975</v>
      </c>
      <c r="AD41" s="164">
        <v>150.93061003653065</v>
      </c>
      <c r="AE41" s="164"/>
      <c r="AF41" s="165">
        <v>153.25080642376565</v>
      </c>
      <c r="AG41" s="165">
        <v>141.01546291821501</v>
      </c>
      <c r="AH41" s="165">
        <v>132.12323273689802</v>
      </c>
      <c r="AI41" s="165">
        <v>132.51964992616811</v>
      </c>
      <c r="AJ41" s="164">
        <v>142.69650407013222</v>
      </c>
      <c r="AK41" s="164"/>
      <c r="AL41" s="165">
        <v>8.8431122638974973</v>
      </c>
      <c r="AM41" s="165">
        <v>8.1370285515469902</v>
      </c>
      <c r="AN41" s="165">
        <v>7.6239218284001815</v>
      </c>
      <c r="AO41" s="165">
        <v>7.6468301855293674</v>
      </c>
      <c r="AP41" s="164">
        <v>8.2341059663984471</v>
      </c>
      <c r="AQ41" s="72" t="str">
        <f>$A$13</f>
        <v>40-44</v>
      </c>
      <c r="AR41" s="165">
        <v>142.30393248798518</v>
      </c>
      <c r="AS41" s="165">
        <v>157.16218807452273</v>
      </c>
      <c r="AT41" s="165">
        <v>174.12990614234292</v>
      </c>
      <c r="AU41" s="165">
        <v>185.34617676247206</v>
      </c>
      <c r="AV41" s="164">
        <v>209.35902494748774</v>
      </c>
      <c r="AW41" s="164"/>
      <c r="AX41" s="165">
        <v>140.61932188279332</v>
      </c>
      <c r="AY41" s="165">
        <v>155.30162565099377</v>
      </c>
      <c r="AZ41" s="165">
        <v>172.06854465783039</v>
      </c>
      <c r="BA41" s="165">
        <v>183.15203689418161</v>
      </c>
      <c r="BB41" s="164">
        <v>206.8805346793352</v>
      </c>
      <c r="BC41" s="164"/>
      <c r="BD41" s="165">
        <v>1.6846106051918688</v>
      </c>
      <c r="BE41" s="165">
        <v>1.8605624235289417</v>
      </c>
      <c r="BF41" s="165">
        <v>2.061361484512561</v>
      </c>
      <c r="BG41" s="165">
        <v>2.1941398682904496</v>
      </c>
      <c r="BH41" s="164">
        <v>2.4784902681525449</v>
      </c>
    </row>
    <row r="42" spans="1:60">
      <c r="A42" s="72" t="str">
        <f>$A$14</f>
        <v>45-49</v>
      </c>
      <c r="B42" s="165">
        <v>121.60001747416324</v>
      </c>
      <c r="C42" s="165">
        <v>119.25515350242472</v>
      </c>
      <c r="D42" s="165">
        <v>78.884619183002073</v>
      </c>
      <c r="E42" s="165">
        <v>54.824500970236151</v>
      </c>
      <c r="F42" s="164">
        <v>37.259131610277123</v>
      </c>
      <c r="G42" s="164"/>
      <c r="H42" s="165">
        <v>52.054388742127969</v>
      </c>
      <c r="I42" s="165">
        <v>51.050559464587302</v>
      </c>
      <c r="J42" s="165">
        <v>33.768780739827292</v>
      </c>
      <c r="K42" s="165">
        <v>23.469200966687755</v>
      </c>
      <c r="L42" s="164">
        <v>15.949827829172355</v>
      </c>
      <c r="M42" s="164"/>
      <c r="N42" s="165">
        <v>69.545628732035269</v>
      </c>
      <c r="O42" s="165">
        <v>68.20459403783741</v>
      </c>
      <c r="P42" s="165">
        <v>45.115838443174781</v>
      </c>
      <c r="Q42" s="165">
        <v>31.355300003548397</v>
      </c>
      <c r="R42" s="164">
        <v>21.309303781104767</v>
      </c>
      <c r="S42" s="164"/>
      <c r="T42" s="165">
        <v>0</v>
      </c>
      <c r="U42" s="165">
        <v>0</v>
      </c>
      <c r="V42" s="165">
        <v>0</v>
      </c>
      <c r="W42" s="165">
        <v>0</v>
      </c>
      <c r="X42" s="164">
        <v>0</v>
      </c>
      <c r="Y42" s="72" t="str">
        <f>$A$14</f>
        <v>45-49</v>
      </c>
      <c r="Z42" s="165">
        <v>149.19037176042775</v>
      </c>
      <c r="AA42" s="165">
        <v>147.02780307619315</v>
      </c>
      <c r="AB42" s="165">
        <v>157.07832682690201</v>
      </c>
      <c r="AC42" s="165">
        <v>161.18355055313589</v>
      </c>
      <c r="AD42" s="164">
        <v>163.5645829534713</v>
      </c>
      <c r="AE42" s="164"/>
      <c r="AF42" s="165">
        <v>141.73208428692129</v>
      </c>
      <c r="AG42" s="165">
        <v>139.67761552454377</v>
      </c>
      <c r="AH42" s="165">
        <v>149.22576147745451</v>
      </c>
      <c r="AI42" s="165">
        <v>153.12567731056208</v>
      </c>
      <c r="AJ42" s="164">
        <v>155.38774863532086</v>
      </c>
      <c r="AK42" s="164"/>
      <c r="AL42" s="165">
        <v>7.4582874735064566</v>
      </c>
      <c r="AM42" s="165">
        <v>7.350187551649368</v>
      </c>
      <c r="AN42" s="165">
        <v>7.852565349447544</v>
      </c>
      <c r="AO42" s="165">
        <v>8.0578732425738266</v>
      </c>
      <c r="AP42" s="164">
        <v>8.1768343181504513</v>
      </c>
      <c r="AQ42" s="72" t="str">
        <f>$A$14</f>
        <v>45-49</v>
      </c>
      <c r="AR42" s="165">
        <v>127.15261076540904</v>
      </c>
      <c r="AS42" s="165">
        <v>139.95804342138214</v>
      </c>
      <c r="AT42" s="165">
        <v>158.0250539900959</v>
      </c>
      <c r="AU42" s="165">
        <v>167.70994847662797</v>
      </c>
      <c r="AV42" s="164">
        <v>175.15628543625161</v>
      </c>
      <c r="AW42" s="164"/>
      <c r="AX42" s="165">
        <v>125.59964483820595</v>
      </c>
      <c r="AY42" s="165">
        <v>138.24869825890119</v>
      </c>
      <c r="AZ42" s="165">
        <v>156.09507742676459</v>
      </c>
      <c r="BA42" s="165">
        <v>165.66165535163051</v>
      </c>
      <c r="BB42" s="164">
        <v>173.01706017357083</v>
      </c>
      <c r="BC42" s="164"/>
      <c r="BD42" s="165">
        <v>1.5529659272030856</v>
      </c>
      <c r="BE42" s="165">
        <v>1.7093451624809444</v>
      </c>
      <c r="BF42" s="165">
        <v>1.9299765633313342</v>
      </c>
      <c r="BG42" s="165">
        <v>2.0482931249974619</v>
      </c>
      <c r="BH42" s="164">
        <v>2.1392252626807844</v>
      </c>
    </row>
    <row r="43" spans="1:60">
      <c r="A43" s="72" t="str">
        <f>$A$15</f>
        <v>50-54</v>
      </c>
      <c r="B43" s="165">
        <v>151.76046321416865</v>
      </c>
      <c r="C43" s="165">
        <v>142.31942173288223</v>
      </c>
      <c r="D43" s="165">
        <v>119.93293116047923</v>
      </c>
      <c r="E43" s="165">
        <v>88.171156371964599</v>
      </c>
      <c r="F43" s="164">
        <v>63.180524219714144</v>
      </c>
      <c r="G43" s="164"/>
      <c r="H43" s="165">
        <v>72.199699301024509</v>
      </c>
      <c r="I43" s="165">
        <v>67.708117557824508</v>
      </c>
      <c r="J43" s="165">
        <v>57.057834143300127</v>
      </c>
      <c r="K43" s="165">
        <v>41.9472270479773</v>
      </c>
      <c r="L43" s="164">
        <v>30.058003326770649</v>
      </c>
      <c r="M43" s="164"/>
      <c r="N43" s="165">
        <v>79.560763913144157</v>
      </c>
      <c r="O43" s="165">
        <v>74.611304175057768</v>
      </c>
      <c r="P43" s="165">
        <v>62.875097017179108</v>
      </c>
      <c r="Q43" s="165">
        <v>46.223929323987292</v>
      </c>
      <c r="R43" s="164">
        <v>33.122520892943498</v>
      </c>
      <c r="S43" s="164"/>
      <c r="T43" s="165">
        <v>0</v>
      </c>
      <c r="U43" s="165">
        <v>0</v>
      </c>
      <c r="V43" s="165">
        <v>0</v>
      </c>
      <c r="W43" s="165">
        <v>0</v>
      </c>
      <c r="X43" s="164">
        <v>0</v>
      </c>
      <c r="Y43" s="72" t="str">
        <f>$A$15</f>
        <v>50-54</v>
      </c>
      <c r="Z43" s="165">
        <v>124.24614829379526</v>
      </c>
      <c r="AA43" s="165">
        <v>130.25908800461309</v>
      </c>
      <c r="AB43" s="165">
        <v>149.14503167899258</v>
      </c>
      <c r="AC43" s="165">
        <v>157.9913676435533</v>
      </c>
      <c r="AD43" s="164">
        <v>164.67380902817911</v>
      </c>
      <c r="AE43" s="164"/>
      <c r="AF43" s="165">
        <v>117.87817168097233</v>
      </c>
      <c r="AG43" s="165">
        <v>123.5828772613132</v>
      </c>
      <c r="AH43" s="165">
        <v>141.50083699823233</v>
      </c>
      <c r="AI43" s="165">
        <v>149.89384905562815</v>
      </c>
      <c r="AJ43" s="164">
        <v>156.23374286788874</v>
      </c>
      <c r="AK43" s="164"/>
      <c r="AL43" s="165">
        <v>6.3679766128229192</v>
      </c>
      <c r="AM43" s="165">
        <v>6.6762107432998921</v>
      </c>
      <c r="AN43" s="165">
        <v>7.6441946807602736</v>
      </c>
      <c r="AO43" s="165">
        <v>8.0975185879251441</v>
      </c>
      <c r="AP43" s="164">
        <v>8.4400661602903408</v>
      </c>
      <c r="AQ43" s="72" t="str">
        <f>$A$15</f>
        <v>50-54</v>
      </c>
      <c r="AR43" s="165">
        <v>92.988388492036123</v>
      </c>
      <c r="AS43" s="165">
        <v>110.77949026250468</v>
      </c>
      <c r="AT43" s="165">
        <v>137.77303716052822</v>
      </c>
      <c r="AU43" s="165">
        <v>148.29147598448213</v>
      </c>
      <c r="AV43" s="164">
        <v>157.07466675210676</v>
      </c>
      <c r="AW43" s="164"/>
      <c r="AX43" s="165">
        <v>92.202593366663635</v>
      </c>
      <c r="AY43" s="165">
        <v>109.84331382664183</v>
      </c>
      <c r="AZ43" s="165">
        <v>136.60872759410435</v>
      </c>
      <c r="BA43" s="165">
        <v>147.03823447333156</v>
      </c>
      <c r="BB43" s="164">
        <v>155.74724028806634</v>
      </c>
      <c r="BC43" s="164"/>
      <c r="BD43" s="165">
        <v>0.78579512537246932</v>
      </c>
      <c r="BE43" s="165">
        <v>0.93617643586283261</v>
      </c>
      <c r="BF43" s="165">
        <v>1.1643095664238496</v>
      </c>
      <c r="BG43" s="165">
        <v>1.2532415111505675</v>
      </c>
      <c r="BH43" s="164">
        <v>1.3274264640404241</v>
      </c>
    </row>
    <row r="44" spans="1:60">
      <c r="A44" s="72" t="str">
        <f>$A$16</f>
        <v>55-59</v>
      </c>
      <c r="B44" s="165">
        <v>164.06581424258854</v>
      </c>
      <c r="C44" s="165">
        <v>150.69890471648134</v>
      </c>
      <c r="D44" s="165">
        <v>139.62009278798115</v>
      </c>
      <c r="E44" s="165">
        <v>115.66738771483223</v>
      </c>
      <c r="F44" s="164">
        <v>84.578879253283077</v>
      </c>
      <c r="G44" s="164"/>
      <c r="H44" s="165">
        <v>83.472280270866776</v>
      </c>
      <c r="I44" s="165">
        <v>76.671543299949803</v>
      </c>
      <c r="J44" s="165">
        <v>71.034930306068375</v>
      </c>
      <c r="K44" s="165">
        <v>58.848447605981825</v>
      </c>
      <c r="L44" s="164">
        <v>43.031510173276651</v>
      </c>
      <c r="M44" s="164"/>
      <c r="N44" s="165">
        <v>80.593533971721769</v>
      </c>
      <c r="O44" s="165">
        <v>74.027361416531534</v>
      </c>
      <c r="P44" s="165">
        <v>68.585162481912789</v>
      </c>
      <c r="Q44" s="165">
        <v>56.818940108850398</v>
      </c>
      <c r="R44" s="164">
        <v>41.547369080006419</v>
      </c>
      <c r="S44" s="164"/>
      <c r="T44" s="165">
        <v>0</v>
      </c>
      <c r="U44" s="165">
        <v>0</v>
      </c>
      <c r="V44" s="165">
        <v>0</v>
      </c>
      <c r="W44" s="165">
        <v>0</v>
      </c>
      <c r="X44" s="164">
        <v>0</v>
      </c>
      <c r="Y44" s="72" t="str">
        <f>$A$16</f>
        <v>55-59</v>
      </c>
      <c r="Z44" s="165">
        <v>103.85146408829428</v>
      </c>
      <c r="AA44" s="165">
        <v>105.31706169001831</v>
      </c>
      <c r="AB44" s="165">
        <v>133.62564527254057</v>
      </c>
      <c r="AC44" s="165">
        <v>158.51241512029338</v>
      </c>
      <c r="AD44" s="164">
        <v>167.67684572688086</v>
      </c>
      <c r="AE44" s="164"/>
      <c r="AF44" s="165">
        <v>97.635306286684369</v>
      </c>
      <c r="AG44" s="165">
        <v>99.013227711577329</v>
      </c>
      <c r="AH44" s="165">
        <v>125.62736470938835</v>
      </c>
      <c r="AI44" s="165">
        <v>149.02451048118331</v>
      </c>
      <c r="AJ44" s="164">
        <v>157.64040037339234</v>
      </c>
      <c r="AK44" s="164"/>
      <c r="AL44" s="165">
        <v>6.2161578016099055</v>
      </c>
      <c r="AM44" s="165">
        <v>6.3038339784409745</v>
      </c>
      <c r="AN44" s="165">
        <v>7.9982805631522167</v>
      </c>
      <c r="AO44" s="165">
        <v>9.4879046391100914</v>
      </c>
      <c r="AP44" s="164">
        <v>10.036445353488508</v>
      </c>
      <c r="AQ44" s="72" t="str">
        <f>$A$16</f>
        <v>55-59</v>
      </c>
      <c r="AR44" s="165">
        <v>71.118721669117207</v>
      </c>
      <c r="AS44" s="165">
        <v>89.960033593500384</v>
      </c>
      <c r="AT44" s="165">
        <v>106.67026193947827</v>
      </c>
      <c r="AU44" s="165">
        <v>129.27319716487438</v>
      </c>
      <c r="AV44" s="164">
        <v>139.76427501983605</v>
      </c>
      <c r="AW44" s="164"/>
      <c r="AX44" s="165">
        <v>70.361656937121666</v>
      </c>
      <c r="AY44" s="165">
        <v>89.002383349993565</v>
      </c>
      <c r="AZ44" s="165">
        <v>105.53473797538304</v>
      </c>
      <c r="BA44" s="165">
        <v>127.89702319588957</v>
      </c>
      <c r="BB44" s="164">
        <v>138.27638669068557</v>
      </c>
      <c r="BC44" s="164"/>
      <c r="BD44" s="165">
        <v>0.75706473199554847</v>
      </c>
      <c r="BE44" s="165">
        <v>0.95765024350680805</v>
      </c>
      <c r="BF44" s="165">
        <v>1.1355239640952357</v>
      </c>
      <c r="BG44" s="165">
        <v>1.3761739689848116</v>
      </c>
      <c r="BH44" s="164">
        <v>1.4878883291504774</v>
      </c>
    </row>
    <row r="45" spans="1:60">
      <c r="A45" s="72" t="str">
        <f>$A$17</f>
        <v>60-64</v>
      </c>
      <c r="B45" s="165">
        <v>165.06537455422799</v>
      </c>
      <c r="C45" s="165">
        <v>167.88674816060211</v>
      </c>
      <c r="D45" s="165">
        <v>145.42540941137864</v>
      </c>
      <c r="E45" s="165">
        <v>125.57390015162404</v>
      </c>
      <c r="F45" s="164">
        <v>98.802245415285199</v>
      </c>
      <c r="G45" s="164"/>
      <c r="H45" s="165">
        <v>93.553123450841682</v>
      </c>
      <c r="I45" s="165">
        <v>95.15219797521867</v>
      </c>
      <c r="J45" s="165">
        <v>82.421896218232547</v>
      </c>
      <c r="K45" s="165">
        <v>71.170799052200323</v>
      </c>
      <c r="L45" s="164">
        <v>55.997543894228997</v>
      </c>
      <c r="M45" s="164"/>
      <c r="N45" s="165">
        <v>71.512251103386319</v>
      </c>
      <c r="O45" s="165">
        <v>72.734550185383426</v>
      </c>
      <c r="P45" s="165">
        <v>63.003513193146112</v>
      </c>
      <c r="Q45" s="165">
        <v>54.403101099423715</v>
      </c>
      <c r="R45" s="164">
        <v>42.804701521056209</v>
      </c>
      <c r="S45" s="164"/>
      <c r="T45" s="165">
        <v>0</v>
      </c>
      <c r="U45" s="165">
        <v>0</v>
      </c>
      <c r="V45" s="165">
        <v>0</v>
      </c>
      <c r="W45" s="165">
        <v>0</v>
      </c>
      <c r="X45" s="164">
        <v>0</v>
      </c>
      <c r="Y45" s="72" t="str">
        <f>$A$17</f>
        <v>60-64</v>
      </c>
      <c r="Z45" s="165">
        <v>78.364072036445037</v>
      </c>
      <c r="AA45" s="165">
        <v>85.048861618755822</v>
      </c>
      <c r="AB45" s="165">
        <v>109.18459242485633</v>
      </c>
      <c r="AC45" s="165">
        <v>137.4151283547578</v>
      </c>
      <c r="AD45" s="164">
        <v>160.29275934647907</v>
      </c>
      <c r="AE45" s="164"/>
      <c r="AF45" s="165">
        <v>73.870615721664365</v>
      </c>
      <c r="AG45" s="165">
        <v>80.172077906886543</v>
      </c>
      <c r="AH45" s="165">
        <v>102.92385352478725</v>
      </c>
      <c r="AI45" s="165">
        <v>129.53569602307752</v>
      </c>
      <c r="AJ45" s="164">
        <v>151.10146214371721</v>
      </c>
      <c r="AK45" s="164"/>
      <c r="AL45" s="165">
        <v>4.4934563147806799</v>
      </c>
      <c r="AM45" s="165">
        <v>4.8767837118692912</v>
      </c>
      <c r="AN45" s="165">
        <v>6.2607389000690823</v>
      </c>
      <c r="AO45" s="165">
        <v>7.8794323316802695</v>
      </c>
      <c r="AP45" s="164">
        <v>9.191297202761854</v>
      </c>
      <c r="AQ45" s="72" t="str">
        <f>$A$17</f>
        <v>60-64</v>
      </c>
      <c r="AR45" s="165">
        <v>56.310553409327007</v>
      </c>
      <c r="AS45" s="165">
        <v>67.870390220642065</v>
      </c>
      <c r="AT45" s="165">
        <v>84.024998163765019</v>
      </c>
      <c r="AU45" s="165">
        <v>110.21797149361819</v>
      </c>
      <c r="AV45" s="164">
        <v>138.11699523823569</v>
      </c>
      <c r="AW45" s="164"/>
      <c r="AX45" s="165">
        <v>55.169107221716523</v>
      </c>
      <c r="AY45" s="165">
        <v>66.494660625358861</v>
      </c>
      <c r="AZ45" s="165">
        <v>82.321847901242236</v>
      </c>
      <c r="BA45" s="165">
        <v>107.98385950823412</v>
      </c>
      <c r="BB45" s="164">
        <v>135.3173815226985</v>
      </c>
      <c r="BC45" s="164"/>
      <c r="BD45" s="165">
        <v>1.1414461876104915</v>
      </c>
      <c r="BE45" s="165">
        <v>1.375729595283202</v>
      </c>
      <c r="BF45" s="165">
        <v>1.7031502625227839</v>
      </c>
      <c r="BG45" s="165">
        <v>2.2341119853840721</v>
      </c>
      <c r="BH45" s="164">
        <v>2.7996137155371672</v>
      </c>
    </row>
    <row r="46" spans="1:60">
      <c r="A46" s="72" t="str">
        <f>$A$18</f>
        <v>65+</v>
      </c>
      <c r="B46" s="165">
        <v>684.22019433015396</v>
      </c>
      <c r="C46" s="165">
        <v>659.7220549729019</v>
      </c>
      <c r="D46" s="165">
        <v>597.6874930135458</v>
      </c>
      <c r="E46" s="165">
        <v>516.4377556390009</v>
      </c>
      <c r="F46" s="164">
        <v>432.27609064150056</v>
      </c>
      <c r="G46" s="166"/>
      <c r="H46" s="165">
        <v>489.85248018008991</v>
      </c>
      <c r="I46" s="165">
        <v>472.31354432994846</v>
      </c>
      <c r="J46" s="165">
        <v>427.90128288186639</v>
      </c>
      <c r="K46" s="165">
        <v>369.73229781992757</v>
      </c>
      <c r="L46" s="164">
        <v>309.47859548147727</v>
      </c>
      <c r="M46" s="166"/>
      <c r="N46" s="165">
        <v>194.3677141500641</v>
      </c>
      <c r="O46" s="165">
        <v>187.40851064295344</v>
      </c>
      <c r="P46" s="165">
        <v>169.78621013167941</v>
      </c>
      <c r="Q46" s="165">
        <v>146.70545781907333</v>
      </c>
      <c r="R46" s="164">
        <v>122.79749516002329</v>
      </c>
      <c r="S46" s="166"/>
      <c r="T46" s="166">
        <v>0</v>
      </c>
      <c r="U46" s="166">
        <v>0</v>
      </c>
      <c r="V46" s="166">
        <v>0</v>
      </c>
      <c r="W46" s="166">
        <v>0</v>
      </c>
      <c r="X46" s="166">
        <v>0</v>
      </c>
      <c r="Y46" s="72" t="str">
        <f>$A$18</f>
        <v>65+</v>
      </c>
      <c r="Z46" s="165">
        <v>229.30721305756543</v>
      </c>
      <c r="AA46" s="165">
        <v>242.95644971788712</v>
      </c>
      <c r="AB46" s="165">
        <v>324.13328439256134</v>
      </c>
      <c r="AC46" s="165">
        <v>392.98454329955848</v>
      </c>
      <c r="AD46" s="164">
        <v>471.20711273861792</v>
      </c>
      <c r="AE46" s="166"/>
      <c r="AF46" s="165">
        <v>216.90901867585666</v>
      </c>
      <c r="AG46" s="165">
        <v>229.82037680573097</v>
      </c>
      <c r="AH46" s="165">
        <v>306.60805056907492</v>
      </c>
      <c r="AI46" s="165">
        <v>371.73671710382393</v>
      </c>
      <c r="AJ46" s="164">
        <v>445.72999049974806</v>
      </c>
      <c r="AK46" s="166"/>
      <c r="AL46" s="165">
        <v>12.398194381708771</v>
      </c>
      <c r="AM46" s="165">
        <v>13.136072912156155</v>
      </c>
      <c r="AN46" s="165">
        <v>17.525233823486392</v>
      </c>
      <c r="AO46" s="165">
        <v>21.247826195734497</v>
      </c>
      <c r="AP46" s="164">
        <v>25.477122238869928</v>
      </c>
      <c r="AQ46" s="72" t="str">
        <f>$A$18</f>
        <v>65+</v>
      </c>
      <c r="AR46" s="165">
        <v>145.26459261228058</v>
      </c>
      <c r="AS46" s="165">
        <v>173.26549530921105</v>
      </c>
      <c r="AT46" s="165">
        <v>233.46822259389299</v>
      </c>
      <c r="AU46" s="165">
        <v>332.65670106144069</v>
      </c>
      <c r="AV46" s="164">
        <v>456.31479661988146</v>
      </c>
      <c r="AW46" s="166"/>
      <c r="AX46" s="165">
        <v>143.74209408925086</v>
      </c>
      <c r="AY46" s="165">
        <v>171.44937059191324</v>
      </c>
      <c r="AZ46" s="165">
        <v>231.02121966409953</v>
      </c>
      <c r="BA46" s="165">
        <v>329.17005716327628</v>
      </c>
      <c r="BB46" s="164">
        <v>451.53195718650386</v>
      </c>
      <c r="BC46" s="166"/>
      <c r="BD46" s="165">
        <v>1.5224985230297139</v>
      </c>
      <c r="BE46" s="165">
        <v>1.8161247172978172</v>
      </c>
      <c r="BF46" s="165">
        <v>2.4470029297934355</v>
      </c>
      <c r="BG46" s="165">
        <v>3.4866438981643779</v>
      </c>
      <c r="BH46" s="164">
        <v>4.7828394333776503</v>
      </c>
    </row>
    <row r="47" spans="1:60">
      <c r="A47" s="77"/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Y47" s="7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77"/>
      <c r="AR47" s="167"/>
      <c r="AS47" s="167"/>
      <c r="AT47" s="167"/>
      <c r="AU47" s="167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</row>
    <row r="48" spans="1:60">
      <c r="B48" s="75"/>
      <c r="C48" s="75"/>
      <c r="D48" s="75"/>
      <c r="E48" s="75"/>
      <c r="Z48" s="75"/>
      <c r="AA48" s="75"/>
      <c r="AB48" s="75"/>
      <c r="AC48" s="75"/>
      <c r="AR48" s="75"/>
      <c r="AS48" s="75"/>
      <c r="AT48" s="75"/>
      <c r="AU48" s="75"/>
    </row>
    <row r="49" spans="1:60" ht="15.6">
      <c r="A49" s="17" t="str">
        <f>CONCATENATE("Basic Table 2b  Labour Force by Gender, Age Group and ISCED Qualification, ",Info!B8,", ",$B$5,"-",$F$5)</f>
        <v>Basic Table 2b  Labour Force by Gender, Age Group and ISCED Qualification, , 2008-2025</v>
      </c>
      <c r="Y49" s="17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7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>
      <c r="W50" s="377" t="s">
        <v>115</v>
      </c>
      <c r="X50" s="377"/>
      <c r="AP50" s="159" t="str">
        <f>AP2</f>
        <v>Levels (000s)</v>
      </c>
      <c r="BH50" s="159" t="str">
        <f>BH2</f>
        <v>Levels (000s)</v>
      </c>
    </row>
    <row r="51" spans="1:60" ht="12.95">
      <c r="A51" s="99" t="s">
        <v>261</v>
      </c>
      <c r="B51" s="160" t="str">
        <f>B3</f>
        <v>All Low qualifications</v>
      </c>
      <c r="C51" s="160"/>
      <c r="D51" s="161"/>
      <c r="E51" s="160"/>
      <c r="F51" s="160"/>
      <c r="G51" s="99"/>
      <c r="H51" s="160" t="str">
        <f>H3</f>
        <v>Pre-primary education</v>
      </c>
      <c r="I51" s="160"/>
      <c r="J51" s="160"/>
      <c r="K51" s="160"/>
      <c r="L51" s="160"/>
      <c r="M51" s="99"/>
      <c r="N51" s="160" t="str">
        <f>N3</f>
        <v>Primary education (1st stage basic)</v>
      </c>
      <c r="O51" s="160"/>
      <c r="P51" s="160"/>
      <c r="Q51" s="160"/>
      <c r="R51" s="160"/>
      <c r="S51" s="99"/>
      <c r="T51" s="382" t="str">
        <f>T3</f>
        <v>Lower secondary education (2nd stage basic)</v>
      </c>
      <c r="U51" s="382"/>
      <c r="V51" s="382"/>
      <c r="W51" s="382"/>
      <c r="X51" s="382"/>
      <c r="Y51" s="99" t="s">
        <v>261</v>
      </c>
      <c r="Z51" s="160" t="str">
        <f>Z3</f>
        <v>All Medium qualifications</v>
      </c>
      <c r="AA51" s="160"/>
      <c r="AB51" s="161"/>
      <c r="AC51" s="160"/>
      <c r="AD51" s="160"/>
      <c r="AE51" s="99"/>
      <c r="AF51" s="160" t="str">
        <f>AF3</f>
        <v>Upper secondary education</v>
      </c>
      <c r="AG51" s="160"/>
      <c r="AH51" s="160"/>
      <c r="AI51" s="160"/>
      <c r="AJ51" s="160"/>
      <c r="AK51" s="99"/>
      <c r="AL51" s="160" t="str">
        <f>AL3</f>
        <v>Post-secondary non-tertiary education</v>
      </c>
      <c r="AM51" s="160"/>
      <c r="AN51" s="160"/>
      <c r="AO51" s="160"/>
      <c r="AP51" s="160"/>
      <c r="AQ51" s="99" t="s">
        <v>261</v>
      </c>
      <c r="AR51" s="160" t="str">
        <f>AR3</f>
        <v>All High qualifications</v>
      </c>
      <c r="AS51" s="160"/>
      <c r="AT51" s="161"/>
      <c r="AU51" s="160"/>
      <c r="AV51" s="160"/>
      <c r="AW51" s="99"/>
      <c r="AX51" s="160" t="str">
        <f>AX3</f>
        <v>First stage of tertiary education</v>
      </c>
      <c r="AY51" s="160"/>
      <c r="AZ51" s="160"/>
      <c r="BA51" s="160"/>
      <c r="BB51" s="160"/>
      <c r="BC51" s="99"/>
      <c r="BD51" s="160" t="str">
        <f>BD3</f>
        <v>Second stage of tertiary education</v>
      </c>
      <c r="BE51" s="160"/>
      <c r="BF51" s="160"/>
      <c r="BG51" s="160"/>
      <c r="BH51" s="160"/>
    </row>
    <row r="52" spans="1:60" ht="12.95">
      <c r="A52" s="156" t="s">
        <v>247</v>
      </c>
      <c r="B52" s="162"/>
      <c r="C52" s="162"/>
      <c r="D52" s="162"/>
      <c r="E52" s="162"/>
      <c r="F52" s="162"/>
      <c r="G52" s="73"/>
      <c r="H52" s="162"/>
      <c r="I52" s="162"/>
      <c r="J52" s="162"/>
      <c r="K52" s="162"/>
      <c r="L52" s="162"/>
      <c r="M52" s="73"/>
      <c r="N52" s="162"/>
      <c r="O52" s="162"/>
      <c r="P52" s="162"/>
      <c r="Q52" s="162"/>
      <c r="R52" s="162"/>
      <c r="S52" s="73"/>
      <c r="T52" s="162"/>
      <c r="U52" s="162"/>
      <c r="V52" s="162"/>
      <c r="W52" s="162"/>
      <c r="X52" s="162"/>
      <c r="Y52" s="156" t="s">
        <v>247</v>
      </c>
      <c r="Z52" s="162"/>
      <c r="AA52" s="162"/>
      <c r="AB52" s="162"/>
      <c r="AC52" s="162"/>
      <c r="AD52" s="162"/>
      <c r="AE52" s="73"/>
      <c r="AF52" s="162"/>
      <c r="AG52" s="162"/>
      <c r="AH52" s="162"/>
      <c r="AI52" s="162"/>
      <c r="AJ52" s="162"/>
      <c r="AK52" s="73"/>
      <c r="AL52" s="162"/>
      <c r="AM52" s="162"/>
      <c r="AN52" s="162"/>
      <c r="AO52" s="162"/>
      <c r="AP52" s="162"/>
      <c r="AQ52" s="156" t="s">
        <v>247</v>
      </c>
      <c r="AR52" s="162"/>
      <c r="AS52" s="162"/>
      <c r="AT52" s="162"/>
      <c r="AU52" s="162"/>
      <c r="AV52" s="162"/>
      <c r="AW52" s="73"/>
      <c r="AX52" s="162"/>
      <c r="AY52" s="162"/>
      <c r="AZ52" s="162"/>
      <c r="BA52" s="162"/>
      <c r="BB52" s="162"/>
      <c r="BC52" s="73"/>
      <c r="BD52" s="162"/>
      <c r="BE52" s="162"/>
      <c r="BF52" s="162"/>
      <c r="BG52" s="162"/>
      <c r="BH52" s="162"/>
    </row>
    <row r="53" spans="1:60" ht="12.95">
      <c r="A53" s="155"/>
      <c r="B53" s="163">
        <v>2008</v>
      </c>
      <c r="C53" s="163">
        <v>2010</v>
      </c>
      <c r="D53" s="163">
        <v>2012</v>
      </c>
      <c r="E53" s="163">
        <v>2015</v>
      </c>
      <c r="F53" s="156">
        <v>2020</v>
      </c>
      <c r="G53" s="101"/>
      <c r="H53" s="101">
        <f>B53</f>
        <v>2008</v>
      </c>
      <c r="I53" s="101">
        <f>C53</f>
        <v>2010</v>
      </c>
      <c r="J53" s="101">
        <f>D53</f>
        <v>2012</v>
      </c>
      <c r="K53" s="101">
        <f>E53</f>
        <v>2015</v>
      </c>
      <c r="L53" s="101">
        <f>F53</f>
        <v>2020</v>
      </c>
      <c r="M53" s="101"/>
      <c r="N53" s="101">
        <f>B53</f>
        <v>2008</v>
      </c>
      <c r="O53" s="101">
        <f>C53</f>
        <v>2010</v>
      </c>
      <c r="P53" s="101">
        <f>D53</f>
        <v>2012</v>
      </c>
      <c r="Q53" s="101">
        <f>E53</f>
        <v>2015</v>
      </c>
      <c r="R53" s="101">
        <f>F53</f>
        <v>2020</v>
      </c>
      <c r="S53" s="101"/>
      <c r="T53" s="101">
        <f>B53</f>
        <v>2008</v>
      </c>
      <c r="U53" s="101">
        <f>C53</f>
        <v>2010</v>
      </c>
      <c r="V53" s="101">
        <f>D53</f>
        <v>2012</v>
      </c>
      <c r="W53" s="101">
        <f>E53</f>
        <v>2015</v>
      </c>
      <c r="X53" s="101">
        <f>F53</f>
        <v>2020</v>
      </c>
      <c r="Y53" s="155"/>
      <c r="Z53" s="163">
        <v>2008</v>
      </c>
      <c r="AA53" s="163">
        <v>2010</v>
      </c>
      <c r="AB53" s="163">
        <v>2012</v>
      </c>
      <c r="AC53" s="163">
        <v>2015</v>
      </c>
      <c r="AD53" s="156">
        <v>2020</v>
      </c>
      <c r="AE53" s="101"/>
      <c r="AF53" s="101">
        <f>Z53</f>
        <v>2008</v>
      </c>
      <c r="AG53" s="101">
        <f>AA53</f>
        <v>2010</v>
      </c>
      <c r="AH53" s="101">
        <f>AB53</f>
        <v>2012</v>
      </c>
      <c r="AI53" s="101">
        <f>AC53</f>
        <v>2015</v>
      </c>
      <c r="AJ53" s="101">
        <f>AD53</f>
        <v>2020</v>
      </c>
      <c r="AK53" s="101"/>
      <c r="AL53" s="101">
        <f>Z53</f>
        <v>2008</v>
      </c>
      <c r="AM53" s="101">
        <f>AA53</f>
        <v>2010</v>
      </c>
      <c r="AN53" s="101">
        <f>AB53</f>
        <v>2012</v>
      </c>
      <c r="AO53" s="101">
        <f>AC53</f>
        <v>2015</v>
      </c>
      <c r="AP53" s="101">
        <f>AD53</f>
        <v>2020</v>
      </c>
      <c r="AQ53" s="155"/>
      <c r="AR53" s="163">
        <v>2008</v>
      </c>
      <c r="AS53" s="163">
        <v>2010</v>
      </c>
      <c r="AT53" s="163">
        <v>2012</v>
      </c>
      <c r="AU53" s="163">
        <v>2015</v>
      </c>
      <c r="AV53" s="156">
        <v>2020</v>
      </c>
      <c r="AW53" s="101"/>
      <c r="AX53" s="101">
        <f>AR53</f>
        <v>2008</v>
      </c>
      <c r="AY53" s="101">
        <f>AS53</f>
        <v>2010</v>
      </c>
      <c r="AZ53" s="101">
        <f>AT53</f>
        <v>2012</v>
      </c>
      <c r="BA53" s="101">
        <f>AU53</f>
        <v>2015</v>
      </c>
      <c r="BB53" s="101">
        <f>AV53</f>
        <v>2020</v>
      </c>
      <c r="BC53" s="101"/>
      <c r="BD53" s="101">
        <f>AR53</f>
        <v>2008</v>
      </c>
      <c r="BE53" s="101">
        <f>AS53</f>
        <v>2010</v>
      </c>
      <c r="BF53" s="101">
        <f>AT53</f>
        <v>2012</v>
      </c>
      <c r="BG53" s="101">
        <f>AU53</f>
        <v>2015</v>
      </c>
      <c r="BH53" s="101">
        <f>AV53</f>
        <v>2020</v>
      </c>
    </row>
    <row r="54" spans="1:60" ht="12.95">
      <c r="A54" s="95" t="str">
        <f>A6</f>
        <v>Males and females</v>
      </c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Y54" s="95" t="str">
        <f>Y6</f>
        <v>Males and females</v>
      </c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95" t="str">
        <f>AQ6</f>
        <v>Males and females</v>
      </c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</row>
    <row r="55" spans="1:60">
      <c r="A55" s="72" t="str">
        <f>A7</f>
        <v>15+</v>
      </c>
      <c r="B55" s="165">
        <f>SUM(B69,B83)</f>
        <v>1091.4118992738524</v>
      </c>
      <c r="C55" s="165">
        <f t="shared" ref="C55:F55" si="43">SUM(C69,C83)</f>
        <v>1100.0037861102892</v>
      </c>
      <c r="D55" s="165">
        <f t="shared" si="43"/>
        <v>916.42301941602898</v>
      </c>
      <c r="E55" s="165">
        <f t="shared" si="43"/>
        <v>787.47393586094222</v>
      </c>
      <c r="F55" s="165">
        <f t="shared" si="43"/>
        <v>647.93759918436888</v>
      </c>
      <c r="G55" s="164"/>
      <c r="H55" s="165">
        <f>SUM(H69,H83)</f>
        <v>362.47383711398129</v>
      </c>
      <c r="I55" s="165">
        <f t="shared" ref="I55:L55" si="44">SUM(I69,I83)</f>
        <v>367.09230695546</v>
      </c>
      <c r="J55" s="165">
        <f t="shared" si="44"/>
        <v>309.04252665358638</v>
      </c>
      <c r="K55" s="165">
        <f t="shared" si="44"/>
        <v>265.71661758383789</v>
      </c>
      <c r="L55" s="165">
        <f t="shared" si="44"/>
        <v>217.36047114432725</v>
      </c>
      <c r="M55" s="164"/>
      <c r="N55" s="165">
        <f>SUM(N69,N83)</f>
        <v>728.93806215987115</v>
      </c>
      <c r="O55" s="165">
        <f t="shared" ref="O55:R55" si="45">SUM(O69,O83)</f>
        <v>732.91147915482918</v>
      </c>
      <c r="P55" s="165">
        <f t="shared" si="45"/>
        <v>607.3804927624426</v>
      </c>
      <c r="Q55" s="165">
        <f t="shared" si="45"/>
        <v>521.75731827710433</v>
      </c>
      <c r="R55" s="165">
        <f t="shared" si="45"/>
        <v>430.57712804004166</v>
      </c>
      <c r="S55" s="164"/>
      <c r="T55" s="165">
        <f>SUM(T69,T83)</f>
        <v>0</v>
      </c>
      <c r="U55" s="165">
        <f t="shared" ref="U55:X55" si="46">SUM(U69,U83)</f>
        <v>0</v>
      </c>
      <c r="V55" s="165">
        <f t="shared" si="46"/>
        <v>0</v>
      </c>
      <c r="W55" s="165">
        <f t="shared" si="46"/>
        <v>0</v>
      </c>
      <c r="X55" s="165">
        <f t="shared" si="46"/>
        <v>0</v>
      </c>
      <c r="Y55" s="72" t="str">
        <f>Y7</f>
        <v>15+</v>
      </c>
      <c r="Z55" s="165">
        <f>SUM(Z69,Z83)</f>
        <v>1946.6117047650587</v>
      </c>
      <c r="AA55" s="165">
        <f t="shared" ref="AA55:AD55" si="47">SUM(AA69,AA83)</f>
        <v>1898.9657890695435</v>
      </c>
      <c r="AB55" s="165">
        <f t="shared" si="47"/>
        <v>1962.8308563745852</v>
      </c>
      <c r="AC55" s="165">
        <f t="shared" si="47"/>
        <v>2069.7042275623553</v>
      </c>
      <c r="AD55" s="165">
        <f t="shared" si="47"/>
        <v>2170.6375884387007</v>
      </c>
      <c r="AE55" s="164"/>
      <c r="AF55" s="165">
        <f>SUM(AF69,AF83)</f>
        <v>1824.1912882451829</v>
      </c>
      <c r="AG55" s="165">
        <f t="shared" ref="AG55:AJ55" si="48">SUM(AG69,AG83)</f>
        <v>1779.7966268394514</v>
      </c>
      <c r="AH55" s="165">
        <f t="shared" si="48"/>
        <v>1839.9843516955048</v>
      </c>
      <c r="AI55" s="165">
        <f t="shared" si="48"/>
        <v>1940.4817534613794</v>
      </c>
      <c r="AJ55" s="165">
        <f t="shared" si="48"/>
        <v>2035.5057599780253</v>
      </c>
      <c r="AK55" s="164"/>
      <c r="AL55" s="165">
        <f>SUM(AL69,AL83)</f>
        <v>122.42041651987563</v>
      </c>
      <c r="AM55" s="165">
        <f t="shared" ref="AM55:AP55" si="49">SUM(AM69,AM83)</f>
        <v>119.16916223009233</v>
      </c>
      <c r="AN55" s="165">
        <f t="shared" si="49"/>
        <v>122.84650467908108</v>
      </c>
      <c r="AO55" s="165">
        <f t="shared" si="49"/>
        <v>129.22247410097572</v>
      </c>
      <c r="AP55" s="165">
        <f t="shared" si="49"/>
        <v>135.13182846067508</v>
      </c>
      <c r="AQ55" s="72" t="str">
        <f>AQ7</f>
        <v>15+</v>
      </c>
      <c r="AR55" s="165">
        <f>SUM(AR69,AR83)</f>
        <v>1748.2863959610891</v>
      </c>
      <c r="AS55" s="165">
        <f t="shared" ref="AS55:AV55" si="50">SUM(AS69,AS83)</f>
        <v>1906.3674248201669</v>
      </c>
      <c r="AT55" s="165">
        <f t="shared" si="50"/>
        <v>2115.1681242093855</v>
      </c>
      <c r="AU55" s="165">
        <f t="shared" si="50"/>
        <v>2318.0908365767018</v>
      </c>
      <c r="AV55" s="165">
        <f t="shared" si="50"/>
        <v>2521.4978123769306</v>
      </c>
      <c r="AW55" s="164"/>
      <c r="AX55" s="165">
        <f>SUM(AX69,AX83)</f>
        <v>1717.00572023467</v>
      </c>
      <c r="AY55" s="165">
        <f t="shared" ref="AY55:BB55" si="51">SUM(AY69,AY83)</f>
        <v>1871.5654118320501</v>
      </c>
      <c r="AZ55" s="165">
        <f t="shared" si="51"/>
        <v>2075.3669628743173</v>
      </c>
      <c r="BA55" s="165">
        <f t="shared" si="51"/>
        <v>2274.1381911334825</v>
      </c>
      <c r="BB55" s="165">
        <f t="shared" si="51"/>
        <v>2472.9509757013893</v>
      </c>
      <c r="BC55" s="164"/>
      <c r="BD55" s="165">
        <f>SUM(BD69,BD83)</f>
        <v>31.280675726418963</v>
      </c>
      <c r="BE55" s="165">
        <f t="shared" ref="BE55:BH55" si="52">SUM(BE69,BE83)</f>
        <v>34.676945501519299</v>
      </c>
      <c r="BF55" s="165">
        <f t="shared" si="52"/>
        <v>39.483123423895734</v>
      </c>
      <c r="BG55" s="165">
        <f t="shared" si="52"/>
        <v>43.95264544321995</v>
      </c>
      <c r="BH55" s="165">
        <f t="shared" si="52"/>
        <v>48.546836675541741</v>
      </c>
    </row>
    <row r="56" spans="1:60">
      <c r="A56" s="72" t="str">
        <f t="shared" ref="A56:A66" si="53">A8</f>
        <v>15-19</v>
      </c>
      <c r="B56" s="165">
        <f t="shared" ref="B56:F66" si="54">SUM(B70,B84)</f>
        <v>33.922484918096792</v>
      </c>
      <c r="C56" s="165">
        <f t="shared" si="54"/>
        <v>33.428963380218356</v>
      </c>
      <c r="D56" s="165">
        <f t="shared" si="54"/>
        <v>25.618579168305843</v>
      </c>
      <c r="E56" s="165">
        <f t="shared" si="54"/>
        <v>27.576564899958772</v>
      </c>
      <c r="F56" s="165">
        <f t="shared" si="54"/>
        <v>31.444379921686618</v>
      </c>
      <c r="G56" s="164"/>
      <c r="H56" s="165">
        <f t="shared" ref="H56:L66" si="55">SUM(H70,H84)</f>
        <v>7.8573198535721822</v>
      </c>
      <c r="I56" s="165">
        <f t="shared" si="55"/>
        <v>7.5672034937247652</v>
      </c>
      <c r="J56" s="165">
        <f t="shared" si="55"/>
        <v>5.7747610908860949</v>
      </c>
      <c r="K56" s="165">
        <f t="shared" si="55"/>
        <v>6.3040880162625772</v>
      </c>
      <c r="L56" s="165">
        <f t="shared" si="55"/>
        <v>7.2506410354839996</v>
      </c>
      <c r="M56" s="164"/>
      <c r="N56" s="165">
        <f t="shared" ref="N56:R66" si="56">SUM(N70,N84)</f>
        <v>26.065165064524606</v>
      </c>
      <c r="O56" s="165">
        <f t="shared" si="56"/>
        <v>25.861759886493594</v>
      </c>
      <c r="P56" s="165">
        <f t="shared" si="56"/>
        <v>19.843818077419751</v>
      </c>
      <c r="Q56" s="165">
        <f t="shared" si="56"/>
        <v>21.272476883696193</v>
      </c>
      <c r="R56" s="165">
        <f t="shared" si="56"/>
        <v>24.193738886202624</v>
      </c>
      <c r="S56" s="164"/>
      <c r="T56" s="165">
        <f t="shared" ref="T56:X66" si="57">SUM(T70,T84)</f>
        <v>0</v>
      </c>
      <c r="U56" s="165">
        <f t="shared" si="57"/>
        <v>0</v>
      </c>
      <c r="V56" s="165">
        <f t="shared" si="57"/>
        <v>0</v>
      </c>
      <c r="W56" s="165">
        <f t="shared" si="57"/>
        <v>0</v>
      </c>
      <c r="X56" s="165">
        <f t="shared" si="57"/>
        <v>0</v>
      </c>
      <c r="Y56" s="72" t="str">
        <f t="shared" ref="Y56:Y66" si="58">Y8</f>
        <v>15-19</v>
      </c>
      <c r="Z56" s="165">
        <f t="shared" ref="Z56:AD66" si="59">SUM(Z70,Z84)</f>
        <v>28.669275921467221</v>
      </c>
      <c r="AA56" s="165">
        <f t="shared" si="59"/>
        <v>24.94017830051537</v>
      </c>
      <c r="AB56" s="165">
        <f t="shared" si="59"/>
        <v>22.096171672766943</v>
      </c>
      <c r="AC56" s="165">
        <f t="shared" si="59"/>
        <v>24.369923731987864</v>
      </c>
      <c r="AD56" s="165">
        <f t="shared" si="59"/>
        <v>28.847750118738247</v>
      </c>
      <c r="AE56" s="164"/>
      <c r="AF56" s="165">
        <f t="shared" ref="AF56:AJ66" si="60">SUM(AF70,AF84)</f>
        <v>27.131107622890386</v>
      </c>
      <c r="AG56" s="165">
        <f t="shared" si="60"/>
        <v>23.604856528669352</v>
      </c>
      <c r="AH56" s="165">
        <f t="shared" si="60"/>
        <v>20.910693259755835</v>
      </c>
      <c r="AI56" s="165">
        <f t="shared" si="60"/>
        <v>23.061501302502187</v>
      </c>
      <c r="AJ56" s="165">
        <f t="shared" si="60"/>
        <v>27.298051224460476</v>
      </c>
      <c r="AK56" s="164"/>
      <c r="AL56" s="165">
        <f t="shared" ref="AL56:AP66" si="61">SUM(AL70,AL84)</f>
        <v>1.538168298576831</v>
      </c>
      <c r="AM56" s="165">
        <f t="shared" si="61"/>
        <v>1.3353217718460186</v>
      </c>
      <c r="AN56" s="165">
        <f t="shared" si="61"/>
        <v>1.185478413011108</v>
      </c>
      <c r="AO56" s="165">
        <f t="shared" si="61"/>
        <v>1.3084224294856792</v>
      </c>
      <c r="AP56" s="165">
        <f t="shared" si="61"/>
        <v>1.5496988942777667</v>
      </c>
      <c r="AQ56" s="72" t="str">
        <f t="shared" ref="AQ56:AQ66" si="62">AQ8</f>
        <v>15-19</v>
      </c>
      <c r="AR56" s="165">
        <f t="shared" ref="AR56:AV66" si="63">SUM(AR70,AR84)</f>
        <v>0.22323916043599393</v>
      </c>
      <c r="AS56" s="165">
        <f t="shared" si="63"/>
        <v>0.23185831926626108</v>
      </c>
      <c r="AT56" s="165">
        <f t="shared" si="63"/>
        <v>0.31924915892721956</v>
      </c>
      <c r="AU56" s="165">
        <f t="shared" si="63"/>
        <v>0.32851136805335357</v>
      </c>
      <c r="AV56" s="165">
        <f t="shared" si="63"/>
        <v>0.36386995957513524</v>
      </c>
      <c r="AW56" s="164"/>
      <c r="AX56" s="165">
        <f t="shared" ref="AX56:BB66" si="64">SUM(AX70,AX84)</f>
        <v>0.18942213461700935</v>
      </c>
      <c r="AY56" s="165">
        <f t="shared" si="64"/>
        <v>7.0679138418197798E-2</v>
      </c>
      <c r="AZ56" s="165">
        <f t="shared" si="64"/>
        <v>8.014133599071727E-4</v>
      </c>
      <c r="BA56" s="165">
        <f t="shared" si="64"/>
        <v>0.32647088949339453</v>
      </c>
      <c r="BB56" s="165">
        <f t="shared" si="64"/>
        <v>0.3602016521563422</v>
      </c>
      <c r="BC56" s="164"/>
      <c r="BD56" s="165">
        <f t="shared" ref="BD56:BH66" si="65">SUM(BD70,BD84)</f>
        <v>3.3817025818984561E-2</v>
      </c>
      <c r="BE56" s="165">
        <f t="shared" si="65"/>
        <v>3.6111694250642229E-2</v>
      </c>
      <c r="BF56" s="165">
        <f t="shared" si="65"/>
        <v>4.0983439475890718E-4</v>
      </c>
      <c r="BG56" s="165">
        <f t="shared" si="65"/>
        <v>2.0404785599590159E-3</v>
      </c>
      <c r="BH56" s="165">
        <f t="shared" si="65"/>
        <v>3.6683074187930289E-3</v>
      </c>
    </row>
    <row r="57" spans="1:60">
      <c r="A57" s="72" t="str">
        <f t="shared" si="53"/>
        <v>20-24</v>
      </c>
      <c r="B57" s="165">
        <f t="shared" si="54"/>
        <v>69.997446885450401</v>
      </c>
      <c r="C57" s="165">
        <f t="shared" si="54"/>
        <v>73.885251785075525</v>
      </c>
      <c r="D57" s="165">
        <f t="shared" si="54"/>
        <v>60.82748778551305</v>
      </c>
      <c r="E57" s="165">
        <f t="shared" si="54"/>
        <v>52.336025748722321</v>
      </c>
      <c r="F57" s="165">
        <f t="shared" si="54"/>
        <v>47.838308330484821</v>
      </c>
      <c r="G57" s="164"/>
      <c r="H57" s="165">
        <f t="shared" si="55"/>
        <v>17.50666245872462</v>
      </c>
      <c r="I57" s="165">
        <f t="shared" si="55"/>
        <v>18.316843567871658</v>
      </c>
      <c r="J57" s="165">
        <f t="shared" si="55"/>
        <v>14.976024192054551</v>
      </c>
      <c r="K57" s="165">
        <f t="shared" si="55"/>
        <v>12.905149968073884</v>
      </c>
      <c r="L57" s="165">
        <f t="shared" si="55"/>
        <v>11.781306690276619</v>
      </c>
      <c r="M57" s="164"/>
      <c r="N57" s="165">
        <f t="shared" si="56"/>
        <v>52.490784426725781</v>
      </c>
      <c r="O57" s="165">
        <f t="shared" si="56"/>
        <v>55.568408217203867</v>
      </c>
      <c r="P57" s="165">
        <f t="shared" si="56"/>
        <v>45.851463593458497</v>
      </c>
      <c r="Q57" s="165">
        <f t="shared" si="56"/>
        <v>39.430875780648435</v>
      </c>
      <c r="R57" s="165">
        <f t="shared" si="56"/>
        <v>36.057001640208199</v>
      </c>
      <c r="S57" s="164"/>
      <c r="T57" s="165">
        <f t="shared" si="57"/>
        <v>0</v>
      </c>
      <c r="U57" s="165">
        <f t="shared" si="57"/>
        <v>0</v>
      </c>
      <c r="V57" s="165">
        <f t="shared" si="57"/>
        <v>0</v>
      </c>
      <c r="W57" s="165">
        <f t="shared" si="57"/>
        <v>0</v>
      </c>
      <c r="X57" s="165">
        <f t="shared" si="57"/>
        <v>0</v>
      </c>
      <c r="Y57" s="72" t="str">
        <f t="shared" si="58"/>
        <v>20-24</v>
      </c>
      <c r="Z57" s="165">
        <f t="shared" si="59"/>
        <v>200.63056393547677</v>
      </c>
      <c r="AA57" s="165">
        <f t="shared" si="59"/>
        <v>200.10878986052779</v>
      </c>
      <c r="AB57" s="165">
        <f t="shared" si="59"/>
        <v>192.82988811096317</v>
      </c>
      <c r="AC57" s="165">
        <f t="shared" si="59"/>
        <v>182.24243827723632</v>
      </c>
      <c r="AD57" s="165">
        <f t="shared" si="59"/>
        <v>183.10832552939812</v>
      </c>
      <c r="AE57" s="164"/>
      <c r="AF57" s="165">
        <f t="shared" si="60"/>
        <v>184.4013377657671</v>
      </c>
      <c r="AG57" s="165">
        <f t="shared" si="60"/>
        <v>183.88709709012173</v>
      </c>
      <c r="AH57" s="165">
        <f t="shared" si="60"/>
        <v>177.34938200988924</v>
      </c>
      <c r="AI57" s="165">
        <f t="shared" si="60"/>
        <v>167.58221623961009</v>
      </c>
      <c r="AJ57" s="165">
        <f t="shared" si="60"/>
        <v>168.42784713146324</v>
      </c>
      <c r="AK57" s="164"/>
      <c r="AL57" s="165">
        <f t="shared" si="61"/>
        <v>16.229226169709651</v>
      </c>
      <c r="AM57" s="165">
        <f t="shared" si="61"/>
        <v>16.221692770406051</v>
      </c>
      <c r="AN57" s="165">
        <f t="shared" si="61"/>
        <v>15.480506101073939</v>
      </c>
      <c r="AO57" s="165">
        <f t="shared" si="61"/>
        <v>14.660222037626259</v>
      </c>
      <c r="AP57" s="165">
        <f t="shared" si="61"/>
        <v>14.680478397934866</v>
      </c>
      <c r="AQ57" s="72" t="str">
        <f t="shared" si="62"/>
        <v>20-24</v>
      </c>
      <c r="AR57" s="165">
        <f t="shared" si="63"/>
        <v>100.04998917907284</v>
      </c>
      <c r="AS57" s="165">
        <f t="shared" si="63"/>
        <v>94.987958354396682</v>
      </c>
      <c r="AT57" s="165">
        <f t="shared" si="63"/>
        <v>103.98462410352381</v>
      </c>
      <c r="AU57" s="165">
        <f t="shared" si="63"/>
        <v>110.10453597404138</v>
      </c>
      <c r="AV57" s="165">
        <f t="shared" si="63"/>
        <v>122.21236614011708</v>
      </c>
      <c r="AW57" s="164"/>
      <c r="AX57" s="165">
        <f t="shared" si="64"/>
        <v>99.830703255982527</v>
      </c>
      <c r="AY57" s="165">
        <f t="shared" si="64"/>
        <v>94.78083623451991</v>
      </c>
      <c r="AZ57" s="165">
        <f t="shared" si="64"/>
        <v>103.75807484517797</v>
      </c>
      <c r="BA57" s="165">
        <f t="shared" si="64"/>
        <v>109.86373714713562</v>
      </c>
      <c r="BB57" s="165">
        <f t="shared" si="64"/>
        <v>121.94555113721529</v>
      </c>
      <c r="BC57" s="164"/>
      <c r="BD57" s="165">
        <f t="shared" si="65"/>
        <v>0.21928592309030701</v>
      </c>
      <c r="BE57" s="165">
        <f t="shared" si="65"/>
        <v>0.20712211987677406</v>
      </c>
      <c r="BF57" s="165">
        <f t="shared" si="65"/>
        <v>0.2265492583458453</v>
      </c>
      <c r="BG57" s="165">
        <f t="shared" si="65"/>
        <v>0.24079882690576235</v>
      </c>
      <c r="BH57" s="165">
        <f t="shared" si="65"/>
        <v>0.26681500290179178</v>
      </c>
    </row>
    <row r="58" spans="1:60">
      <c r="A58" s="72" t="str">
        <f t="shared" si="53"/>
        <v>25-29</v>
      </c>
      <c r="B58" s="165">
        <f t="shared" si="54"/>
        <v>83.10566032859262</v>
      </c>
      <c r="C58" s="165">
        <f t="shared" si="54"/>
        <v>92.922114197332945</v>
      </c>
      <c r="D58" s="165">
        <f t="shared" si="54"/>
        <v>81.756122550300972</v>
      </c>
      <c r="E58" s="165">
        <f t="shared" si="54"/>
        <v>81.088950586198422</v>
      </c>
      <c r="F58" s="165">
        <f t="shared" si="54"/>
        <v>71.085865926883031</v>
      </c>
      <c r="G58" s="164"/>
      <c r="H58" s="165">
        <f t="shared" si="55"/>
        <v>23.608107087454297</v>
      </c>
      <c r="I58" s="165">
        <f t="shared" si="55"/>
        <v>26.378552793035944</v>
      </c>
      <c r="J58" s="165">
        <f t="shared" si="55"/>
        <v>23.222779194804581</v>
      </c>
      <c r="K58" s="165">
        <f t="shared" si="55"/>
        <v>23.044303745971408</v>
      </c>
      <c r="L58" s="165">
        <f t="shared" si="55"/>
        <v>20.194793417876976</v>
      </c>
      <c r="M58" s="164"/>
      <c r="N58" s="165">
        <f t="shared" si="56"/>
        <v>59.49755324113832</v>
      </c>
      <c r="O58" s="165">
        <f t="shared" si="56"/>
        <v>66.543561404296995</v>
      </c>
      <c r="P58" s="165">
        <f t="shared" si="56"/>
        <v>58.533343355496399</v>
      </c>
      <c r="Q58" s="165">
        <f t="shared" si="56"/>
        <v>58.04464684022701</v>
      </c>
      <c r="R58" s="165">
        <f t="shared" si="56"/>
        <v>50.891072509006051</v>
      </c>
      <c r="S58" s="164"/>
      <c r="T58" s="165">
        <f t="shared" si="57"/>
        <v>0</v>
      </c>
      <c r="U58" s="165">
        <f t="shared" si="57"/>
        <v>0</v>
      </c>
      <c r="V58" s="165">
        <f t="shared" si="57"/>
        <v>0</v>
      </c>
      <c r="W58" s="165">
        <f t="shared" si="57"/>
        <v>0</v>
      </c>
      <c r="X58" s="165">
        <f t="shared" si="57"/>
        <v>0</v>
      </c>
      <c r="Y58" s="72" t="str">
        <f t="shared" si="58"/>
        <v>25-29</v>
      </c>
      <c r="Z58" s="165">
        <f t="shared" si="59"/>
        <v>253.52682972521137</v>
      </c>
      <c r="AA58" s="165">
        <f t="shared" si="59"/>
        <v>234.83645593614608</v>
      </c>
      <c r="AB58" s="165">
        <f t="shared" si="59"/>
        <v>239.38100582652388</v>
      </c>
      <c r="AC58" s="165">
        <f t="shared" si="59"/>
        <v>250.47379611646011</v>
      </c>
      <c r="AD58" s="165">
        <f t="shared" si="59"/>
        <v>242.75774055369266</v>
      </c>
      <c r="AE58" s="164"/>
      <c r="AF58" s="165">
        <f t="shared" si="60"/>
        <v>233.96361796129568</v>
      </c>
      <c r="AG58" s="165">
        <f t="shared" si="60"/>
        <v>216.69951214512702</v>
      </c>
      <c r="AH58" s="165">
        <f t="shared" si="60"/>
        <v>220.99938766367791</v>
      </c>
      <c r="AI58" s="165">
        <f t="shared" si="60"/>
        <v>231.32962388195671</v>
      </c>
      <c r="AJ58" s="165">
        <f t="shared" si="60"/>
        <v>224.27741219211396</v>
      </c>
      <c r="AK58" s="164"/>
      <c r="AL58" s="165">
        <f t="shared" si="61"/>
        <v>19.563211763915717</v>
      </c>
      <c r="AM58" s="165">
        <f t="shared" si="61"/>
        <v>18.13694379101905</v>
      </c>
      <c r="AN58" s="165">
        <f t="shared" si="61"/>
        <v>18.381618162845992</v>
      </c>
      <c r="AO58" s="165">
        <f t="shared" si="61"/>
        <v>19.144172234503415</v>
      </c>
      <c r="AP58" s="165">
        <f t="shared" si="61"/>
        <v>18.480328361578685</v>
      </c>
      <c r="AQ58" s="72" t="str">
        <f t="shared" si="62"/>
        <v>25-29</v>
      </c>
      <c r="AR58" s="165">
        <f t="shared" si="63"/>
        <v>268.657509946196</v>
      </c>
      <c r="AS58" s="165">
        <f t="shared" si="63"/>
        <v>278.23442986652105</v>
      </c>
      <c r="AT58" s="165">
        <f t="shared" si="63"/>
        <v>292.29787162317513</v>
      </c>
      <c r="AU58" s="165">
        <f t="shared" si="63"/>
        <v>322.87025329734149</v>
      </c>
      <c r="AV58" s="165">
        <f t="shared" si="63"/>
        <v>330.34739351942437</v>
      </c>
      <c r="AW58" s="164"/>
      <c r="AX58" s="165">
        <f t="shared" si="64"/>
        <v>266.3288913677211</v>
      </c>
      <c r="AY58" s="165">
        <f t="shared" si="64"/>
        <v>275.82018573820613</v>
      </c>
      <c r="AZ58" s="165">
        <f t="shared" si="64"/>
        <v>289.76922026464791</v>
      </c>
      <c r="BA58" s="165">
        <f t="shared" si="64"/>
        <v>320.08257546262871</v>
      </c>
      <c r="BB58" s="165">
        <f t="shared" si="64"/>
        <v>327.50130630655138</v>
      </c>
      <c r="BC58" s="164"/>
      <c r="BD58" s="165">
        <f t="shared" si="65"/>
        <v>2.3286185784749271</v>
      </c>
      <c r="BE58" s="165">
        <f t="shared" si="65"/>
        <v>2.414244128314877</v>
      </c>
      <c r="BF58" s="165">
        <f t="shared" si="65"/>
        <v>2.5286513585272092</v>
      </c>
      <c r="BG58" s="165">
        <f t="shared" si="65"/>
        <v>2.7876778347128019</v>
      </c>
      <c r="BH58" s="165">
        <f t="shared" si="65"/>
        <v>2.8460872128729875</v>
      </c>
    </row>
    <row r="59" spans="1:60">
      <c r="A59" s="72" t="str">
        <f t="shared" si="53"/>
        <v>30-34</v>
      </c>
      <c r="B59" s="165">
        <f t="shared" si="54"/>
        <v>88.294623576316411</v>
      </c>
      <c r="C59" s="165">
        <f t="shared" si="54"/>
        <v>89.184182813705448</v>
      </c>
      <c r="D59" s="165">
        <f t="shared" si="54"/>
        <v>78.82086492460455</v>
      </c>
      <c r="E59" s="165">
        <f t="shared" si="54"/>
        <v>73.409248466261431</v>
      </c>
      <c r="F59" s="165">
        <f t="shared" si="54"/>
        <v>62.433211012240555</v>
      </c>
      <c r="G59" s="164"/>
      <c r="H59" s="165">
        <f t="shared" si="55"/>
        <v>28.30985950772898</v>
      </c>
      <c r="I59" s="165">
        <f t="shared" si="55"/>
        <v>28.523912034677551</v>
      </c>
      <c r="J59" s="165">
        <f t="shared" si="55"/>
        <v>25.261997348079788</v>
      </c>
      <c r="K59" s="165">
        <f t="shared" si="55"/>
        <v>23.527246978251746</v>
      </c>
      <c r="L59" s="165">
        <f t="shared" si="55"/>
        <v>20.017532858379102</v>
      </c>
      <c r="M59" s="164"/>
      <c r="N59" s="165">
        <f t="shared" si="56"/>
        <v>59.984764068587438</v>
      </c>
      <c r="O59" s="165">
        <f t="shared" si="56"/>
        <v>60.660270779027904</v>
      </c>
      <c r="P59" s="165">
        <f t="shared" si="56"/>
        <v>53.558867576524761</v>
      </c>
      <c r="Q59" s="165">
        <f t="shared" si="56"/>
        <v>49.882001488009664</v>
      </c>
      <c r="R59" s="165">
        <f t="shared" si="56"/>
        <v>42.41567815386145</v>
      </c>
      <c r="S59" s="164"/>
      <c r="T59" s="165">
        <f t="shared" si="57"/>
        <v>0</v>
      </c>
      <c r="U59" s="165">
        <f t="shared" si="57"/>
        <v>0</v>
      </c>
      <c r="V59" s="165">
        <f t="shared" si="57"/>
        <v>0</v>
      </c>
      <c r="W59" s="165">
        <f t="shared" si="57"/>
        <v>0</v>
      </c>
      <c r="X59" s="165">
        <f t="shared" si="57"/>
        <v>0</v>
      </c>
      <c r="Y59" s="72" t="str">
        <f t="shared" si="58"/>
        <v>30-34</v>
      </c>
      <c r="Z59" s="165">
        <f t="shared" si="59"/>
        <v>252.02853262692997</v>
      </c>
      <c r="AA59" s="165">
        <f t="shared" si="59"/>
        <v>241.95757229192009</v>
      </c>
      <c r="AB59" s="165">
        <f t="shared" si="59"/>
        <v>250.36416862690376</v>
      </c>
      <c r="AC59" s="165">
        <f t="shared" si="59"/>
        <v>260.01917178438288</v>
      </c>
      <c r="AD59" s="165">
        <f t="shared" si="59"/>
        <v>277.87154542964436</v>
      </c>
      <c r="AE59" s="164"/>
      <c r="AF59" s="165">
        <f t="shared" si="60"/>
        <v>233.37617479742303</v>
      </c>
      <c r="AG59" s="165">
        <f t="shared" si="60"/>
        <v>224.1436906659363</v>
      </c>
      <c r="AH59" s="165">
        <f t="shared" si="60"/>
        <v>231.98013090632361</v>
      </c>
      <c r="AI59" s="165">
        <f t="shared" si="60"/>
        <v>240.99879756210669</v>
      </c>
      <c r="AJ59" s="165">
        <f t="shared" si="60"/>
        <v>257.66322853004982</v>
      </c>
      <c r="AK59" s="164"/>
      <c r="AL59" s="165">
        <f t="shared" si="61"/>
        <v>18.65235782950694</v>
      </c>
      <c r="AM59" s="165">
        <f t="shared" si="61"/>
        <v>17.813881625983782</v>
      </c>
      <c r="AN59" s="165">
        <f t="shared" si="61"/>
        <v>18.384037720580174</v>
      </c>
      <c r="AO59" s="165">
        <f t="shared" si="61"/>
        <v>19.02037422227616</v>
      </c>
      <c r="AP59" s="165">
        <f t="shared" si="61"/>
        <v>20.208316899594564</v>
      </c>
      <c r="AQ59" s="72" t="str">
        <f t="shared" si="62"/>
        <v>30-34</v>
      </c>
      <c r="AR59" s="165">
        <f t="shared" si="63"/>
        <v>280.69384379675364</v>
      </c>
      <c r="AS59" s="165">
        <f t="shared" si="63"/>
        <v>298.74624489437451</v>
      </c>
      <c r="AT59" s="165">
        <f t="shared" si="63"/>
        <v>315.83096644849167</v>
      </c>
      <c r="AU59" s="165">
        <f t="shared" si="63"/>
        <v>342.31857974935576</v>
      </c>
      <c r="AV59" s="165">
        <f t="shared" si="63"/>
        <v>384.08524355811511</v>
      </c>
      <c r="AW59" s="164"/>
      <c r="AX59" s="165">
        <f t="shared" si="64"/>
        <v>275.62991148902091</v>
      </c>
      <c r="AY59" s="165">
        <f t="shared" si="64"/>
        <v>293.35345054546065</v>
      </c>
      <c r="AZ59" s="165">
        <f t="shared" si="64"/>
        <v>310.17909296528001</v>
      </c>
      <c r="BA59" s="165">
        <f t="shared" si="64"/>
        <v>336.2348278556392</v>
      </c>
      <c r="BB59" s="165">
        <f t="shared" si="64"/>
        <v>377.23616137901718</v>
      </c>
      <c r="BC59" s="164"/>
      <c r="BD59" s="165">
        <f t="shared" si="65"/>
        <v>5.063932307732685</v>
      </c>
      <c r="BE59" s="165">
        <f t="shared" si="65"/>
        <v>5.3927943489138421</v>
      </c>
      <c r="BF59" s="165">
        <f t="shared" si="65"/>
        <v>5.6518734832116824</v>
      </c>
      <c r="BG59" s="165">
        <f t="shared" si="65"/>
        <v>6.0837518937165616</v>
      </c>
      <c r="BH59" s="165">
        <f t="shared" si="65"/>
        <v>6.8490821790979144</v>
      </c>
    </row>
    <row r="60" spans="1:60">
      <c r="A60" s="72" t="str">
        <f t="shared" si="53"/>
        <v>35-39</v>
      </c>
      <c r="B60" s="165">
        <f t="shared" si="54"/>
        <v>116.40573165092457</v>
      </c>
      <c r="C60" s="165">
        <f t="shared" si="54"/>
        <v>111.62087650319086</v>
      </c>
      <c r="D60" s="165">
        <f t="shared" si="54"/>
        <v>87.010674497835979</v>
      </c>
      <c r="E60" s="165">
        <f t="shared" si="54"/>
        <v>72.169455639072808</v>
      </c>
      <c r="F60" s="165">
        <f t="shared" si="54"/>
        <v>56.078787071994824</v>
      </c>
      <c r="G60" s="164"/>
      <c r="H60" s="165">
        <f t="shared" si="55"/>
        <v>35.263117567908004</v>
      </c>
      <c r="I60" s="165">
        <f t="shared" si="55"/>
        <v>33.826936328651151</v>
      </c>
      <c r="J60" s="165">
        <f t="shared" si="55"/>
        <v>26.372888660399127</v>
      </c>
      <c r="K60" s="165">
        <f t="shared" si="55"/>
        <v>21.873558995262968</v>
      </c>
      <c r="L60" s="165">
        <f t="shared" si="55"/>
        <v>16.999346797068803</v>
      </c>
      <c r="M60" s="164"/>
      <c r="N60" s="165">
        <f t="shared" si="56"/>
        <v>81.142614083016582</v>
      </c>
      <c r="O60" s="165">
        <f t="shared" si="56"/>
        <v>77.793940174539699</v>
      </c>
      <c r="P60" s="165">
        <f t="shared" si="56"/>
        <v>60.637785837436844</v>
      </c>
      <c r="Q60" s="165">
        <f t="shared" si="56"/>
        <v>50.29589664380984</v>
      </c>
      <c r="R60" s="165">
        <f t="shared" si="56"/>
        <v>39.079440274926021</v>
      </c>
      <c r="S60" s="164"/>
      <c r="T60" s="165">
        <f t="shared" si="57"/>
        <v>0</v>
      </c>
      <c r="U60" s="165">
        <f t="shared" si="57"/>
        <v>0</v>
      </c>
      <c r="V60" s="165">
        <f t="shared" si="57"/>
        <v>0</v>
      </c>
      <c r="W60" s="165">
        <f t="shared" si="57"/>
        <v>0</v>
      </c>
      <c r="X60" s="165">
        <f t="shared" si="57"/>
        <v>0</v>
      </c>
      <c r="Y60" s="72" t="str">
        <f t="shared" si="58"/>
        <v>35-39</v>
      </c>
      <c r="Z60" s="165">
        <f t="shared" si="59"/>
        <v>292.69516984616689</v>
      </c>
      <c r="AA60" s="165">
        <f t="shared" si="59"/>
        <v>264.43124011815416</v>
      </c>
      <c r="AB60" s="165">
        <f t="shared" si="59"/>
        <v>249.36383456629306</v>
      </c>
      <c r="AC60" s="165">
        <f t="shared" si="59"/>
        <v>265.62693121403328</v>
      </c>
      <c r="AD60" s="165">
        <f t="shared" si="59"/>
        <v>281.01300955525153</v>
      </c>
      <c r="AE60" s="164"/>
      <c r="AF60" s="165">
        <f t="shared" si="60"/>
        <v>274.90708265744615</v>
      </c>
      <c r="AG60" s="165">
        <f t="shared" si="60"/>
        <v>248.33674178769135</v>
      </c>
      <c r="AH60" s="165">
        <f t="shared" si="60"/>
        <v>234.22524163699583</v>
      </c>
      <c r="AI60" s="165">
        <f t="shared" si="60"/>
        <v>249.52613818829445</v>
      </c>
      <c r="AJ60" s="165">
        <f t="shared" si="60"/>
        <v>264.00561865600736</v>
      </c>
      <c r="AK60" s="164"/>
      <c r="AL60" s="165">
        <f t="shared" si="61"/>
        <v>17.788087188720716</v>
      </c>
      <c r="AM60" s="165">
        <f t="shared" si="61"/>
        <v>16.094498330462777</v>
      </c>
      <c r="AN60" s="165">
        <f t="shared" si="61"/>
        <v>15.138592929297266</v>
      </c>
      <c r="AO60" s="165">
        <f t="shared" si="61"/>
        <v>16.100793025738767</v>
      </c>
      <c r="AP60" s="165">
        <f t="shared" si="61"/>
        <v>17.007390899244211</v>
      </c>
      <c r="AQ60" s="72" t="str">
        <f t="shared" si="62"/>
        <v>35-39</v>
      </c>
      <c r="AR60" s="165">
        <f t="shared" si="63"/>
        <v>271.17009850290862</v>
      </c>
      <c r="AS60" s="165">
        <f t="shared" si="63"/>
        <v>299.350883378655</v>
      </c>
      <c r="AT60" s="165">
        <f t="shared" si="63"/>
        <v>309.54249093587089</v>
      </c>
      <c r="AU60" s="165">
        <f t="shared" si="63"/>
        <v>347.30661314689394</v>
      </c>
      <c r="AV60" s="165">
        <f t="shared" si="63"/>
        <v>383.85620337275361</v>
      </c>
      <c r="AW60" s="164"/>
      <c r="AX60" s="165">
        <f t="shared" si="64"/>
        <v>266.39031937491359</v>
      </c>
      <c r="AY60" s="165">
        <f t="shared" si="64"/>
        <v>294.09970734798696</v>
      </c>
      <c r="AZ60" s="165">
        <f t="shared" si="64"/>
        <v>304.18685308252333</v>
      </c>
      <c r="BA60" s="165">
        <f t="shared" si="64"/>
        <v>341.32613291295013</v>
      </c>
      <c r="BB60" s="165">
        <f t="shared" si="64"/>
        <v>377.26357305597628</v>
      </c>
      <c r="BC60" s="164"/>
      <c r="BD60" s="165">
        <f t="shared" si="65"/>
        <v>4.7797791279950284</v>
      </c>
      <c r="BE60" s="165">
        <f t="shared" si="65"/>
        <v>5.2511760306679776</v>
      </c>
      <c r="BF60" s="165">
        <f t="shared" si="65"/>
        <v>5.3556378533475719</v>
      </c>
      <c r="BG60" s="165">
        <f t="shared" si="65"/>
        <v>5.9804802339438368</v>
      </c>
      <c r="BH60" s="165">
        <f t="shared" si="65"/>
        <v>6.5926303167773872</v>
      </c>
    </row>
    <row r="61" spans="1:60">
      <c r="A61" s="72" t="str">
        <f t="shared" si="53"/>
        <v>40-44</v>
      </c>
      <c r="B61" s="165">
        <f t="shared" si="54"/>
        <v>156.26741886428681</v>
      </c>
      <c r="C61" s="165">
        <f t="shared" si="54"/>
        <v>138.06633532257501</v>
      </c>
      <c r="D61" s="165">
        <f t="shared" si="54"/>
        <v>102.04230405027101</v>
      </c>
      <c r="E61" s="165">
        <f t="shared" si="54"/>
        <v>72.607670352464169</v>
      </c>
      <c r="F61" s="165">
        <f t="shared" si="54"/>
        <v>53.870397558877769</v>
      </c>
      <c r="G61" s="164"/>
      <c r="H61" s="165">
        <f t="shared" si="55"/>
        <v>49.7957894254127</v>
      </c>
      <c r="I61" s="165">
        <f t="shared" si="55"/>
        <v>43.898270250594351</v>
      </c>
      <c r="J61" s="165">
        <f t="shared" si="55"/>
        <v>32.409044993954737</v>
      </c>
      <c r="K61" s="165">
        <f t="shared" si="55"/>
        <v>23.036152368803652</v>
      </c>
      <c r="L61" s="165">
        <f t="shared" si="55"/>
        <v>17.053911147098564</v>
      </c>
      <c r="M61" s="164"/>
      <c r="N61" s="165">
        <f t="shared" si="56"/>
        <v>106.47162943887409</v>
      </c>
      <c r="O61" s="165">
        <f t="shared" si="56"/>
        <v>94.168065071980649</v>
      </c>
      <c r="P61" s="165">
        <f t="shared" si="56"/>
        <v>69.633259056316291</v>
      </c>
      <c r="Q61" s="165">
        <f t="shared" si="56"/>
        <v>49.571517983660513</v>
      </c>
      <c r="R61" s="165">
        <f t="shared" si="56"/>
        <v>36.816486411779202</v>
      </c>
      <c r="S61" s="164"/>
      <c r="T61" s="165">
        <f t="shared" si="57"/>
        <v>0</v>
      </c>
      <c r="U61" s="165">
        <f t="shared" si="57"/>
        <v>0</v>
      </c>
      <c r="V61" s="165">
        <f t="shared" si="57"/>
        <v>0</v>
      </c>
      <c r="W61" s="165">
        <f t="shared" si="57"/>
        <v>0</v>
      </c>
      <c r="X61" s="165">
        <f t="shared" si="57"/>
        <v>0</v>
      </c>
      <c r="Y61" s="72" t="str">
        <f t="shared" si="58"/>
        <v>40-44</v>
      </c>
      <c r="Z61" s="165">
        <f t="shared" si="59"/>
        <v>297.53049844792429</v>
      </c>
      <c r="AA61" s="165">
        <f t="shared" si="59"/>
        <v>279.21152782576593</v>
      </c>
      <c r="AB61" s="165">
        <f t="shared" si="59"/>
        <v>264.15997152705989</v>
      </c>
      <c r="AC61" s="165">
        <f t="shared" si="59"/>
        <v>265.769688987834</v>
      </c>
      <c r="AD61" s="165">
        <f t="shared" si="59"/>
        <v>285.38300501207038</v>
      </c>
      <c r="AE61" s="164"/>
      <c r="AF61" s="165">
        <f t="shared" si="60"/>
        <v>281.6051488677208</v>
      </c>
      <c r="AG61" s="165">
        <f t="shared" si="60"/>
        <v>264.27565335337636</v>
      </c>
      <c r="AH61" s="165">
        <f t="shared" si="60"/>
        <v>250.06064702096575</v>
      </c>
      <c r="AI61" s="165">
        <f t="shared" si="60"/>
        <v>251.59948400746447</v>
      </c>
      <c r="AJ61" s="165">
        <f t="shared" si="60"/>
        <v>270.1868670204085</v>
      </c>
      <c r="AK61" s="164"/>
      <c r="AL61" s="165">
        <f t="shared" si="61"/>
        <v>15.925349580203488</v>
      </c>
      <c r="AM61" s="165">
        <f t="shared" si="61"/>
        <v>14.935874472389486</v>
      </c>
      <c r="AN61" s="165">
        <f t="shared" si="61"/>
        <v>14.099324506094138</v>
      </c>
      <c r="AO61" s="165">
        <f t="shared" si="61"/>
        <v>14.170204980369528</v>
      </c>
      <c r="AP61" s="165">
        <f t="shared" si="61"/>
        <v>15.196137991661878</v>
      </c>
      <c r="AQ61" s="72" t="str">
        <f t="shared" si="62"/>
        <v>40-44</v>
      </c>
      <c r="AR61" s="165">
        <f t="shared" si="63"/>
        <v>254.53008268778893</v>
      </c>
      <c r="AS61" s="165">
        <f t="shared" si="63"/>
        <v>277.04113685165908</v>
      </c>
      <c r="AT61" s="165">
        <f t="shared" si="63"/>
        <v>302.03972442266905</v>
      </c>
      <c r="AU61" s="165">
        <f t="shared" si="63"/>
        <v>315.32964065970185</v>
      </c>
      <c r="AV61" s="165">
        <f t="shared" si="63"/>
        <v>349.0545974290518</v>
      </c>
      <c r="AW61" s="164"/>
      <c r="AX61" s="165">
        <f t="shared" si="64"/>
        <v>250.24828407721705</v>
      </c>
      <c r="AY61" s="165">
        <f t="shared" si="64"/>
        <v>272.4224484468516</v>
      </c>
      <c r="AZ61" s="165">
        <f t="shared" si="64"/>
        <v>297.01618494130969</v>
      </c>
      <c r="BA61" s="165">
        <f t="shared" si="64"/>
        <v>310.0976851562209</v>
      </c>
      <c r="BB61" s="165">
        <f t="shared" si="64"/>
        <v>343.26501484324086</v>
      </c>
      <c r="BC61" s="164"/>
      <c r="BD61" s="165">
        <f t="shared" si="65"/>
        <v>4.2817986105719035</v>
      </c>
      <c r="BE61" s="165">
        <f t="shared" si="65"/>
        <v>4.6186884048075676</v>
      </c>
      <c r="BF61" s="165">
        <f t="shared" si="65"/>
        <v>5.0235394813593235</v>
      </c>
      <c r="BG61" s="165">
        <f t="shared" si="65"/>
        <v>5.2319555034809255</v>
      </c>
      <c r="BH61" s="165">
        <f t="shared" si="65"/>
        <v>5.7895825858109662</v>
      </c>
    </row>
    <row r="62" spans="1:60">
      <c r="A62" s="72" t="str">
        <f t="shared" si="53"/>
        <v>45-49</v>
      </c>
      <c r="B62" s="165">
        <f t="shared" si="54"/>
        <v>192.10532237663983</v>
      </c>
      <c r="C62" s="165">
        <f t="shared" si="54"/>
        <v>181.7014990686323</v>
      </c>
      <c r="D62" s="165">
        <f t="shared" si="54"/>
        <v>125.84366969436242</v>
      </c>
      <c r="E62" s="165">
        <f t="shared" si="54"/>
        <v>94.413771810554039</v>
      </c>
      <c r="F62" s="165">
        <f t="shared" si="54"/>
        <v>69.482068956144474</v>
      </c>
      <c r="G62" s="164"/>
      <c r="H62" s="165">
        <f t="shared" si="55"/>
        <v>63.114524104301118</v>
      </c>
      <c r="I62" s="165">
        <f t="shared" si="55"/>
        <v>59.680357878773279</v>
      </c>
      <c r="J62" s="165">
        <f t="shared" si="55"/>
        <v>41.135830568231285</v>
      </c>
      <c r="K62" s="165">
        <f t="shared" si="55"/>
        <v>30.734675124538327</v>
      </c>
      <c r="L62" s="165">
        <f t="shared" si="55"/>
        <v>22.525760365918362</v>
      </c>
      <c r="M62" s="164"/>
      <c r="N62" s="165">
        <f t="shared" si="56"/>
        <v>128.99079827233871</v>
      </c>
      <c r="O62" s="165">
        <f t="shared" si="56"/>
        <v>122.02114118985901</v>
      </c>
      <c r="P62" s="165">
        <f t="shared" si="56"/>
        <v>84.707839126131134</v>
      </c>
      <c r="Q62" s="165">
        <f t="shared" si="56"/>
        <v>63.679096686015725</v>
      </c>
      <c r="R62" s="165">
        <f t="shared" si="56"/>
        <v>46.956308590226101</v>
      </c>
      <c r="S62" s="164"/>
      <c r="T62" s="165">
        <f t="shared" si="57"/>
        <v>0</v>
      </c>
      <c r="U62" s="165">
        <f t="shared" si="57"/>
        <v>0</v>
      </c>
      <c r="V62" s="165">
        <f t="shared" si="57"/>
        <v>0</v>
      </c>
      <c r="W62" s="165">
        <f t="shared" si="57"/>
        <v>0</v>
      </c>
      <c r="X62" s="165">
        <f t="shared" si="57"/>
        <v>0</v>
      </c>
      <c r="Y62" s="72" t="str">
        <f t="shared" si="58"/>
        <v>45-49</v>
      </c>
      <c r="Z62" s="165">
        <f t="shared" si="59"/>
        <v>259.3931665564873</v>
      </c>
      <c r="AA62" s="165">
        <f t="shared" si="59"/>
        <v>259.85569110569543</v>
      </c>
      <c r="AB62" s="165">
        <f t="shared" si="59"/>
        <v>276.06033600610709</v>
      </c>
      <c r="AC62" s="165">
        <f t="shared" si="59"/>
        <v>283.54672387522641</v>
      </c>
      <c r="AD62" s="165">
        <f t="shared" si="59"/>
        <v>287.849736988811</v>
      </c>
      <c r="AE62" s="164"/>
      <c r="AF62" s="165">
        <f t="shared" si="60"/>
        <v>247.30603323034916</v>
      </c>
      <c r="AG62" s="165">
        <f t="shared" si="60"/>
        <v>247.7788871489098</v>
      </c>
      <c r="AH62" s="165">
        <f t="shared" si="60"/>
        <v>263.21646229283618</v>
      </c>
      <c r="AI62" s="165">
        <f t="shared" si="60"/>
        <v>270.34872282364341</v>
      </c>
      <c r="AJ62" s="165">
        <f t="shared" si="60"/>
        <v>274.44279780539426</v>
      </c>
      <c r="AK62" s="164"/>
      <c r="AL62" s="165">
        <f t="shared" si="61"/>
        <v>12.087133326138117</v>
      </c>
      <c r="AM62" s="165">
        <f t="shared" si="61"/>
        <v>12.076803956785602</v>
      </c>
      <c r="AN62" s="165">
        <f t="shared" si="61"/>
        <v>12.84387371327092</v>
      </c>
      <c r="AO62" s="165">
        <f t="shared" si="61"/>
        <v>13.198001051582985</v>
      </c>
      <c r="AP62" s="165">
        <f t="shared" si="61"/>
        <v>13.40693918341676</v>
      </c>
      <c r="AQ62" s="72" t="str">
        <f t="shared" si="62"/>
        <v>45-49</v>
      </c>
      <c r="AR62" s="165">
        <f t="shared" si="63"/>
        <v>233.19851106687287</v>
      </c>
      <c r="AS62" s="165">
        <f t="shared" si="63"/>
        <v>255.42780982567223</v>
      </c>
      <c r="AT62" s="165">
        <f t="shared" si="63"/>
        <v>278.84899429953055</v>
      </c>
      <c r="AU62" s="165">
        <f t="shared" si="63"/>
        <v>292.33350431421957</v>
      </c>
      <c r="AV62" s="165">
        <f t="shared" si="63"/>
        <v>302.44819405504461</v>
      </c>
      <c r="AW62" s="164"/>
      <c r="AX62" s="165">
        <f t="shared" si="64"/>
        <v>228.81453920689103</v>
      </c>
      <c r="AY62" s="165">
        <f t="shared" si="64"/>
        <v>250.65558136759938</v>
      </c>
      <c r="AZ62" s="165">
        <f t="shared" si="64"/>
        <v>273.711876568962</v>
      </c>
      <c r="BA62" s="165">
        <f t="shared" si="64"/>
        <v>286.97795838324782</v>
      </c>
      <c r="BB62" s="165">
        <f t="shared" si="64"/>
        <v>296.93591992657696</v>
      </c>
      <c r="BC62" s="164"/>
      <c r="BD62" s="165">
        <f t="shared" si="65"/>
        <v>4.3839718599818829</v>
      </c>
      <c r="BE62" s="165">
        <f t="shared" si="65"/>
        <v>4.7722284580728216</v>
      </c>
      <c r="BF62" s="165">
        <f t="shared" si="65"/>
        <v>5.1371177305685114</v>
      </c>
      <c r="BG62" s="165">
        <f t="shared" si="65"/>
        <v>5.3555459309717897</v>
      </c>
      <c r="BH62" s="165">
        <f t="shared" si="65"/>
        <v>5.5122741284676167</v>
      </c>
    </row>
    <row r="63" spans="1:60">
      <c r="A63" s="72" t="str">
        <f t="shared" si="53"/>
        <v>50-54</v>
      </c>
      <c r="B63" s="165">
        <f t="shared" si="54"/>
        <v>185.40604857322711</v>
      </c>
      <c r="C63" s="165">
        <f t="shared" si="54"/>
        <v>192.72292557560411</v>
      </c>
      <c r="D63" s="165">
        <f t="shared" si="54"/>
        <v>162.16719193834749</v>
      </c>
      <c r="E63" s="165">
        <f t="shared" si="54"/>
        <v>133.41410305220273</v>
      </c>
      <c r="F63" s="165">
        <f t="shared" si="54"/>
        <v>106.3528116102037</v>
      </c>
      <c r="G63" s="164"/>
      <c r="H63" s="165">
        <f t="shared" si="55"/>
        <v>66.691082872087563</v>
      </c>
      <c r="I63" s="165">
        <f t="shared" si="55"/>
        <v>69.308339401755902</v>
      </c>
      <c r="J63" s="165">
        <f t="shared" si="55"/>
        <v>58.294203339386414</v>
      </c>
      <c r="K63" s="165">
        <f t="shared" si="55"/>
        <v>47.904759864066669</v>
      </c>
      <c r="L63" s="165">
        <f t="shared" si="55"/>
        <v>38.151642732729172</v>
      </c>
      <c r="M63" s="164"/>
      <c r="N63" s="165">
        <f t="shared" si="56"/>
        <v>118.71496570113956</v>
      </c>
      <c r="O63" s="165">
        <f t="shared" si="56"/>
        <v>123.41458617384822</v>
      </c>
      <c r="P63" s="165">
        <f t="shared" si="56"/>
        <v>103.87298859896106</v>
      </c>
      <c r="Q63" s="165">
        <f t="shared" si="56"/>
        <v>85.509343188136071</v>
      </c>
      <c r="R63" s="165">
        <f t="shared" si="56"/>
        <v>68.201168877474544</v>
      </c>
      <c r="S63" s="164"/>
      <c r="T63" s="165">
        <f t="shared" si="57"/>
        <v>0</v>
      </c>
      <c r="U63" s="165">
        <f t="shared" si="57"/>
        <v>0</v>
      </c>
      <c r="V63" s="165">
        <f t="shared" si="57"/>
        <v>0</v>
      </c>
      <c r="W63" s="165">
        <f t="shared" si="57"/>
        <v>0</v>
      </c>
      <c r="X63" s="165">
        <f t="shared" si="57"/>
        <v>0</v>
      </c>
      <c r="Y63" s="72" t="str">
        <f t="shared" si="58"/>
        <v>50-54</v>
      </c>
      <c r="Z63" s="165">
        <f t="shared" si="59"/>
        <v>200.15705088001573</v>
      </c>
      <c r="AA63" s="165">
        <f t="shared" si="59"/>
        <v>218.54573674510601</v>
      </c>
      <c r="AB63" s="165">
        <f t="shared" si="59"/>
        <v>239.21960647496348</v>
      </c>
      <c r="AC63" s="165">
        <f t="shared" si="59"/>
        <v>257.81605841504751</v>
      </c>
      <c r="AD63" s="165">
        <f t="shared" si="59"/>
        <v>271.65581059286012</v>
      </c>
      <c r="AE63" s="164"/>
      <c r="AF63" s="165">
        <f t="shared" si="60"/>
        <v>190.04078964826027</v>
      </c>
      <c r="AG63" s="165">
        <f t="shared" si="60"/>
        <v>207.46488432579588</v>
      </c>
      <c r="AH63" s="165">
        <f t="shared" si="60"/>
        <v>227.09664617165495</v>
      </c>
      <c r="AI63" s="165">
        <f t="shared" si="60"/>
        <v>244.71475666454</v>
      </c>
      <c r="AJ63" s="165">
        <f t="shared" si="60"/>
        <v>257.79476785525156</v>
      </c>
      <c r="AK63" s="164"/>
      <c r="AL63" s="165">
        <f t="shared" si="61"/>
        <v>10.116261231755457</v>
      </c>
      <c r="AM63" s="165">
        <f t="shared" si="61"/>
        <v>11.080852419310158</v>
      </c>
      <c r="AN63" s="165">
        <f t="shared" si="61"/>
        <v>12.122960303308531</v>
      </c>
      <c r="AO63" s="165">
        <f t="shared" si="61"/>
        <v>13.101301750507519</v>
      </c>
      <c r="AP63" s="165">
        <f t="shared" si="61"/>
        <v>13.861042737608585</v>
      </c>
      <c r="AQ63" s="72" t="str">
        <f t="shared" si="62"/>
        <v>50-54</v>
      </c>
      <c r="AR63" s="165">
        <f t="shared" si="63"/>
        <v>172.51190054675715</v>
      </c>
      <c r="AS63" s="165">
        <f t="shared" si="63"/>
        <v>201.44733767928977</v>
      </c>
      <c r="AT63" s="165">
        <f t="shared" si="63"/>
        <v>243.89220158668905</v>
      </c>
      <c r="AU63" s="165">
        <f t="shared" si="63"/>
        <v>263.09583853274978</v>
      </c>
      <c r="AV63" s="165">
        <f t="shared" si="63"/>
        <v>278.2843777969361</v>
      </c>
      <c r="AW63" s="164"/>
      <c r="AX63" s="165">
        <f t="shared" si="64"/>
        <v>168.88787751101148</v>
      </c>
      <c r="AY63" s="165">
        <f t="shared" si="64"/>
        <v>197.35794837642953</v>
      </c>
      <c r="AZ63" s="165">
        <f t="shared" si="64"/>
        <v>238.9340888070729</v>
      </c>
      <c r="BA63" s="165">
        <f t="shared" si="64"/>
        <v>257.81671276903228</v>
      </c>
      <c r="BB63" s="165">
        <f t="shared" si="64"/>
        <v>272.79729732120262</v>
      </c>
      <c r="BC63" s="164"/>
      <c r="BD63" s="165">
        <f t="shared" si="65"/>
        <v>3.6240230357456578</v>
      </c>
      <c r="BE63" s="165">
        <f t="shared" si="65"/>
        <v>4.0893893028602495</v>
      </c>
      <c r="BF63" s="165">
        <f t="shared" si="65"/>
        <v>4.958112779616183</v>
      </c>
      <c r="BG63" s="165">
        <f t="shared" si="65"/>
        <v>5.2791257637175608</v>
      </c>
      <c r="BH63" s="165">
        <f t="shared" si="65"/>
        <v>5.4870804757334763</v>
      </c>
    </row>
    <row r="64" spans="1:60">
      <c r="A64" s="72" t="str">
        <f t="shared" si="53"/>
        <v>55-59</v>
      </c>
      <c r="B64" s="165">
        <f t="shared" si="54"/>
        <v>118.1352024705036</v>
      </c>
      <c r="C64" s="165">
        <f t="shared" si="54"/>
        <v>125.51688761373863</v>
      </c>
      <c r="D64" s="165">
        <f t="shared" si="54"/>
        <v>135.69347634171973</v>
      </c>
      <c r="E64" s="165">
        <f t="shared" si="54"/>
        <v>127.61999627132217</v>
      </c>
      <c r="F64" s="165">
        <f t="shared" si="54"/>
        <v>103.83680807778796</v>
      </c>
      <c r="G64" s="164"/>
      <c r="H64" s="165">
        <f t="shared" si="55"/>
        <v>47.020085047969616</v>
      </c>
      <c r="I64" s="165">
        <f t="shared" si="55"/>
        <v>49.942017947737568</v>
      </c>
      <c r="J64" s="165">
        <f t="shared" si="55"/>
        <v>53.996980542501134</v>
      </c>
      <c r="K64" s="165">
        <f t="shared" si="55"/>
        <v>50.765369807184982</v>
      </c>
      <c r="L64" s="165">
        <f t="shared" si="55"/>
        <v>41.29898124275995</v>
      </c>
      <c r="M64" s="164"/>
      <c r="N64" s="165">
        <f t="shared" si="56"/>
        <v>71.115117422534013</v>
      </c>
      <c r="O64" s="165">
        <f t="shared" si="56"/>
        <v>75.574869666001078</v>
      </c>
      <c r="P64" s="165">
        <f t="shared" si="56"/>
        <v>81.696495799218582</v>
      </c>
      <c r="Q64" s="165">
        <f t="shared" si="56"/>
        <v>76.854626464137169</v>
      </c>
      <c r="R64" s="165">
        <f t="shared" si="56"/>
        <v>62.537826835028014</v>
      </c>
      <c r="S64" s="164"/>
      <c r="T64" s="165">
        <f t="shared" si="57"/>
        <v>0</v>
      </c>
      <c r="U64" s="165">
        <f t="shared" si="57"/>
        <v>0</v>
      </c>
      <c r="V64" s="165">
        <f t="shared" si="57"/>
        <v>0</v>
      </c>
      <c r="W64" s="165">
        <f t="shared" si="57"/>
        <v>0</v>
      </c>
      <c r="X64" s="165">
        <f t="shared" si="57"/>
        <v>0</v>
      </c>
      <c r="Y64" s="72" t="str">
        <f t="shared" si="58"/>
        <v>55-59</v>
      </c>
      <c r="Z64" s="165">
        <f t="shared" si="59"/>
        <v>122.81319674265731</v>
      </c>
      <c r="AA64" s="165">
        <f t="shared" si="59"/>
        <v>127.76576484388534</v>
      </c>
      <c r="AB64" s="165">
        <f t="shared" si="59"/>
        <v>167.56934646025536</v>
      </c>
      <c r="AC64" s="165">
        <f t="shared" si="59"/>
        <v>201.55893986495374</v>
      </c>
      <c r="AD64" s="165">
        <f t="shared" si="59"/>
        <v>218.03560485524812</v>
      </c>
      <c r="AE64" s="164"/>
      <c r="AF64" s="165">
        <f t="shared" si="60"/>
        <v>115.33146461461402</v>
      </c>
      <c r="AG64" s="165">
        <f t="shared" si="60"/>
        <v>119.93869463814224</v>
      </c>
      <c r="AH64" s="165">
        <f t="shared" si="60"/>
        <v>157.20305952301629</v>
      </c>
      <c r="AI64" s="165">
        <f t="shared" si="60"/>
        <v>189.09467188304029</v>
      </c>
      <c r="AJ64" s="165">
        <f t="shared" si="60"/>
        <v>204.52603798057652</v>
      </c>
      <c r="AK64" s="164"/>
      <c r="AL64" s="165">
        <f t="shared" si="61"/>
        <v>7.4817321280432685</v>
      </c>
      <c r="AM64" s="165">
        <f t="shared" si="61"/>
        <v>7.8270702057431016</v>
      </c>
      <c r="AN64" s="165">
        <f t="shared" si="61"/>
        <v>10.366286937239055</v>
      </c>
      <c r="AO64" s="165">
        <f t="shared" si="61"/>
        <v>12.464267981913423</v>
      </c>
      <c r="AP64" s="165">
        <f t="shared" si="61"/>
        <v>13.509566874671609</v>
      </c>
      <c r="AQ64" s="72" t="str">
        <f t="shared" si="62"/>
        <v>55-59</v>
      </c>
      <c r="AR64" s="165">
        <f t="shared" si="63"/>
        <v>115.94160078683907</v>
      </c>
      <c r="AS64" s="165">
        <f t="shared" si="63"/>
        <v>135.51634754237602</v>
      </c>
      <c r="AT64" s="165">
        <f t="shared" si="63"/>
        <v>177.65217719802493</v>
      </c>
      <c r="AU64" s="165">
        <f t="shared" si="63"/>
        <v>208.31606386372408</v>
      </c>
      <c r="AV64" s="165">
        <f t="shared" si="63"/>
        <v>226.8625870669639</v>
      </c>
      <c r="AW64" s="164"/>
      <c r="AX64" s="165">
        <f t="shared" si="64"/>
        <v>112.73432150536409</v>
      </c>
      <c r="AY64" s="165">
        <f t="shared" si="64"/>
        <v>131.84828185573497</v>
      </c>
      <c r="AZ64" s="165">
        <f t="shared" si="64"/>
        <v>173.0031356627903</v>
      </c>
      <c r="BA64" s="165">
        <f t="shared" si="64"/>
        <v>202.93168009516813</v>
      </c>
      <c r="BB64" s="165">
        <f t="shared" si="64"/>
        <v>221.04132666504691</v>
      </c>
      <c r="BC64" s="164"/>
      <c r="BD64" s="165">
        <f t="shared" si="65"/>
        <v>3.2072792814749906</v>
      </c>
      <c r="BE64" s="165">
        <f t="shared" si="65"/>
        <v>3.6680656866410524</v>
      </c>
      <c r="BF64" s="165">
        <f t="shared" si="65"/>
        <v>4.6490415352346357</v>
      </c>
      <c r="BG64" s="165">
        <f t="shared" si="65"/>
        <v>5.3843837685559581</v>
      </c>
      <c r="BH64" s="165">
        <f t="shared" si="65"/>
        <v>5.8212604019169705</v>
      </c>
    </row>
    <row r="65" spans="1:60">
      <c r="A65" s="72" t="str">
        <f t="shared" si="53"/>
        <v>60-64</v>
      </c>
      <c r="B65" s="165">
        <f t="shared" si="54"/>
        <v>35.823218463615042</v>
      </c>
      <c r="C65" s="165">
        <f t="shared" si="54"/>
        <v>44.494263253571226</v>
      </c>
      <c r="D65" s="165">
        <f t="shared" si="54"/>
        <v>41.613632960941956</v>
      </c>
      <c r="E65" s="165">
        <f t="shared" si="54"/>
        <v>40.934965671055551</v>
      </c>
      <c r="F65" s="165">
        <f t="shared" si="54"/>
        <v>35.667541570413341</v>
      </c>
      <c r="G65" s="164"/>
      <c r="H65" s="165">
        <f t="shared" si="55"/>
        <v>16.931856207862616</v>
      </c>
      <c r="I65" s="165">
        <f t="shared" si="55"/>
        <v>21.062717164219428</v>
      </c>
      <c r="J65" s="165">
        <f t="shared" si="55"/>
        <v>19.717624343517112</v>
      </c>
      <c r="K65" s="165">
        <f t="shared" si="55"/>
        <v>19.381394399502241</v>
      </c>
      <c r="L65" s="165">
        <f t="shared" si="55"/>
        <v>16.879614538550584</v>
      </c>
      <c r="M65" s="164"/>
      <c r="N65" s="165">
        <f t="shared" si="56"/>
        <v>18.891362255752426</v>
      </c>
      <c r="O65" s="165">
        <f t="shared" si="56"/>
        <v>23.431546089351805</v>
      </c>
      <c r="P65" s="165">
        <f t="shared" si="56"/>
        <v>21.89600861742484</v>
      </c>
      <c r="Q65" s="165">
        <f t="shared" si="56"/>
        <v>21.553571271553317</v>
      </c>
      <c r="R65" s="165">
        <f t="shared" si="56"/>
        <v>18.787927031862754</v>
      </c>
      <c r="S65" s="164"/>
      <c r="T65" s="165">
        <f t="shared" si="57"/>
        <v>0</v>
      </c>
      <c r="U65" s="165">
        <f t="shared" si="57"/>
        <v>0</v>
      </c>
      <c r="V65" s="165">
        <f t="shared" si="57"/>
        <v>0</v>
      </c>
      <c r="W65" s="165">
        <f t="shared" si="57"/>
        <v>0</v>
      </c>
      <c r="X65" s="165">
        <f t="shared" si="57"/>
        <v>0</v>
      </c>
      <c r="Y65" s="72" t="str">
        <f t="shared" si="58"/>
        <v>60-64</v>
      </c>
      <c r="Z65" s="165">
        <f t="shared" si="59"/>
        <v>31.343339667083313</v>
      </c>
      <c r="AA65" s="165">
        <f t="shared" si="59"/>
        <v>37.400907742954743</v>
      </c>
      <c r="AB65" s="165">
        <f t="shared" si="59"/>
        <v>50.777770478130293</v>
      </c>
      <c r="AC65" s="165">
        <f t="shared" si="59"/>
        <v>66.266094080470012</v>
      </c>
      <c r="AD65" s="165">
        <f t="shared" si="59"/>
        <v>80.260766484007178</v>
      </c>
      <c r="AE65" s="164"/>
      <c r="AF65" s="165">
        <f t="shared" si="60"/>
        <v>29.203027553951088</v>
      </c>
      <c r="AG65" s="165">
        <f t="shared" si="60"/>
        <v>34.871395449563813</v>
      </c>
      <c r="AH65" s="165">
        <f t="shared" si="60"/>
        <v>47.209555911882788</v>
      </c>
      <c r="AI65" s="165">
        <f t="shared" si="60"/>
        <v>61.600974211672487</v>
      </c>
      <c r="AJ65" s="165">
        <f t="shared" si="60"/>
        <v>74.607227360463867</v>
      </c>
      <c r="AK65" s="164"/>
      <c r="AL65" s="165">
        <f t="shared" si="61"/>
        <v>2.1403121131322234</v>
      </c>
      <c r="AM65" s="165">
        <f t="shared" si="61"/>
        <v>2.5295122933909324</v>
      </c>
      <c r="AN65" s="165">
        <f t="shared" si="61"/>
        <v>3.5682145662475118</v>
      </c>
      <c r="AO65" s="165">
        <f t="shared" si="61"/>
        <v>4.6651198687975111</v>
      </c>
      <c r="AP65" s="165">
        <f t="shared" si="61"/>
        <v>5.6535391235433075</v>
      </c>
      <c r="AQ65" s="72" t="str">
        <f t="shared" si="62"/>
        <v>60-64</v>
      </c>
      <c r="AR65" s="165">
        <f t="shared" si="63"/>
        <v>38.517441869301649</v>
      </c>
      <c r="AS65" s="165">
        <f t="shared" si="63"/>
        <v>53.191829003474027</v>
      </c>
      <c r="AT65" s="165">
        <f t="shared" si="63"/>
        <v>71.393596560927747</v>
      </c>
      <c r="AU65" s="165">
        <f t="shared" si="63"/>
        <v>92.303940248474447</v>
      </c>
      <c r="AV65" s="165">
        <f t="shared" si="63"/>
        <v>113.97169194557949</v>
      </c>
      <c r="AW65" s="164"/>
      <c r="AX65" s="165">
        <f t="shared" si="64"/>
        <v>35.940957081944205</v>
      </c>
      <c r="AY65" s="165">
        <f t="shared" si="64"/>
        <v>49.626732053099445</v>
      </c>
      <c r="AZ65" s="165">
        <f t="shared" si="64"/>
        <v>66.596362264723197</v>
      </c>
      <c r="BA65" s="165">
        <f t="shared" si="64"/>
        <v>86.098448390329622</v>
      </c>
      <c r="BB65" s="165">
        <f t="shared" si="64"/>
        <v>106.3052407990122</v>
      </c>
      <c r="BC65" s="164"/>
      <c r="BD65" s="165">
        <f t="shared" si="65"/>
        <v>2.5764847873574377</v>
      </c>
      <c r="BE65" s="165">
        <f t="shared" si="65"/>
        <v>3.5650969503745911</v>
      </c>
      <c r="BF65" s="165">
        <f t="shared" si="65"/>
        <v>4.7972342962045555</v>
      </c>
      <c r="BG65" s="165">
        <f t="shared" si="65"/>
        <v>6.2054918581448213</v>
      </c>
      <c r="BH65" s="165">
        <f t="shared" si="65"/>
        <v>7.6664511465673009</v>
      </c>
    </row>
    <row r="66" spans="1:60">
      <c r="A66" s="72" t="str">
        <f t="shared" si="53"/>
        <v>65+</v>
      </c>
      <c r="B66" s="165">
        <f t="shared" si="54"/>
        <v>11.948741166199174</v>
      </c>
      <c r="C66" s="165">
        <f t="shared" si="54"/>
        <v>16.460486596644937</v>
      </c>
      <c r="D66" s="165">
        <f t="shared" si="54"/>
        <v>15.029015503825972</v>
      </c>
      <c r="E66" s="165">
        <f t="shared" si="54"/>
        <v>11.903183363129848</v>
      </c>
      <c r="F66" s="165">
        <f t="shared" si="54"/>
        <v>9.8474191476518342</v>
      </c>
      <c r="G66" s="164"/>
      <c r="H66" s="165">
        <f t="shared" si="55"/>
        <v>6.3754329809595625</v>
      </c>
      <c r="I66" s="165">
        <f t="shared" si="55"/>
        <v>8.5871560944185141</v>
      </c>
      <c r="J66" s="165">
        <f t="shared" si="55"/>
        <v>7.8803923797716067</v>
      </c>
      <c r="K66" s="165">
        <f t="shared" si="55"/>
        <v>6.2399183159193861</v>
      </c>
      <c r="L66" s="165">
        <f t="shared" si="55"/>
        <v>5.2069403181851044</v>
      </c>
      <c r="M66" s="164"/>
      <c r="N66" s="165">
        <f t="shared" si="56"/>
        <v>5.5733081852396102</v>
      </c>
      <c r="O66" s="165">
        <f t="shared" si="56"/>
        <v>7.8733305022264224</v>
      </c>
      <c r="P66" s="165">
        <f t="shared" si="56"/>
        <v>7.1486231240543656</v>
      </c>
      <c r="Q66" s="165">
        <f t="shared" si="56"/>
        <v>5.6632650472104613</v>
      </c>
      <c r="R66" s="165">
        <f t="shared" si="56"/>
        <v>4.6404788294667298</v>
      </c>
      <c r="S66" s="164"/>
      <c r="T66" s="165">
        <f t="shared" si="57"/>
        <v>0</v>
      </c>
      <c r="U66" s="165">
        <f t="shared" si="57"/>
        <v>0</v>
      </c>
      <c r="V66" s="165">
        <f t="shared" si="57"/>
        <v>0</v>
      </c>
      <c r="W66" s="165">
        <f t="shared" si="57"/>
        <v>0</v>
      </c>
      <c r="X66" s="165">
        <f t="shared" si="57"/>
        <v>0</v>
      </c>
      <c r="Y66" s="72" t="str">
        <f t="shared" si="58"/>
        <v>65+</v>
      </c>
      <c r="Z66" s="165">
        <f t="shared" si="59"/>
        <v>7.8240804156386137</v>
      </c>
      <c r="AA66" s="165">
        <f t="shared" si="59"/>
        <v>9.9119242988728669</v>
      </c>
      <c r="AB66" s="165">
        <f t="shared" si="59"/>
        <v>11.008756624618567</v>
      </c>
      <c r="AC66" s="165">
        <f t="shared" si="59"/>
        <v>12.01446121472337</v>
      </c>
      <c r="AD66" s="165">
        <f t="shared" si="59"/>
        <v>13.854293318978709</v>
      </c>
      <c r="AE66" s="164"/>
      <c r="AF66" s="165">
        <f t="shared" si="60"/>
        <v>6.9255035254653912</v>
      </c>
      <c r="AG66" s="165">
        <f t="shared" si="60"/>
        <v>8.7952137061175186</v>
      </c>
      <c r="AH66" s="165">
        <f t="shared" si="60"/>
        <v>9.7331452985061144</v>
      </c>
      <c r="AI66" s="165">
        <f t="shared" si="60"/>
        <v>10.624866696548906</v>
      </c>
      <c r="AJ66" s="165">
        <f t="shared" si="60"/>
        <v>12.275904221835862</v>
      </c>
      <c r="AK66" s="164"/>
      <c r="AL66" s="165">
        <f t="shared" si="61"/>
        <v>0.89857689017322329</v>
      </c>
      <c r="AM66" s="165">
        <f t="shared" si="61"/>
        <v>1.1167105927553487</v>
      </c>
      <c r="AN66" s="165">
        <f t="shared" si="61"/>
        <v>1.2756113261124509</v>
      </c>
      <c r="AO66" s="165">
        <f t="shared" si="61"/>
        <v>1.389594518174466</v>
      </c>
      <c r="AP66" s="165">
        <f t="shared" si="61"/>
        <v>1.5783890971428471</v>
      </c>
      <c r="AQ66" s="72" t="str">
        <f t="shared" si="62"/>
        <v>65+</v>
      </c>
      <c r="AR66" s="165">
        <f t="shared" si="63"/>
        <v>12.792178418162218</v>
      </c>
      <c r="AS66" s="165">
        <f t="shared" si="63"/>
        <v>12.19158910448219</v>
      </c>
      <c r="AT66" s="165">
        <f t="shared" si="63"/>
        <v>19.366227871555463</v>
      </c>
      <c r="AU66" s="165">
        <f t="shared" si="63"/>
        <v>23.78335542214678</v>
      </c>
      <c r="AV66" s="165">
        <f t="shared" si="63"/>
        <v>30.011287533369462</v>
      </c>
      <c r="AW66" s="164"/>
      <c r="AX66" s="165">
        <f t="shared" si="64"/>
        <v>12.010493229987055</v>
      </c>
      <c r="AY66" s="165">
        <f t="shared" si="64"/>
        <v>11.529560727743291</v>
      </c>
      <c r="AZ66" s="165">
        <f t="shared" si="64"/>
        <v>18.211272058470012</v>
      </c>
      <c r="BA66" s="165">
        <f t="shared" si="64"/>
        <v>22.381962071636803</v>
      </c>
      <c r="BB66" s="165">
        <f t="shared" si="64"/>
        <v>28.299382615392936</v>
      </c>
      <c r="BC66" s="164"/>
      <c r="BD66" s="165">
        <f t="shared" si="65"/>
        <v>0.78168518817516097</v>
      </c>
      <c r="BE66" s="165">
        <f t="shared" si="65"/>
        <v>0.66202837673890058</v>
      </c>
      <c r="BF66" s="165">
        <f t="shared" si="65"/>
        <v>1.1549558130854503</v>
      </c>
      <c r="BG66" s="165">
        <f t="shared" si="65"/>
        <v>1.4013933505099772</v>
      </c>
      <c r="BH66" s="165">
        <f t="shared" si="65"/>
        <v>1.7119049179765302</v>
      </c>
    </row>
    <row r="67" spans="1:60">
      <c r="B67" s="165"/>
      <c r="C67" s="165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75"/>
      <c r="U67" s="75"/>
      <c r="V67" s="75"/>
      <c r="W67" s="75"/>
      <c r="X67" s="75"/>
      <c r="Z67" s="165"/>
      <c r="AA67" s="165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R67" s="165"/>
      <c r="AS67" s="165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  <c r="BG67" s="164"/>
      <c r="BH67" s="164"/>
    </row>
    <row r="68" spans="1:60" ht="12.95">
      <c r="A68" s="95" t="str">
        <f>A20</f>
        <v>Males</v>
      </c>
      <c r="B68" s="75"/>
      <c r="C68" s="75"/>
      <c r="D68" s="75"/>
      <c r="E68" s="7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75"/>
      <c r="U68" s="75"/>
      <c r="V68" s="75"/>
      <c r="W68" s="75"/>
      <c r="X68" s="75"/>
      <c r="Y68" s="95" t="str">
        <f>Y20</f>
        <v>Males</v>
      </c>
      <c r="Z68" s="75"/>
      <c r="AA68" s="75"/>
      <c r="AB68" s="75"/>
      <c r="AC68" s="7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95" t="str">
        <f>AQ20</f>
        <v>Males</v>
      </c>
      <c r="AR68" s="75"/>
      <c r="AS68" s="75"/>
      <c r="AT68" s="75"/>
      <c r="AU68" s="7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</row>
    <row r="69" spans="1:60">
      <c r="A69" s="72" t="str">
        <f>A21</f>
        <v>15+</v>
      </c>
      <c r="B69" s="165">
        <f>SUM(B70:B80)</f>
        <v>668.34829787442732</v>
      </c>
      <c r="C69" s="165">
        <f t="shared" ref="C69:F69" si="66">SUM(C70:C80)</f>
        <v>679.97434318708918</v>
      </c>
      <c r="D69" s="165">
        <f t="shared" si="66"/>
        <v>576.0987188576471</v>
      </c>
      <c r="E69" s="165">
        <f t="shared" si="66"/>
        <v>506.60924483387572</v>
      </c>
      <c r="F69" s="165">
        <f t="shared" si="66"/>
        <v>424.17079532170612</v>
      </c>
      <c r="G69" s="165"/>
      <c r="H69" s="165">
        <f>SUM(H70:H80)</f>
        <v>216.57689663424574</v>
      </c>
      <c r="I69" s="165">
        <f t="shared" ref="I69:L69" si="67">SUM(I70:I80)</f>
        <v>222.01749682244036</v>
      </c>
      <c r="J69" s="165">
        <f t="shared" si="67"/>
        <v>189.97263257060061</v>
      </c>
      <c r="K69" s="165">
        <f t="shared" si="67"/>
        <v>168.03119397716577</v>
      </c>
      <c r="L69" s="165">
        <f t="shared" si="67"/>
        <v>140.23377379308036</v>
      </c>
      <c r="M69" s="165"/>
      <c r="N69" s="165">
        <f>SUM(N70:N80)</f>
        <v>451.77140124018155</v>
      </c>
      <c r="O69" s="165">
        <f t="shared" ref="O69:R69" si="68">SUM(O70:O80)</f>
        <v>457.95684636464887</v>
      </c>
      <c r="P69" s="165">
        <f t="shared" si="68"/>
        <v>386.12608628704652</v>
      </c>
      <c r="Q69" s="165">
        <f t="shared" si="68"/>
        <v>338.57805085670992</v>
      </c>
      <c r="R69" s="165">
        <f t="shared" si="68"/>
        <v>283.93702152862579</v>
      </c>
      <c r="S69" s="165"/>
      <c r="T69" s="165">
        <f>SUM(T70:T80)</f>
        <v>0</v>
      </c>
      <c r="U69" s="165">
        <f t="shared" ref="U69:X69" si="69">SUM(U70:U80)</f>
        <v>0</v>
      </c>
      <c r="V69" s="165">
        <f t="shared" si="69"/>
        <v>0</v>
      </c>
      <c r="W69" s="165">
        <f t="shared" si="69"/>
        <v>0</v>
      </c>
      <c r="X69" s="165">
        <f t="shared" si="69"/>
        <v>0</v>
      </c>
      <c r="Y69" s="72" t="str">
        <f>Y21</f>
        <v>15+</v>
      </c>
      <c r="Z69" s="165">
        <f>SUM(Z70:Z80)</f>
        <v>1110.8221091376672</v>
      </c>
      <c r="AA69" s="165">
        <f t="shared" ref="AA69:AD69" si="70">SUM(AA70:AA80)</f>
        <v>1081.2462760791657</v>
      </c>
      <c r="AB69" s="165">
        <f t="shared" si="70"/>
        <v>1129.3696341240161</v>
      </c>
      <c r="AC69" s="165">
        <f t="shared" si="70"/>
        <v>1196.947412591609</v>
      </c>
      <c r="AD69" s="165">
        <f t="shared" si="70"/>
        <v>1263.8735341848089</v>
      </c>
      <c r="AE69" s="165"/>
      <c r="AF69" s="165">
        <f>SUM(AF70:AF80)</f>
        <v>1048.6925402059803</v>
      </c>
      <c r="AG69" s="165">
        <f t="shared" ref="AG69:AJ69" si="71">SUM(AG70:AG80)</f>
        <v>1020.9879008290815</v>
      </c>
      <c r="AH69" s="165">
        <f t="shared" si="71"/>
        <v>1066.4680897558023</v>
      </c>
      <c r="AI69" s="165">
        <f t="shared" si="71"/>
        <v>1130.4132844970143</v>
      </c>
      <c r="AJ69" s="165">
        <f t="shared" si="71"/>
        <v>1193.6123831216405</v>
      </c>
      <c r="AK69" s="165"/>
      <c r="AL69" s="165">
        <f>SUM(AL70:AL80)</f>
        <v>62.12956893168694</v>
      </c>
      <c r="AM69" s="165">
        <f t="shared" ref="AM69:AP69" si="72">SUM(AM70:AM80)</f>
        <v>60.258375250084285</v>
      </c>
      <c r="AN69" s="165">
        <f t="shared" si="72"/>
        <v>62.90154436821414</v>
      </c>
      <c r="AO69" s="165">
        <f t="shared" si="72"/>
        <v>66.534128094594536</v>
      </c>
      <c r="AP69" s="165">
        <f t="shared" si="72"/>
        <v>70.261151063168086</v>
      </c>
      <c r="AQ69" s="72" t="str">
        <f>AQ21</f>
        <v>15+</v>
      </c>
      <c r="AR69" s="165">
        <f>SUM(AR70:AR80)</f>
        <v>858.87759298790547</v>
      </c>
      <c r="AS69" s="165">
        <f t="shared" ref="AS69:AV69" si="73">SUM(AS70:AS80)</f>
        <v>924.03238073374484</v>
      </c>
      <c r="AT69" s="165">
        <f t="shared" si="73"/>
        <v>1006.6636470183364</v>
      </c>
      <c r="AU69" s="165">
        <f t="shared" si="73"/>
        <v>1087.2593425745151</v>
      </c>
      <c r="AV69" s="165">
        <f t="shared" si="73"/>
        <v>1172.5296704934854</v>
      </c>
      <c r="AW69" s="165"/>
      <c r="AX69" s="165">
        <f>SUM(AX70:AX80)</f>
        <v>837.25747303433036</v>
      </c>
      <c r="AY69" s="165">
        <f t="shared" ref="AY69:BB69" si="74">SUM(AY70:AY80)</f>
        <v>900.46119959493876</v>
      </c>
      <c r="AZ69" s="165">
        <f t="shared" si="74"/>
        <v>980.19920817165428</v>
      </c>
      <c r="BA69" s="165">
        <f t="shared" si="74"/>
        <v>1058.1193206787443</v>
      </c>
      <c r="BB69" s="165">
        <f t="shared" si="74"/>
        <v>1140.618907885826</v>
      </c>
      <c r="BC69" s="165"/>
      <c r="BD69" s="165">
        <f>SUM(BD70:BD80)</f>
        <v>21.620119953575205</v>
      </c>
      <c r="BE69" s="165">
        <f t="shared" ref="BE69:BH69" si="75">SUM(BE70:BE80)</f>
        <v>23.571181138806118</v>
      </c>
      <c r="BF69" s="165">
        <f t="shared" si="75"/>
        <v>26.464438846682153</v>
      </c>
      <c r="BG69" s="165">
        <f t="shared" si="75"/>
        <v>29.140021895771127</v>
      </c>
      <c r="BH69" s="165">
        <f t="shared" si="75"/>
        <v>31.910762607659223</v>
      </c>
    </row>
    <row r="70" spans="1:60">
      <c r="A70" s="72" t="str">
        <f t="shared" ref="A70:A80" si="76">A22</f>
        <v>15-19</v>
      </c>
      <c r="B70" s="165">
        <v>21.970306906103936</v>
      </c>
      <c r="C70" s="165">
        <v>20.026076119996116</v>
      </c>
      <c r="D70" s="165">
        <v>15.121179094017016</v>
      </c>
      <c r="E70" s="165">
        <v>17.089485140563891</v>
      </c>
      <c r="F70" s="164">
        <v>20.063648634933156</v>
      </c>
      <c r="G70" s="165"/>
      <c r="H70" s="165">
        <v>5.926181505924986</v>
      </c>
      <c r="I70" s="165">
        <v>5.4017609070647374</v>
      </c>
      <c r="J70" s="165">
        <v>4.0787280675207782</v>
      </c>
      <c r="K70" s="165">
        <v>4.6096697076419106</v>
      </c>
      <c r="L70" s="164">
        <v>5.4118921208641293</v>
      </c>
      <c r="M70" s="165"/>
      <c r="N70" s="165">
        <v>16.044125400178949</v>
      </c>
      <c r="O70" s="165">
        <v>14.624315212931378</v>
      </c>
      <c r="P70" s="165">
        <v>11.04245102649624</v>
      </c>
      <c r="Q70" s="165">
        <v>12.479815432921979</v>
      </c>
      <c r="R70" s="164">
        <v>14.651756514069028</v>
      </c>
      <c r="S70" s="165"/>
      <c r="T70" s="165">
        <v>0</v>
      </c>
      <c r="U70" s="165">
        <v>0</v>
      </c>
      <c r="V70" s="165">
        <v>0</v>
      </c>
      <c r="W70" s="165">
        <v>0</v>
      </c>
      <c r="X70" s="164">
        <v>0</v>
      </c>
      <c r="Y70" s="72" t="str">
        <f t="shared" ref="Y70:Y80" si="77">Y22</f>
        <v>15-19</v>
      </c>
      <c r="Z70" s="165">
        <v>17.840683082880268</v>
      </c>
      <c r="AA70" s="165">
        <v>14.680133047335039</v>
      </c>
      <c r="AB70" s="165">
        <v>13.72560965822832</v>
      </c>
      <c r="AC70" s="165">
        <v>15.436484788467865</v>
      </c>
      <c r="AD70" s="164">
        <v>18.541508530812692</v>
      </c>
      <c r="AE70" s="165"/>
      <c r="AF70" s="165">
        <v>16.8611671563519</v>
      </c>
      <c r="AG70" s="165">
        <v>13.874168165612016</v>
      </c>
      <c r="AH70" s="165">
        <v>12.972040867641711</v>
      </c>
      <c r="AI70" s="165">
        <v>14.588974970800006</v>
      </c>
      <c r="AJ70" s="164">
        <v>17.523528875034817</v>
      </c>
      <c r="AK70" s="165"/>
      <c r="AL70" s="165">
        <v>0.9795159265283645</v>
      </c>
      <c r="AM70" s="165">
        <v>0.80596488172302239</v>
      </c>
      <c r="AN70" s="165">
        <v>0.75356879058660964</v>
      </c>
      <c r="AO70" s="165">
        <v>0.84750981766786149</v>
      </c>
      <c r="AP70" s="164">
        <v>1.0179796557778724</v>
      </c>
      <c r="AQ70" s="72" t="str">
        <f t="shared" ref="AQ70:AQ80" si="78">AQ22</f>
        <v>15-19</v>
      </c>
      <c r="AR70" s="165">
        <v>0.10001001101580378</v>
      </c>
      <c r="AS70" s="165">
        <v>0.10679083266884004</v>
      </c>
      <c r="AT70" s="165">
        <v>1.2112477546660798E-3</v>
      </c>
      <c r="AU70" s="165">
        <v>6.0300709682370914E-3</v>
      </c>
      <c r="AV70" s="164">
        <v>1.0842834254153347E-2</v>
      </c>
      <c r="AW70" s="165"/>
      <c r="AX70" s="165">
        <v>6.6192985196819223E-2</v>
      </c>
      <c r="AY70" s="165">
        <v>7.0679138418197798E-2</v>
      </c>
      <c r="AZ70" s="165">
        <v>8.014133599071727E-4</v>
      </c>
      <c r="BA70" s="165">
        <v>3.9895924082780755E-3</v>
      </c>
      <c r="BB70" s="164">
        <v>7.1745268353603188E-3</v>
      </c>
      <c r="BC70" s="165"/>
      <c r="BD70" s="165">
        <v>3.3817025818984561E-2</v>
      </c>
      <c r="BE70" s="165">
        <v>3.6111694250642229E-2</v>
      </c>
      <c r="BF70" s="165">
        <v>4.0983439475890718E-4</v>
      </c>
      <c r="BG70" s="165">
        <v>2.0404785599590159E-3</v>
      </c>
      <c r="BH70" s="164">
        <v>3.6683074187930289E-3</v>
      </c>
    </row>
    <row r="71" spans="1:60">
      <c r="A71" s="72" t="str">
        <f t="shared" si="76"/>
        <v>20-24</v>
      </c>
      <c r="B71" s="165">
        <v>42.835372944962316</v>
      </c>
      <c r="C71" s="165">
        <v>48.066292311616593</v>
      </c>
      <c r="D71" s="165">
        <v>41.397068793006476</v>
      </c>
      <c r="E71" s="165">
        <v>35.270255608267561</v>
      </c>
      <c r="F71" s="164">
        <v>32.498817128536295</v>
      </c>
      <c r="G71" s="165"/>
      <c r="H71" s="165">
        <v>9.7684866793085128</v>
      </c>
      <c r="I71" s="165">
        <v>10.961327650529908</v>
      </c>
      <c r="J71" s="165">
        <v>9.4404947503411645</v>
      </c>
      <c r="K71" s="165">
        <v>8.0432844087857056</v>
      </c>
      <c r="L71" s="164">
        <v>7.4112487352797149</v>
      </c>
      <c r="M71" s="165"/>
      <c r="N71" s="165">
        <v>33.0668862656538</v>
      </c>
      <c r="O71" s="165">
        <v>37.104964661086683</v>
      </c>
      <c r="P71" s="165">
        <v>31.956574042665309</v>
      </c>
      <c r="Q71" s="165">
        <v>27.226971199481849</v>
      </c>
      <c r="R71" s="164">
        <v>25.087568393256582</v>
      </c>
      <c r="S71" s="165"/>
      <c r="T71" s="165">
        <v>0</v>
      </c>
      <c r="U71" s="165">
        <v>0</v>
      </c>
      <c r="V71" s="165">
        <v>0</v>
      </c>
      <c r="W71" s="165">
        <v>0</v>
      </c>
      <c r="X71" s="164">
        <v>0</v>
      </c>
      <c r="Y71" s="72" t="str">
        <f t="shared" si="77"/>
        <v>20-24</v>
      </c>
      <c r="Z71" s="165">
        <v>117.60066097337621</v>
      </c>
      <c r="AA71" s="165">
        <v>116.00972577437592</v>
      </c>
      <c r="AB71" s="165">
        <v>117.37387172072432</v>
      </c>
      <c r="AC71" s="165">
        <v>109.8328571099937</v>
      </c>
      <c r="AD71" s="164">
        <v>112.18324785696579</v>
      </c>
      <c r="AE71" s="165"/>
      <c r="AF71" s="165">
        <v>109.40519835653062</v>
      </c>
      <c r="AG71" s="165">
        <v>107.92518380300695</v>
      </c>
      <c r="AH71" s="165">
        <v>109.19423291573709</v>
      </c>
      <c r="AI71" s="165">
        <v>102.17877037651678</v>
      </c>
      <c r="AJ71" s="164">
        <v>104.36530258032673</v>
      </c>
      <c r="AK71" s="165"/>
      <c r="AL71" s="165">
        <v>8.1954626168455889</v>
      </c>
      <c r="AM71" s="165">
        <v>8.0845419713689743</v>
      </c>
      <c r="AN71" s="165">
        <v>8.1796388049872402</v>
      </c>
      <c r="AO71" s="165">
        <v>7.6540867334769196</v>
      </c>
      <c r="AP71" s="164">
        <v>7.8179452766390698</v>
      </c>
      <c r="AQ71" s="72" t="str">
        <f t="shared" si="78"/>
        <v>20-24</v>
      </c>
      <c r="AR71" s="165">
        <v>35.953966081661484</v>
      </c>
      <c r="AS71" s="165">
        <v>35.412981914007489</v>
      </c>
      <c r="AT71" s="165">
        <v>39.05605948626922</v>
      </c>
      <c r="AU71" s="165">
        <v>40.227887281738759</v>
      </c>
      <c r="AV71" s="164">
        <v>45.244935014497926</v>
      </c>
      <c r="AW71" s="165"/>
      <c r="AX71" s="165">
        <v>35.894388197223741</v>
      </c>
      <c r="AY71" s="165">
        <v>35.354282498596831</v>
      </c>
      <c r="AZ71" s="165">
        <v>38.991316542918099</v>
      </c>
      <c r="BA71" s="165">
        <v>40.161217830179162</v>
      </c>
      <c r="BB71" s="164">
        <v>45.169897221289091</v>
      </c>
      <c r="BC71" s="165"/>
      <c r="BD71" s="165">
        <v>5.9577884437741695E-2</v>
      </c>
      <c r="BE71" s="165">
        <v>5.8699415410650713E-2</v>
      </c>
      <c r="BF71" s="165">
        <v>6.4742943351118576E-2</v>
      </c>
      <c r="BG71" s="165">
        <v>6.6669451559595388E-2</v>
      </c>
      <c r="BH71" s="164">
        <v>7.5037793208839618E-2</v>
      </c>
    </row>
    <row r="72" spans="1:60">
      <c r="A72" s="72" t="str">
        <f t="shared" si="76"/>
        <v>25-29</v>
      </c>
      <c r="B72" s="165">
        <v>54.132987761997782</v>
      </c>
      <c r="C72" s="165">
        <v>59.30277365778997</v>
      </c>
      <c r="D72" s="165">
        <v>53.119400404129237</v>
      </c>
      <c r="E72" s="165">
        <v>53.434184420591016</v>
      </c>
      <c r="F72" s="164">
        <v>46.384829749714591</v>
      </c>
      <c r="G72" s="165"/>
      <c r="H72" s="165">
        <v>15.657402965414564</v>
      </c>
      <c r="I72" s="165">
        <v>17.15271266465906</v>
      </c>
      <c r="J72" s="165">
        <v>15.364227768456015</v>
      </c>
      <c r="K72" s="165">
        <v>15.455258797856304</v>
      </c>
      <c r="L72" s="164">
        <v>13.416311066916181</v>
      </c>
      <c r="M72" s="165"/>
      <c r="N72" s="165">
        <v>38.47558479658322</v>
      </c>
      <c r="O72" s="165">
        <v>42.150060993130907</v>
      </c>
      <c r="P72" s="165">
        <v>37.755172635673226</v>
      </c>
      <c r="Q72" s="165">
        <v>37.978925622734714</v>
      </c>
      <c r="R72" s="164">
        <v>32.968518682798404</v>
      </c>
      <c r="S72" s="165"/>
      <c r="T72" s="165">
        <v>0</v>
      </c>
      <c r="U72" s="165">
        <v>0</v>
      </c>
      <c r="V72" s="165">
        <v>0</v>
      </c>
      <c r="W72" s="165">
        <v>0</v>
      </c>
      <c r="X72" s="164">
        <v>0</v>
      </c>
      <c r="Y72" s="72" t="str">
        <f t="shared" si="77"/>
        <v>25-29</v>
      </c>
      <c r="Z72" s="165">
        <v>149.16941523155822</v>
      </c>
      <c r="AA72" s="165">
        <v>137.65111832560171</v>
      </c>
      <c r="AB72" s="165">
        <v>143.78119393240843</v>
      </c>
      <c r="AC72" s="165">
        <v>153.35525074005449</v>
      </c>
      <c r="AD72" s="164">
        <v>151.04532202229836</v>
      </c>
      <c r="AE72" s="165"/>
      <c r="AF72" s="165">
        <v>139.54207798178672</v>
      </c>
      <c r="AG72" s="165">
        <v>128.76718250907044</v>
      </c>
      <c r="AH72" s="165">
        <v>134.50166828917818</v>
      </c>
      <c r="AI72" s="165">
        <v>143.4577811169944</v>
      </c>
      <c r="AJ72" s="164">
        <v>141.29698663959073</v>
      </c>
      <c r="AK72" s="165"/>
      <c r="AL72" s="165">
        <v>9.6273372497715179</v>
      </c>
      <c r="AM72" s="165">
        <v>8.8839358165312774</v>
      </c>
      <c r="AN72" s="165">
        <v>9.2795256432302509</v>
      </c>
      <c r="AO72" s="165">
        <v>9.8974696230601076</v>
      </c>
      <c r="AP72" s="164">
        <v>9.7483353827076193</v>
      </c>
      <c r="AQ72" s="72" t="str">
        <f t="shared" si="78"/>
        <v>25-29</v>
      </c>
      <c r="AR72" s="165">
        <v>114.08059700644398</v>
      </c>
      <c r="AS72" s="165">
        <v>119.54710801660832</v>
      </c>
      <c r="AT72" s="165">
        <v>121.54440566346231</v>
      </c>
      <c r="AU72" s="165">
        <v>131.36556483935448</v>
      </c>
      <c r="AV72" s="164">
        <v>131.1628482279871</v>
      </c>
      <c r="AW72" s="165"/>
      <c r="AX72" s="165">
        <v>112.96810261144897</v>
      </c>
      <c r="AY72" s="165">
        <v>118.38128469844733</v>
      </c>
      <c r="AZ72" s="165">
        <v>120.35910614116368</v>
      </c>
      <c r="BA72" s="165">
        <v>130.08456385999412</v>
      </c>
      <c r="BB72" s="164">
        <v>129.88383705598</v>
      </c>
      <c r="BC72" s="165"/>
      <c r="BD72" s="165">
        <v>1.1124943949950061</v>
      </c>
      <c r="BE72" s="165">
        <v>1.1658233181609874</v>
      </c>
      <c r="BF72" s="165">
        <v>1.1852995222986344</v>
      </c>
      <c r="BG72" s="165">
        <v>1.2810009793603585</v>
      </c>
      <c r="BH72" s="164">
        <v>1.2790111720071109</v>
      </c>
    </row>
    <row r="73" spans="1:60">
      <c r="A73" s="72" t="str">
        <f t="shared" si="76"/>
        <v>30-34</v>
      </c>
      <c r="B73" s="165">
        <v>59.746194470013975</v>
      </c>
      <c r="C73" s="165">
        <v>55.826048413105191</v>
      </c>
      <c r="D73" s="165">
        <v>52.687517039427384</v>
      </c>
      <c r="E73" s="165">
        <v>49.043992638223799</v>
      </c>
      <c r="F73" s="164">
        <v>42.215560181056873</v>
      </c>
      <c r="G73" s="165"/>
      <c r="H73" s="165">
        <v>19.460449413601172</v>
      </c>
      <c r="I73" s="165">
        <v>18.183578385321248</v>
      </c>
      <c r="J73" s="165">
        <v>17.161250414897957</v>
      </c>
      <c r="K73" s="165">
        <v>15.974514770585094</v>
      </c>
      <c r="L73" s="164">
        <v>13.750439228926275</v>
      </c>
      <c r="M73" s="165"/>
      <c r="N73" s="165">
        <v>40.285745056412807</v>
      </c>
      <c r="O73" s="165">
        <v>37.642470027783951</v>
      </c>
      <c r="P73" s="165">
        <v>35.526266624529427</v>
      </c>
      <c r="Q73" s="165">
        <v>33.069477867638696</v>
      </c>
      <c r="R73" s="164">
        <v>28.465120952130594</v>
      </c>
      <c r="S73" s="165"/>
      <c r="T73" s="165">
        <v>0</v>
      </c>
      <c r="U73" s="165">
        <v>0</v>
      </c>
      <c r="V73" s="165">
        <v>0</v>
      </c>
      <c r="W73" s="165">
        <v>0</v>
      </c>
      <c r="X73" s="164">
        <v>0</v>
      </c>
      <c r="Y73" s="72" t="str">
        <f t="shared" si="77"/>
        <v>30-34</v>
      </c>
      <c r="Z73" s="165">
        <v>143.97550755975615</v>
      </c>
      <c r="AA73" s="165">
        <v>143.04692062923695</v>
      </c>
      <c r="AB73" s="165">
        <v>150.54112992034914</v>
      </c>
      <c r="AC73" s="165">
        <v>160.10889854017847</v>
      </c>
      <c r="AD73" s="164">
        <v>177.21576862141688</v>
      </c>
      <c r="AE73" s="165"/>
      <c r="AF73" s="165">
        <v>134.51151244341474</v>
      </c>
      <c r="AG73" s="165">
        <v>133.6439199496856</v>
      </c>
      <c r="AH73" s="165">
        <v>140.64555798795368</v>
      </c>
      <c r="AI73" s="165">
        <v>149.58441151968711</v>
      </c>
      <c r="AJ73" s="164">
        <v>165.5667550636862</v>
      </c>
      <c r="AK73" s="165"/>
      <c r="AL73" s="165">
        <v>9.4639951163413958</v>
      </c>
      <c r="AM73" s="165">
        <v>9.4030006795513597</v>
      </c>
      <c r="AN73" s="165">
        <v>9.8955719323954607</v>
      </c>
      <c r="AO73" s="165">
        <v>10.524487020491364</v>
      </c>
      <c r="AP73" s="164">
        <v>11.649013557730687</v>
      </c>
      <c r="AQ73" s="72" t="str">
        <f t="shared" si="78"/>
        <v>30-34</v>
      </c>
      <c r="AR73" s="165">
        <v>126.29229797022987</v>
      </c>
      <c r="AS73" s="165">
        <v>134.62703095765789</v>
      </c>
      <c r="AT73" s="165">
        <v>139.10335304022348</v>
      </c>
      <c r="AU73" s="165">
        <v>148.01810882159774</v>
      </c>
      <c r="AV73" s="164">
        <v>167.58267119752625</v>
      </c>
      <c r="AW73" s="165"/>
      <c r="AX73" s="165">
        <v>122.95073277336256</v>
      </c>
      <c r="AY73" s="165">
        <v>131.06497700319039</v>
      </c>
      <c r="AZ73" s="165">
        <v>135.42281890028266</v>
      </c>
      <c r="BA73" s="165">
        <v>144.10171770063747</v>
      </c>
      <c r="BB73" s="164">
        <v>163.14861509949301</v>
      </c>
      <c r="BC73" s="165"/>
      <c r="BD73" s="165">
        <v>3.3415651968673079</v>
      </c>
      <c r="BE73" s="165">
        <v>3.5620539544675016</v>
      </c>
      <c r="BF73" s="165">
        <v>3.6805341399408</v>
      </c>
      <c r="BG73" s="165">
        <v>3.9163911209602649</v>
      </c>
      <c r="BH73" s="164">
        <v>4.434056098033226</v>
      </c>
    </row>
    <row r="74" spans="1:60">
      <c r="A74" s="72" t="str">
        <f t="shared" si="76"/>
        <v>35-39</v>
      </c>
      <c r="B74" s="165">
        <v>72.389274390689224</v>
      </c>
      <c r="C74" s="165">
        <v>71.644104598988108</v>
      </c>
      <c r="D74" s="165">
        <v>56.546565915153813</v>
      </c>
      <c r="E74" s="165">
        <v>46.727112769454443</v>
      </c>
      <c r="F74" s="164">
        <v>36.765389039064232</v>
      </c>
      <c r="G74" s="165"/>
      <c r="H74" s="165">
        <v>22.092351099930109</v>
      </c>
      <c r="I74" s="165">
        <v>21.864916566985048</v>
      </c>
      <c r="J74" s="165">
        <v>17.257326348768249</v>
      </c>
      <c r="K74" s="165">
        <v>14.26057413503738</v>
      </c>
      <c r="L74" s="164">
        <v>11.220343143702051</v>
      </c>
      <c r="M74" s="165"/>
      <c r="N74" s="165">
        <v>50.296923290759125</v>
      </c>
      <c r="O74" s="165">
        <v>49.779188032003056</v>
      </c>
      <c r="P74" s="165">
        <v>39.289239566385561</v>
      </c>
      <c r="Q74" s="165">
        <v>32.466538634417063</v>
      </c>
      <c r="R74" s="164">
        <v>25.545045895362183</v>
      </c>
      <c r="S74" s="165"/>
      <c r="T74" s="165">
        <v>0</v>
      </c>
      <c r="U74" s="165">
        <v>0</v>
      </c>
      <c r="V74" s="165">
        <v>0</v>
      </c>
      <c r="W74" s="165">
        <v>0</v>
      </c>
      <c r="X74" s="164">
        <v>0</v>
      </c>
      <c r="Y74" s="72" t="str">
        <f t="shared" si="77"/>
        <v>35-39</v>
      </c>
      <c r="Z74" s="165">
        <v>168.36341500024318</v>
      </c>
      <c r="AA74" s="165">
        <v>149.22804572146893</v>
      </c>
      <c r="AB74" s="165">
        <v>145.3653492467291</v>
      </c>
      <c r="AC74" s="165">
        <v>157.84177384899948</v>
      </c>
      <c r="AD74" s="164">
        <v>170.08164787734725</v>
      </c>
      <c r="AE74" s="165"/>
      <c r="AF74" s="165">
        <v>158.73056855159768</v>
      </c>
      <c r="AG74" s="165">
        <v>140.68998106739087</v>
      </c>
      <c r="AH74" s="165">
        <v>137.0482794654304</v>
      </c>
      <c r="AI74" s="165">
        <v>148.81088905475639</v>
      </c>
      <c r="AJ74" s="164">
        <v>160.35047022072709</v>
      </c>
      <c r="AK74" s="165"/>
      <c r="AL74" s="165">
        <v>9.632846448645493</v>
      </c>
      <c r="AM74" s="165">
        <v>8.53806465407804</v>
      </c>
      <c r="AN74" s="165">
        <v>8.3170697812987289</v>
      </c>
      <c r="AO74" s="165">
        <v>9.0308847942430752</v>
      </c>
      <c r="AP74" s="164">
        <v>9.7311776566201527</v>
      </c>
      <c r="AQ74" s="72" t="str">
        <f t="shared" si="78"/>
        <v>35-39</v>
      </c>
      <c r="AR74" s="165">
        <v>130.00931060906763</v>
      </c>
      <c r="AS74" s="165">
        <v>141.63984967954292</v>
      </c>
      <c r="AT74" s="165">
        <v>140.96708483811705</v>
      </c>
      <c r="AU74" s="165">
        <v>156.05411338154607</v>
      </c>
      <c r="AV74" s="164">
        <v>171.1889630835885</v>
      </c>
      <c r="AW74" s="165"/>
      <c r="AX74" s="165">
        <v>126.80367098267918</v>
      </c>
      <c r="AY74" s="165">
        <v>138.14739398786907</v>
      </c>
      <c r="AZ74" s="165">
        <v>137.49128574990962</v>
      </c>
      <c r="BA74" s="165">
        <v>152.20632202622306</v>
      </c>
      <c r="BB74" s="164">
        <v>166.96792004521947</v>
      </c>
      <c r="BC74" s="165"/>
      <c r="BD74" s="165">
        <v>3.2056396263884279</v>
      </c>
      <c r="BE74" s="165">
        <v>3.4924556916738441</v>
      </c>
      <c r="BF74" s="165">
        <v>3.4757990882074257</v>
      </c>
      <c r="BG74" s="165">
        <v>3.8477913553230336</v>
      </c>
      <c r="BH74" s="164">
        <v>4.2210430383690394</v>
      </c>
    </row>
    <row r="75" spans="1:60">
      <c r="A75" s="72" t="str">
        <f t="shared" si="76"/>
        <v>40-44</v>
      </c>
      <c r="B75" s="165">
        <v>93.704921018490225</v>
      </c>
      <c r="C75" s="165">
        <v>86.025081460274208</v>
      </c>
      <c r="D75" s="165">
        <v>64.749495706932109</v>
      </c>
      <c r="E75" s="165">
        <v>46.877352399091471</v>
      </c>
      <c r="F75" s="164">
        <v>36.022235674570041</v>
      </c>
      <c r="G75" s="165"/>
      <c r="H75" s="165">
        <v>28.726825295106707</v>
      </c>
      <c r="I75" s="165">
        <v>26.372500122799597</v>
      </c>
      <c r="J75" s="165">
        <v>19.850090685545279</v>
      </c>
      <c r="K75" s="165">
        <v>14.37105615293013</v>
      </c>
      <c r="L75" s="164">
        <v>11.043233820019529</v>
      </c>
      <c r="M75" s="165"/>
      <c r="N75" s="165">
        <v>64.978095723383518</v>
      </c>
      <c r="O75" s="165">
        <v>59.652581337474615</v>
      </c>
      <c r="P75" s="165">
        <v>44.899405021386841</v>
      </c>
      <c r="Q75" s="165">
        <v>32.506296246161341</v>
      </c>
      <c r="R75" s="164">
        <v>24.979001854550507</v>
      </c>
      <c r="S75" s="165"/>
      <c r="T75" s="165">
        <v>0</v>
      </c>
      <c r="U75" s="165">
        <v>0</v>
      </c>
      <c r="V75" s="165">
        <v>0</v>
      </c>
      <c r="W75" s="165">
        <v>0</v>
      </c>
      <c r="X75" s="164">
        <v>0</v>
      </c>
      <c r="Y75" s="72" t="str">
        <f t="shared" si="77"/>
        <v>40-44</v>
      </c>
      <c r="Z75" s="165">
        <v>164.09838718909504</v>
      </c>
      <c r="AA75" s="165">
        <v>154.9023270474899</v>
      </c>
      <c r="AB75" s="165">
        <v>149.73668224901951</v>
      </c>
      <c r="AC75" s="165">
        <v>152.17875641282711</v>
      </c>
      <c r="AD75" s="164">
        <v>165.42214209784782</v>
      </c>
      <c r="AE75" s="165"/>
      <c r="AF75" s="165">
        <v>156.03959735584664</v>
      </c>
      <c r="AG75" s="165">
        <v>147.29512638226808</v>
      </c>
      <c r="AH75" s="165">
        <v>142.38323098553826</v>
      </c>
      <c r="AI75" s="165">
        <v>144.70535111932526</v>
      </c>
      <c r="AJ75" s="164">
        <v>157.29833296840684</v>
      </c>
      <c r="AK75" s="165"/>
      <c r="AL75" s="165">
        <v>8.0587898332483814</v>
      </c>
      <c r="AM75" s="165">
        <v>7.6072006652217956</v>
      </c>
      <c r="AN75" s="165">
        <v>7.3534512634812508</v>
      </c>
      <c r="AO75" s="165">
        <v>7.4734052935018527</v>
      </c>
      <c r="AP75" s="164">
        <v>8.1238091294409802</v>
      </c>
      <c r="AQ75" s="72" t="str">
        <f t="shared" si="78"/>
        <v>40-44</v>
      </c>
      <c r="AR75" s="165">
        <v>126.01269179241478</v>
      </c>
      <c r="AS75" s="165">
        <v>132.67959149223591</v>
      </c>
      <c r="AT75" s="165">
        <v>143.37582204404833</v>
      </c>
      <c r="AU75" s="165">
        <v>148.33089118808141</v>
      </c>
      <c r="AV75" s="164">
        <v>163.98362222758209</v>
      </c>
      <c r="AW75" s="165"/>
      <c r="AX75" s="165">
        <v>123.30009020573293</v>
      </c>
      <c r="AY75" s="165">
        <v>129.8235193902282</v>
      </c>
      <c r="AZ75" s="165">
        <v>140.28954114726304</v>
      </c>
      <c r="BA75" s="165">
        <v>145.13792831010065</v>
      </c>
      <c r="BB75" s="164">
        <v>160.4537346018306</v>
      </c>
      <c r="BC75" s="165"/>
      <c r="BD75" s="165">
        <v>2.7126015866818696</v>
      </c>
      <c r="BE75" s="165">
        <v>2.85607210200773</v>
      </c>
      <c r="BF75" s="165">
        <v>3.0862808967852815</v>
      </c>
      <c r="BG75" s="165">
        <v>3.1929628779807668</v>
      </c>
      <c r="BH75" s="164">
        <v>3.5298876257514915</v>
      </c>
    </row>
    <row r="76" spans="1:60">
      <c r="A76" s="72" t="str">
        <f t="shared" si="76"/>
        <v>45-49</v>
      </c>
      <c r="B76" s="165">
        <v>115.30181592604359</v>
      </c>
      <c r="C76" s="165">
        <v>109.33182845391168</v>
      </c>
      <c r="D76" s="165">
        <v>79.086091683348073</v>
      </c>
      <c r="E76" s="165">
        <v>61.499061829076247</v>
      </c>
      <c r="F76" s="164">
        <v>46.838498328679577</v>
      </c>
      <c r="G76" s="165"/>
      <c r="H76" s="165">
        <v>35.170555457916208</v>
      </c>
      <c r="I76" s="165">
        <v>33.349530919839154</v>
      </c>
      <c r="J76" s="165">
        <v>24.123666078720824</v>
      </c>
      <c r="K76" s="165">
        <v>18.759060670682956</v>
      </c>
      <c r="L76" s="164">
        <v>14.287158175019892</v>
      </c>
      <c r="M76" s="165"/>
      <c r="N76" s="165">
        <v>80.131260468127394</v>
      </c>
      <c r="O76" s="165">
        <v>75.982297534072529</v>
      </c>
      <c r="P76" s="165">
        <v>54.962425604627256</v>
      </c>
      <c r="Q76" s="165">
        <v>42.740001158393298</v>
      </c>
      <c r="R76" s="164">
        <v>32.55134015365968</v>
      </c>
      <c r="S76" s="165"/>
      <c r="T76" s="165">
        <v>0</v>
      </c>
      <c r="U76" s="165">
        <v>0</v>
      </c>
      <c r="V76" s="165">
        <v>0</v>
      </c>
      <c r="W76" s="165">
        <v>0</v>
      </c>
      <c r="X76" s="164">
        <v>0</v>
      </c>
      <c r="Y76" s="72" t="str">
        <f t="shared" si="77"/>
        <v>45-49</v>
      </c>
      <c r="Z76" s="165">
        <v>139.47645471921948</v>
      </c>
      <c r="AA76" s="165">
        <v>142.31555594986082</v>
      </c>
      <c r="AB76" s="165">
        <v>150.05821621827403</v>
      </c>
      <c r="AC76" s="165">
        <v>153.64746661870106</v>
      </c>
      <c r="AD76" s="164">
        <v>155.27997647346041</v>
      </c>
      <c r="AE76" s="165"/>
      <c r="AF76" s="165">
        <v>133.76971424566429</v>
      </c>
      <c r="AG76" s="165">
        <v>136.49269012868396</v>
      </c>
      <c r="AH76" s="165">
        <v>143.91849594775999</v>
      </c>
      <c r="AI76" s="165">
        <v>147.36094259416896</v>
      </c>
      <c r="AJ76" s="164">
        <v>148.92665752037087</v>
      </c>
      <c r="AK76" s="165"/>
      <c r="AL76" s="165">
        <v>5.7067404735551852</v>
      </c>
      <c r="AM76" s="165">
        <v>5.8228658211768556</v>
      </c>
      <c r="AN76" s="165">
        <v>6.1397202705140401</v>
      </c>
      <c r="AO76" s="165">
        <v>6.2865240245320777</v>
      </c>
      <c r="AP76" s="164">
        <v>6.3533189530895484</v>
      </c>
      <c r="AQ76" s="72" t="str">
        <f t="shared" si="78"/>
        <v>45-49</v>
      </c>
      <c r="AR76" s="165">
        <v>120.1197293547369</v>
      </c>
      <c r="AS76" s="165">
        <v>129.44461559622746</v>
      </c>
      <c r="AT76" s="165">
        <v>136.0726920983779</v>
      </c>
      <c r="AU76" s="165">
        <v>140.49347155222273</v>
      </c>
      <c r="AV76" s="164">
        <v>143.29652519786003</v>
      </c>
      <c r="AW76" s="165"/>
      <c r="AX76" s="165">
        <v>117.05294273548799</v>
      </c>
      <c r="AY76" s="165">
        <v>126.13980543389869</v>
      </c>
      <c r="AZ76" s="165">
        <v>132.59867152271417</v>
      </c>
      <c r="BA76" s="165">
        <v>136.90652744386634</v>
      </c>
      <c r="BB76" s="164">
        <v>139.63803926200524</v>
      </c>
      <c r="BC76" s="165"/>
      <c r="BD76" s="165">
        <v>3.0667866192489188</v>
      </c>
      <c r="BE76" s="165">
        <v>3.3048101623287747</v>
      </c>
      <c r="BF76" s="165">
        <v>3.4740205756637477</v>
      </c>
      <c r="BG76" s="165">
        <v>3.5869441083564158</v>
      </c>
      <c r="BH76" s="164">
        <v>3.6584859358547694</v>
      </c>
    </row>
    <row r="77" spans="1:60">
      <c r="A77" s="72" t="str">
        <f t="shared" si="76"/>
        <v>50-54</v>
      </c>
      <c r="B77" s="165">
        <v>111.27520275605481</v>
      </c>
      <c r="C77" s="165">
        <v>116.43002391638842</v>
      </c>
      <c r="D77" s="165">
        <v>99.298446084176007</v>
      </c>
      <c r="E77" s="165">
        <v>84.486604991419114</v>
      </c>
      <c r="F77" s="164">
        <v>69.243878653988489</v>
      </c>
      <c r="G77" s="165"/>
      <c r="H77" s="165">
        <v>39.173130960659876</v>
      </c>
      <c r="I77" s="165">
        <v>40.987832117041947</v>
      </c>
      <c r="J77" s="165">
        <v>34.956838880438383</v>
      </c>
      <c r="K77" s="165">
        <v>29.742505447101941</v>
      </c>
      <c r="L77" s="164">
        <v>24.376494465649984</v>
      </c>
      <c r="M77" s="165"/>
      <c r="N77" s="165">
        <v>72.102071795394934</v>
      </c>
      <c r="O77" s="165">
        <v>75.442191799346489</v>
      </c>
      <c r="P77" s="165">
        <v>64.34160720373761</v>
      </c>
      <c r="Q77" s="165">
        <v>54.74409954431718</v>
      </c>
      <c r="R77" s="164">
        <v>44.867384188338512</v>
      </c>
      <c r="S77" s="165"/>
      <c r="T77" s="165">
        <v>0</v>
      </c>
      <c r="U77" s="165">
        <v>0</v>
      </c>
      <c r="V77" s="165">
        <v>0</v>
      </c>
      <c r="W77" s="165">
        <v>0</v>
      </c>
      <c r="X77" s="164">
        <v>0</v>
      </c>
      <c r="Y77" s="72" t="str">
        <f t="shared" si="77"/>
        <v>50-54</v>
      </c>
      <c r="Z77" s="165">
        <v>113.3960574955765</v>
      </c>
      <c r="AA77" s="165">
        <v>121.59249637417638</v>
      </c>
      <c r="AB77" s="165">
        <v>133.48105449911949</v>
      </c>
      <c r="AC77" s="165">
        <v>141.58741797337134</v>
      </c>
      <c r="AD77" s="164">
        <v>145.63112009368126</v>
      </c>
      <c r="AE77" s="165"/>
      <c r="AF77" s="165">
        <v>108.44421929852143</v>
      </c>
      <c r="AG77" s="165">
        <v>116.28270261170104</v>
      </c>
      <c r="AH77" s="165">
        <v>127.65209448250005</v>
      </c>
      <c r="AI77" s="165">
        <v>135.40448983032255</v>
      </c>
      <c r="AJ77" s="164">
        <v>139.27159339268175</v>
      </c>
      <c r="AK77" s="165"/>
      <c r="AL77" s="165">
        <v>4.9518381970550793</v>
      </c>
      <c r="AM77" s="165">
        <v>5.3097937624753415</v>
      </c>
      <c r="AN77" s="165">
        <v>5.828960016619444</v>
      </c>
      <c r="AO77" s="165">
        <v>6.1829281430488319</v>
      </c>
      <c r="AP77" s="164">
        <v>6.3595267009995187</v>
      </c>
      <c r="AQ77" s="72" t="str">
        <f t="shared" si="78"/>
        <v>50-54</v>
      </c>
      <c r="AR77" s="165">
        <v>95.512739748368674</v>
      </c>
      <c r="AS77" s="165">
        <v>104.88647970943516</v>
      </c>
      <c r="AT77" s="165">
        <v>127.31949941670452</v>
      </c>
      <c r="AU77" s="165">
        <v>134.10597703520958</v>
      </c>
      <c r="AV77" s="164">
        <v>137.3260012523302</v>
      </c>
      <c r="AW77" s="165"/>
      <c r="AX77" s="165">
        <v>92.592908798161787</v>
      </c>
      <c r="AY77" s="165">
        <v>101.68009864647333</v>
      </c>
      <c r="AZ77" s="165">
        <v>123.42737975287275</v>
      </c>
      <c r="BA77" s="165">
        <v>130.00642315954263</v>
      </c>
      <c r="BB77" s="164">
        <v>133.12800670973192</v>
      </c>
      <c r="BC77" s="165"/>
      <c r="BD77" s="165">
        <v>2.9198309502068871</v>
      </c>
      <c r="BE77" s="165">
        <v>3.2063810629618299</v>
      </c>
      <c r="BF77" s="165">
        <v>3.892119663831775</v>
      </c>
      <c r="BG77" s="165">
        <v>4.0995538756669365</v>
      </c>
      <c r="BH77" s="164">
        <v>4.1979945425982796</v>
      </c>
    </row>
    <row r="78" spans="1:60">
      <c r="A78" s="72" t="str">
        <f t="shared" si="76"/>
        <v>55-59</v>
      </c>
      <c r="B78" s="165">
        <v>68.012091171952278</v>
      </c>
      <c r="C78" s="165">
        <v>76.192899119068656</v>
      </c>
      <c r="D78" s="165">
        <v>80.959107437946358</v>
      </c>
      <c r="E78" s="165">
        <v>80.741803905128123</v>
      </c>
      <c r="F78" s="164">
        <v>67.11887912992232</v>
      </c>
      <c r="G78" s="165"/>
      <c r="H78" s="165">
        <v>26.951872424022827</v>
      </c>
      <c r="I78" s="165">
        <v>30.193746005149503</v>
      </c>
      <c r="J78" s="165">
        <v>32.082502271621657</v>
      </c>
      <c r="K78" s="165">
        <v>31.996398811217055</v>
      </c>
      <c r="L78" s="164">
        <v>26.597935178999514</v>
      </c>
      <c r="M78" s="165"/>
      <c r="N78" s="165">
        <v>41.060218747929468</v>
      </c>
      <c r="O78" s="165">
        <v>45.999153113919157</v>
      </c>
      <c r="P78" s="165">
        <v>48.876605166324701</v>
      </c>
      <c r="Q78" s="165">
        <v>48.74540509391106</v>
      </c>
      <c r="R78" s="164">
        <v>40.520943950922806</v>
      </c>
      <c r="S78" s="165"/>
      <c r="T78" s="165">
        <v>0</v>
      </c>
      <c r="U78" s="165">
        <v>0</v>
      </c>
      <c r="V78" s="165">
        <v>0</v>
      </c>
      <c r="W78" s="165">
        <v>0</v>
      </c>
      <c r="X78" s="164">
        <v>0</v>
      </c>
      <c r="Y78" s="72" t="str">
        <f t="shared" si="77"/>
        <v>55-59</v>
      </c>
      <c r="Z78" s="165">
        <v>72.790478327088792</v>
      </c>
      <c r="AA78" s="165">
        <v>72.824377516205331</v>
      </c>
      <c r="AB78" s="165">
        <v>88.796407596616632</v>
      </c>
      <c r="AC78" s="165">
        <v>107.12135329397736</v>
      </c>
      <c r="AD78" s="164">
        <v>114.12115272286486</v>
      </c>
      <c r="AE78" s="165"/>
      <c r="AF78" s="165">
        <v>68.801294834834081</v>
      </c>
      <c r="AG78" s="165">
        <v>68.83331603311845</v>
      </c>
      <c r="AH78" s="165">
        <v>83.930009776338608</v>
      </c>
      <c r="AI78" s="165">
        <v>101.25067814642075</v>
      </c>
      <c r="AJ78" s="164">
        <v>107.86683113473264</v>
      </c>
      <c r="AK78" s="165"/>
      <c r="AL78" s="165">
        <v>3.9891834922546994</v>
      </c>
      <c r="AM78" s="165">
        <v>3.9910614830868849</v>
      </c>
      <c r="AN78" s="165">
        <v>4.8663978202780056</v>
      </c>
      <c r="AO78" s="165">
        <v>5.8706751475565877</v>
      </c>
      <c r="AP78" s="164">
        <v>6.2543215881322256</v>
      </c>
      <c r="AQ78" s="72" t="str">
        <f t="shared" si="78"/>
        <v>55-59</v>
      </c>
      <c r="AR78" s="165">
        <v>71.997430500958913</v>
      </c>
      <c r="AS78" s="165">
        <v>80.286723364726001</v>
      </c>
      <c r="AT78" s="165">
        <v>97.623484965437029</v>
      </c>
      <c r="AU78" s="165">
        <v>111.25484280089452</v>
      </c>
      <c r="AV78" s="164">
        <v>119.13196814721282</v>
      </c>
      <c r="AW78" s="165"/>
      <c r="AX78" s="165">
        <v>69.435486947844097</v>
      </c>
      <c r="AY78" s="165">
        <v>77.429759529039274</v>
      </c>
      <c r="AZ78" s="165">
        <v>94.149691730122299</v>
      </c>
      <c r="BA78" s="165">
        <v>107.29594200979159</v>
      </c>
      <c r="BB78" s="164">
        <v>114.89276509261856</v>
      </c>
      <c r="BC78" s="165"/>
      <c r="BD78" s="165">
        <v>2.5619435531148169</v>
      </c>
      <c r="BE78" s="165">
        <v>2.8569638356867268</v>
      </c>
      <c r="BF78" s="165">
        <v>3.4737932353147438</v>
      </c>
      <c r="BG78" s="165">
        <v>3.9589007911029319</v>
      </c>
      <c r="BH78" s="164">
        <v>4.2392030545942614</v>
      </c>
    </row>
    <row r="79" spans="1:60">
      <c r="A79" s="72" t="str">
        <f t="shared" si="76"/>
        <v>60-64</v>
      </c>
      <c r="B79" s="165">
        <v>22.058986538549966</v>
      </c>
      <c r="C79" s="165">
        <v>25.725899636040516</v>
      </c>
      <c r="D79" s="165">
        <v>23.105090180247199</v>
      </c>
      <c r="E79" s="165">
        <v>23.482130526076944</v>
      </c>
      <c r="F79" s="164">
        <v>20.863456754363423</v>
      </c>
      <c r="G79" s="165"/>
      <c r="H79" s="165">
        <v>10.261625462059436</v>
      </c>
      <c r="I79" s="165">
        <v>11.967431555445883</v>
      </c>
      <c r="J79" s="165">
        <v>10.748274288790256</v>
      </c>
      <c r="K79" s="165">
        <v>10.923637169620605</v>
      </c>
      <c r="L79" s="164">
        <v>9.7054628731438477</v>
      </c>
      <c r="M79" s="165"/>
      <c r="N79" s="165">
        <v>11.797361076490528</v>
      </c>
      <c r="O79" s="165">
        <v>13.758468080594636</v>
      </c>
      <c r="P79" s="165">
        <v>12.356815891456941</v>
      </c>
      <c r="Q79" s="165">
        <v>12.558493356456339</v>
      </c>
      <c r="R79" s="164">
        <v>11.157993881219575</v>
      </c>
      <c r="S79" s="165"/>
      <c r="T79" s="165">
        <v>0</v>
      </c>
      <c r="U79" s="165">
        <v>0</v>
      </c>
      <c r="V79" s="165">
        <v>0</v>
      </c>
      <c r="W79" s="165">
        <v>0</v>
      </c>
      <c r="X79" s="164">
        <v>0</v>
      </c>
      <c r="Y79" s="72" t="str">
        <f t="shared" si="77"/>
        <v>60-64</v>
      </c>
      <c r="Z79" s="165">
        <v>19.033134372987352</v>
      </c>
      <c r="AA79" s="165">
        <v>23.139563185511207</v>
      </c>
      <c r="AB79" s="165">
        <v>29.062611970564706</v>
      </c>
      <c r="AC79" s="165">
        <v>37.775985439184019</v>
      </c>
      <c r="AD79" s="164">
        <v>45.699503561805081</v>
      </c>
      <c r="AE79" s="165"/>
      <c r="AF79" s="165">
        <v>18.159098770843201</v>
      </c>
      <c r="AG79" s="165">
        <v>22.076986233291766</v>
      </c>
      <c r="AH79" s="165">
        <v>27.728037414140051</v>
      </c>
      <c r="AI79" s="165">
        <v>36.041367319946715</v>
      </c>
      <c r="AJ79" s="164">
        <v>43.600996459396789</v>
      </c>
      <c r="AK79" s="165"/>
      <c r="AL79" s="165">
        <v>0.87403560214415288</v>
      </c>
      <c r="AM79" s="165">
        <v>1.0625769522194444</v>
      </c>
      <c r="AN79" s="165">
        <v>1.3345745564246547</v>
      </c>
      <c r="AO79" s="165">
        <v>1.7346181192372983</v>
      </c>
      <c r="AP79" s="164">
        <v>2.0985071024082935</v>
      </c>
      <c r="AQ79" s="72" t="str">
        <f t="shared" si="78"/>
        <v>60-64</v>
      </c>
      <c r="AR79" s="165">
        <v>28.502879088462684</v>
      </c>
      <c r="AS79" s="165">
        <v>37.330537178448267</v>
      </c>
      <c r="AT79" s="165">
        <v>46.611297849188091</v>
      </c>
      <c r="AU79" s="165">
        <v>59.348884034739037</v>
      </c>
      <c r="AV79" s="164">
        <v>72.006039683831503</v>
      </c>
      <c r="AW79" s="165"/>
      <c r="AX79" s="165">
        <v>26.621847428232694</v>
      </c>
      <c r="AY79" s="165">
        <v>34.866929781336395</v>
      </c>
      <c r="AZ79" s="165">
        <v>43.535121181596431</v>
      </c>
      <c r="BA79" s="165">
        <v>55.432075117845166</v>
      </c>
      <c r="BB79" s="164">
        <v>67.253939495670267</v>
      </c>
      <c r="BC79" s="165"/>
      <c r="BD79" s="165">
        <v>1.881031660229987</v>
      </c>
      <c r="BE79" s="165">
        <v>2.463607397111879</v>
      </c>
      <c r="BF79" s="165">
        <v>3.0761766675916631</v>
      </c>
      <c r="BG79" s="165">
        <v>3.9168089168938671</v>
      </c>
      <c r="BH79" s="164">
        <v>4.7521001881612417</v>
      </c>
    </row>
    <row r="80" spans="1:60">
      <c r="A80" s="72" t="str">
        <f t="shared" si="76"/>
        <v>65+</v>
      </c>
      <c r="B80" s="165">
        <v>6.9211439895691509</v>
      </c>
      <c r="C80" s="165">
        <v>11.403315499909841</v>
      </c>
      <c r="D80" s="165">
        <v>10.028756519263442</v>
      </c>
      <c r="E80" s="165">
        <v>7.9572606059831097</v>
      </c>
      <c r="F80" s="164">
        <v>6.1556020468771537</v>
      </c>
      <c r="G80" s="165"/>
      <c r="H80" s="165">
        <v>3.3880153703013169</v>
      </c>
      <c r="I80" s="165">
        <v>5.5821599276043257</v>
      </c>
      <c r="J80" s="165">
        <v>4.9092330155000692</v>
      </c>
      <c r="K80" s="165">
        <v>3.8952339057066752</v>
      </c>
      <c r="L80" s="164">
        <v>3.0132549845592425</v>
      </c>
      <c r="M80" s="165"/>
      <c r="N80" s="165">
        <v>3.5331286192678335</v>
      </c>
      <c r="O80" s="165">
        <v>5.8211555723055133</v>
      </c>
      <c r="P80" s="165">
        <v>5.1195235037633742</v>
      </c>
      <c r="Q80" s="165">
        <v>4.0620267002764345</v>
      </c>
      <c r="R80" s="164">
        <v>3.1423470623179108</v>
      </c>
      <c r="S80" s="165"/>
      <c r="T80" s="165">
        <v>0</v>
      </c>
      <c r="U80" s="165">
        <v>0</v>
      </c>
      <c r="V80" s="165">
        <v>0</v>
      </c>
      <c r="W80" s="165">
        <v>0</v>
      </c>
      <c r="X80" s="164">
        <v>0</v>
      </c>
      <c r="Y80" s="72" t="str">
        <f t="shared" si="77"/>
        <v>65+</v>
      </c>
      <c r="Z80" s="165">
        <v>5.0779151858860399</v>
      </c>
      <c r="AA80" s="165">
        <v>5.8560125079035359</v>
      </c>
      <c r="AB80" s="165">
        <v>7.4475071119826133</v>
      </c>
      <c r="AC80" s="165">
        <v>8.0611678258540653</v>
      </c>
      <c r="AD80" s="164">
        <v>8.6521443263082798</v>
      </c>
      <c r="AE80" s="165"/>
      <c r="AF80" s="165">
        <v>4.4280912105889678</v>
      </c>
      <c r="AG80" s="165">
        <v>5.1066439452522596</v>
      </c>
      <c r="AH80" s="165">
        <v>6.4944416235841498</v>
      </c>
      <c r="AI80" s="165">
        <v>7.0296284480755258</v>
      </c>
      <c r="AJ80" s="164">
        <v>7.5449282666861546</v>
      </c>
      <c r="AK80" s="165"/>
      <c r="AL80" s="165">
        <v>0.64982397529707225</v>
      </c>
      <c r="AM80" s="165">
        <v>0.74936856265127538</v>
      </c>
      <c r="AN80" s="165">
        <v>0.95306548839846261</v>
      </c>
      <c r="AO80" s="165">
        <v>1.03153937777854</v>
      </c>
      <c r="AP80" s="164">
        <v>1.1072160596221259</v>
      </c>
      <c r="AQ80" s="72" t="str">
        <f t="shared" si="78"/>
        <v>65+</v>
      </c>
      <c r="AR80" s="165">
        <v>10.295940824544813</v>
      </c>
      <c r="AS80" s="165">
        <v>8.0706719921866217</v>
      </c>
      <c r="AT80" s="165">
        <v>14.988736368753946</v>
      </c>
      <c r="AU80" s="165">
        <v>18.053571568162823</v>
      </c>
      <c r="AV80" s="164">
        <v>21.595253626814571</v>
      </c>
      <c r="AW80" s="165"/>
      <c r="AX80" s="165">
        <v>9.5711093689595526</v>
      </c>
      <c r="AY80" s="165">
        <v>7.5024694874410747</v>
      </c>
      <c r="AZ80" s="165">
        <v>13.933474089451744</v>
      </c>
      <c r="BA80" s="165">
        <v>16.782613628155822</v>
      </c>
      <c r="BB80" s="164">
        <v>20.07497877515241</v>
      </c>
      <c r="BC80" s="165"/>
      <c r="BD80" s="165">
        <v>0.72483145558525974</v>
      </c>
      <c r="BE80" s="165">
        <v>0.5682025047455489</v>
      </c>
      <c r="BF80" s="165">
        <v>1.0552622793022017</v>
      </c>
      <c r="BG80" s="165">
        <v>1.2709579400070001</v>
      </c>
      <c r="BH80" s="164">
        <v>1.5202748516621645</v>
      </c>
    </row>
    <row r="81" spans="1:60"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75"/>
      <c r="U81" s="75"/>
      <c r="V81" s="75"/>
      <c r="W81" s="75"/>
      <c r="X81" s="75"/>
      <c r="Z81" s="164"/>
      <c r="AA81" s="164"/>
      <c r="AB81" s="164"/>
      <c r="AC81" s="164"/>
      <c r="AD81" s="164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R81" s="165"/>
      <c r="AS81" s="165"/>
      <c r="AT81" s="165"/>
      <c r="AU81" s="165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164"/>
      <c r="BH81" s="164"/>
    </row>
    <row r="82" spans="1:60" ht="12.95">
      <c r="A82" s="95" t="str">
        <f>A34</f>
        <v>Females</v>
      </c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75"/>
      <c r="U82" s="75"/>
      <c r="V82" s="75"/>
      <c r="W82" s="75"/>
      <c r="X82" s="75"/>
      <c r="Y82" s="95" t="str">
        <f>Y34</f>
        <v>Females</v>
      </c>
      <c r="Z82" s="164"/>
      <c r="AA82" s="164"/>
      <c r="AB82" s="164"/>
      <c r="AC82" s="164"/>
      <c r="AD82" s="164"/>
      <c r="AE82" s="164"/>
      <c r="AF82" s="164"/>
      <c r="AG82" s="164"/>
      <c r="AH82" s="164"/>
      <c r="AI82" s="164"/>
      <c r="AJ82" s="164"/>
      <c r="AK82" s="164"/>
      <c r="AL82" s="164"/>
      <c r="AM82" s="164"/>
      <c r="AN82" s="164"/>
      <c r="AO82" s="164"/>
      <c r="AP82" s="164"/>
      <c r="AQ82" s="95" t="str">
        <f>AQ34</f>
        <v>Females</v>
      </c>
      <c r="AR82" s="75"/>
      <c r="AS82" s="75"/>
      <c r="AT82" s="75"/>
      <c r="AU82" s="75"/>
      <c r="AV82" s="164"/>
      <c r="AW82" s="164"/>
      <c r="AX82" s="164"/>
      <c r="AY82" s="164"/>
      <c r="AZ82" s="164"/>
      <c r="BA82" s="164"/>
      <c r="BB82" s="164"/>
      <c r="BC82" s="164"/>
      <c r="BD82" s="164"/>
      <c r="BE82" s="164"/>
      <c r="BF82" s="164"/>
      <c r="BG82" s="164"/>
      <c r="BH82" s="164"/>
    </row>
    <row r="83" spans="1:60">
      <c r="A83" s="72" t="str">
        <f>A35</f>
        <v>15+</v>
      </c>
      <c r="B83" s="165">
        <f>SUM(B84:B94)</f>
        <v>423.06360139942507</v>
      </c>
      <c r="C83" s="165">
        <f t="shared" ref="C83:F83" si="79">SUM(C84:C94)</f>
        <v>420.02944292320001</v>
      </c>
      <c r="D83" s="165">
        <f t="shared" si="79"/>
        <v>340.32430055838188</v>
      </c>
      <c r="E83" s="165">
        <f t="shared" si="79"/>
        <v>280.86469102706656</v>
      </c>
      <c r="F83" s="165">
        <f t="shared" si="79"/>
        <v>223.76680386266278</v>
      </c>
      <c r="G83" s="165"/>
      <c r="H83" s="165">
        <f>SUM(H84:H94)</f>
        <v>145.89694047973552</v>
      </c>
      <c r="I83" s="165">
        <f t="shared" ref="I83:L83" si="80">SUM(I84:I94)</f>
        <v>145.07481013301967</v>
      </c>
      <c r="J83" s="165">
        <f t="shared" si="80"/>
        <v>119.0698940829858</v>
      </c>
      <c r="K83" s="165">
        <f t="shared" si="80"/>
        <v>97.685423606672089</v>
      </c>
      <c r="L83" s="165">
        <f t="shared" si="80"/>
        <v>77.126697351246889</v>
      </c>
      <c r="M83" s="165"/>
      <c r="N83" s="165">
        <f>SUM(N84:N94)</f>
        <v>277.16666091968955</v>
      </c>
      <c r="O83" s="165">
        <f t="shared" ref="O83:R83" si="81">SUM(O84:O94)</f>
        <v>274.95463279018031</v>
      </c>
      <c r="P83" s="165">
        <f t="shared" si="81"/>
        <v>221.25440647539608</v>
      </c>
      <c r="Q83" s="165">
        <f t="shared" si="81"/>
        <v>183.17926742039447</v>
      </c>
      <c r="R83" s="165">
        <f t="shared" si="81"/>
        <v>146.64010651141589</v>
      </c>
      <c r="S83" s="165"/>
      <c r="T83" s="165">
        <f>SUM(T84:T94)</f>
        <v>0</v>
      </c>
      <c r="U83" s="165">
        <f t="shared" ref="U83:X83" si="82">SUM(U84:U94)</f>
        <v>0</v>
      </c>
      <c r="V83" s="165">
        <f t="shared" si="82"/>
        <v>0</v>
      </c>
      <c r="W83" s="165">
        <f t="shared" si="82"/>
        <v>0</v>
      </c>
      <c r="X83" s="165">
        <f t="shared" si="82"/>
        <v>0</v>
      </c>
      <c r="Y83" s="72" t="str">
        <f>Y35</f>
        <v>15+</v>
      </c>
      <c r="Z83" s="165">
        <f>SUM(Z84:Z94)</f>
        <v>835.78959562739158</v>
      </c>
      <c r="AA83" s="165">
        <f t="shared" ref="AA83:AD83" si="83">SUM(AA84:AA94)</f>
        <v>817.71951299037789</v>
      </c>
      <c r="AB83" s="165">
        <f t="shared" si="83"/>
        <v>833.46122225056911</v>
      </c>
      <c r="AC83" s="165">
        <f t="shared" si="83"/>
        <v>872.7568149707464</v>
      </c>
      <c r="AD83" s="165">
        <f t="shared" si="83"/>
        <v>906.76405425389191</v>
      </c>
      <c r="AE83" s="165"/>
      <c r="AF83" s="165">
        <f>SUM(AF84:AF94)</f>
        <v>775.49874803920272</v>
      </c>
      <c r="AG83" s="165">
        <f t="shared" ref="AG83:AJ83" si="84">SUM(AG84:AG94)</f>
        <v>758.80872601036992</v>
      </c>
      <c r="AH83" s="165">
        <f t="shared" si="84"/>
        <v>773.5162619397023</v>
      </c>
      <c r="AI83" s="165">
        <f t="shared" si="84"/>
        <v>810.06846896436525</v>
      </c>
      <c r="AJ83" s="165">
        <f t="shared" si="84"/>
        <v>841.89337685638475</v>
      </c>
      <c r="AK83" s="165"/>
      <c r="AL83" s="165">
        <f>SUM(AL84:AL94)</f>
        <v>60.29084758818869</v>
      </c>
      <c r="AM83" s="165">
        <f t="shared" ref="AM83:AP83" si="85">SUM(AM84:AM94)</f>
        <v>58.910786980008034</v>
      </c>
      <c r="AN83" s="165">
        <f t="shared" si="85"/>
        <v>59.944960310866939</v>
      </c>
      <c r="AO83" s="165">
        <f t="shared" si="85"/>
        <v>62.688346006381188</v>
      </c>
      <c r="AP83" s="165">
        <f t="shared" si="85"/>
        <v>64.870677397506995</v>
      </c>
      <c r="AQ83" s="72" t="str">
        <f>AQ35</f>
        <v>15+</v>
      </c>
      <c r="AR83" s="165">
        <f>SUM(AR84:AR94)</f>
        <v>889.40880297318358</v>
      </c>
      <c r="AS83" s="165">
        <f t="shared" ref="AS83:AV83" si="86">SUM(AS84:AS94)</f>
        <v>982.33504408642204</v>
      </c>
      <c r="AT83" s="165">
        <f t="shared" si="86"/>
        <v>1108.5044771910491</v>
      </c>
      <c r="AU83" s="165">
        <f t="shared" si="86"/>
        <v>1230.8314940021869</v>
      </c>
      <c r="AV83" s="165">
        <f t="shared" si="86"/>
        <v>1348.9681418834455</v>
      </c>
      <c r="AW83" s="165"/>
      <c r="AX83" s="165">
        <f>SUM(AX84:AX94)</f>
        <v>879.74824720033962</v>
      </c>
      <c r="AY83" s="165">
        <f t="shared" ref="AY83:BB83" si="87">SUM(AY84:AY94)</f>
        <v>971.10421223711137</v>
      </c>
      <c r="AZ83" s="165">
        <f t="shared" si="87"/>
        <v>1095.1677547026629</v>
      </c>
      <c r="BA83" s="165">
        <f t="shared" si="87"/>
        <v>1216.0188704547381</v>
      </c>
      <c r="BB83" s="165">
        <f t="shared" si="87"/>
        <v>1332.3320678155631</v>
      </c>
      <c r="BC83" s="165"/>
      <c r="BD83" s="165">
        <f>SUM(BD84:BD94)</f>
        <v>9.6605557728437574</v>
      </c>
      <c r="BE83" s="165">
        <f t="shared" ref="BE83:BH83" si="88">SUM(BE84:BE94)</f>
        <v>11.105764362713181</v>
      </c>
      <c r="BF83" s="165">
        <f t="shared" si="88"/>
        <v>13.018684577213577</v>
      </c>
      <c r="BG83" s="165">
        <f t="shared" si="88"/>
        <v>14.812623547448824</v>
      </c>
      <c r="BH83" s="165">
        <f t="shared" si="88"/>
        <v>16.636074067882518</v>
      </c>
    </row>
    <row r="84" spans="1:60">
      <c r="A84" s="72" t="str">
        <f t="shared" ref="A84:A94" si="89">A36</f>
        <v>15-19</v>
      </c>
      <c r="B84" s="165">
        <v>11.952178011992856</v>
      </c>
      <c r="C84" s="165">
        <v>13.402887260222242</v>
      </c>
      <c r="D84" s="165">
        <v>10.497400074288828</v>
      </c>
      <c r="E84" s="165">
        <v>10.487079759394881</v>
      </c>
      <c r="F84" s="164">
        <v>11.380731286753464</v>
      </c>
      <c r="G84" s="164"/>
      <c r="H84" s="165">
        <v>1.9311383476471966</v>
      </c>
      <c r="I84" s="165">
        <v>2.1654425866600273</v>
      </c>
      <c r="J84" s="165">
        <v>1.6960330233653167</v>
      </c>
      <c r="K84" s="165">
        <v>1.6944183086206663</v>
      </c>
      <c r="L84" s="164">
        <v>1.8387489146198699</v>
      </c>
      <c r="M84" s="164"/>
      <c r="N84" s="165">
        <v>10.021039664345659</v>
      </c>
      <c r="O84" s="165">
        <v>11.237444673562216</v>
      </c>
      <c r="P84" s="165">
        <v>8.8013670509235116</v>
      </c>
      <c r="Q84" s="165">
        <v>8.7926614507742151</v>
      </c>
      <c r="R84" s="164">
        <v>9.5419823721335941</v>
      </c>
      <c r="S84" s="164"/>
      <c r="T84" s="165">
        <v>0</v>
      </c>
      <c r="U84" s="165">
        <v>0</v>
      </c>
      <c r="V84" s="165">
        <v>0</v>
      </c>
      <c r="W84" s="165">
        <v>0</v>
      </c>
      <c r="X84" s="164">
        <v>0</v>
      </c>
      <c r="Y84" s="72" t="str">
        <f t="shared" ref="Y84:Y94" si="90">Y36</f>
        <v>15-19</v>
      </c>
      <c r="Z84" s="165">
        <v>10.828592838586953</v>
      </c>
      <c r="AA84" s="165">
        <v>10.260045253180333</v>
      </c>
      <c r="AB84" s="165">
        <v>8.3705620145386224</v>
      </c>
      <c r="AC84" s="165">
        <v>8.9334389435199988</v>
      </c>
      <c r="AD84" s="164">
        <v>10.306241587925554</v>
      </c>
      <c r="AE84" s="164"/>
      <c r="AF84" s="165">
        <v>10.269940466538486</v>
      </c>
      <c r="AG84" s="165">
        <v>9.7306883630573378</v>
      </c>
      <c r="AH84" s="165">
        <v>7.9386523921141237</v>
      </c>
      <c r="AI84" s="165">
        <v>8.4725263317021824</v>
      </c>
      <c r="AJ84" s="164">
        <v>9.7745223494256592</v>
      </c>
      <c r="AK84" s="164"/>
      <c r="AL84" s="165">
        <v>0.55865237204846663</v>
      </c>
      <c r="AM84" s="165">
        <v>0.52935689012299614</v>
      </c>
      <c r="AN84" s="165">
        <v>0.43190962242449843</v>
      </c>
      <c r="AO84" s="165">
        <v>0.46091261181781773</v>
      </c>
      <c r="AP84" s="164">
        <v>0.53171923849989433</v>
      </c>
      <c r="AQ84" s="72" t="str">
        <f t="shared" ref="AQ84:AQ94" si="91">AQ36</f>
        <v>15-19</v>
      </c>
      <c r="AR84" s="165">
        <v>0.12322914942019014</v>
      </c>
      <c r="AS84" s="165">
        <v>0.12506748659742103</v>
      </c>
      <c r="AT84" s="165">
        <v>0.31803791117255348</v>
      </c>
      <c r="AU84" s="165">
        <v>0.32248129708511647</v>
      </c>
      <c r="AV84" s="164">
        <v>0.3530271253209819</v>
      </c>
      <c r="AW84" s="164"/>
      <c r="AX84" s="165">
        <v>0.12322914942019014</v>
      </c>
      <c r="AY84" s="165">
        <v>0</v>
      </c>
      <c r="AZ84" s="165">
        <v>0</v>
      </c>
      <c r="BA84" s="165">
        <v>0.32248129708511647</v>
      </c>
      <c r="BB84" s="164">
        <v>0.3530271253209819</v>
      </c>
      <c r="BC84" s="164"/>
      <c r="BD84" s="165">
        <v>0</v>
      </c>
      <c r="BE84" s="165">
        <v>0</v>
      </c>
      <c r="BF84" s="165">
        <v>0</v>
      </c>
      <c r="BG84" s="165">
        <v>0</v>
      </c>
      <c r="BH84" s="164">
        <v>0</v>
      </c>
    </row>
    <row r="85" spans="1:60">
      <c r="A85" s="72" t="str">
        <f t="shared" si="89"/>
        <v>20-24</v>
      </c>
      <c r="B85" s="165">
        <v>27.162073940488085</v>
      </c>
      <c r="C85" s="165">
        <v>25.818959473458939</v>
      </c>
      <c r="D85" s="165">
        <v>19.430418992506574</v>
      </c>
      <c r="E85" s="165">
        <v>17.065770140454763</v>
      </c>
      <c r="F85" s="164">
        <v>15.339491201948526</v>
      </c>
      <c r="G85" s="164"/>
      <c r="H85" s="165">
        <v>7.738175779416105</v>
      </c>
      <c r="I85" s="165">
        <v>7.3555159173417479</v>
      </c>
      <c r="J85" s="165">
        <v>5.5355294417133862</v>
      </c>
      <c r="K85" s="165">
        <v>4.8618655592881783</v>
      </c>
      <c r="L85" s="164">
        <v>4.370057954996903</v>
      </c>
      <c r="M85" s="164"/>
      <c r="N85" s="165">
        <v>19.423898161071982</v>
      </c>
      <c r="O85" s="165">
        <v>18.463443556117188</v>
      </c>
      <c r="P85" s="165">
        <v>13.894889550793188</v>
      </c>
      <c r="Q85" s="165">
        <v>12.203904581166585</v>
      </c>
      <c r="R85" s="164">
        <v>10.96943324695162</v>
      </c>
      <c r="S85" s="164"/>
      <c r="T85" s="165">
        <v>0</v>
      </c>
      <c r="U85" s="165">
        <v>0</v>
      </c>
      <c r="V85" s="165">
        <v>0</v>
      </c>
      <c r="W85" s="165">
        <v>0</v>
      </c>
      <c r="X85" s="164">
        <v>0</v>
      </c>
      <c r="Y85" s="72" t="str">
        <f t="shared" si="90"/>
        <v>20-24</v>
      </c>
      <c r="Z85" s="165">
        <v>83.029902962100564</v>
      </c>
      <c r="AA85" s="165">
        <v>84.099064086151856</v>
      </c>
      <c r="AB85" s="165">
        <v>75.456016390238844</v>
      </c>
      <c r="AC85" s="165">
        <v>72.409581167242635</v>
      </c>
      <c r="AD85" s="164">
        <v>70.925077672432323</v>
      </c>
      <c r="AE85" s="164"/>
      <c r="AF85" s="165">
        <v>74.996139409236491</v>
      </c>
      <c r="AG85" s="165">
        <v>75.961913287114783</v>
      </c>
      <c r="AH85" s="165">
        <v>68.155149094152151</v>
      </c>
      <c r="AI85" s="165">
        <v>65.403445863093296</v>
      </c>
      <c r="AJ85" s="164">
        <v>64.062544551136526</v>
      </c>
      <c r="AK85" s="164"/>
      <c r="AL85" s="165">
        <v>8.0337635528640625</v>
      </c>
      <c r="AM85" s="165">
        <v>8.1371507990370748</v>
      </c>
      <c r="AN85" s="165">
        <v>7.3008672960866994</v>
      </c>
      <c r="AO85" s="165">
        <v>7.0061353041493399</v>
      </c>
      <c r="AP85" s="164">
        <v>6.8625331212957974</v>
      </c>
      <c r="AQ85" s="72" t="str">
        <f t="shared" si="91"/>
        <v>20-24</v>
      </c>
      <c r="AR85" s="165">
        <v>64.096023097411347</v>
      </c>
      <c r="AS85" s="165">
        <v>59.5749764403892</v>
      </c>
      <c r="AT85" s="165">
        <v>64.928564617254594</v>
      </c>
      <c r="AU85" s="165">
        <v>69.876648692302624</v>
      </c>
      <c r="AV85" s="164">
        <v>76.967431125619157</v>
      </c>
      <c r="AW85" s="164"/>
      <c r="AX85" s="165">
        <v>63.936315058758787</v>
      </c>
      <c r="AY85" s="165">
        <v>59.426553735923072</v>
      </c>
      <c r="AZ85" s="165">
        <v>64.766758302259873</v>
      </c>
      <c r="BA85" s="165">
        <v>69.702519316956455</v>
      </c>
      <c r="BB85" s="164">
        <v>76.775653915926199</v>
      </c>
      <c r="BC85" s="164"/>
      <c r="BD85" s="165">
        <v>0.1597080386525653</v>
      </c>
      <c r="BE85" s="165">
        <v>0.14842270446612335</v>
      </c>
      <c r="BF85" s="165">
        <v>0.16180631499472672</v>
      </c>
      <c r="BG85" s="165">
        <v>0.17412937534616696</v>
      </c>
      <c r="BH85" s="164">
        <v>0.19177720969295214</v>
      </c>
    </row>
    <row r="86" spans="1:60">
      <c r="A86" s="72" t="str">
        <f t="shared" si="89"/>
        <v>25-29</v>
      </c>
      <c r="B86" s="165">
        <v>28.972672566594831</v>
      </c>
      <c r="C86" s="165">
        <v>33.619340539542968</v>
      </c>
      <c r="D86" s="165">
        <v>28.636722146171739</v>
      </c>
      <c r="E86" s="165">
        <v>27.654766165607402</v>
      </c>
      <c r="F86" s="164">
        <v>24.701036177168444</v>
      </c>
      <c r="G86" s="164"/>
      <c r="H86" s="165">
        <v>7.950704122039733</v>
      </c>
      <c r="I86" s="165">
        <v>9.2258401283768823</v>
      </c>
      <c r="J86" s="165">
        <v>7.8585514263485647</v>
      </c>
      <c r="K86" s="165">
        <v>7.589044948115105</v>
      </c>
      <c r="L86" s="164">
        <v>6.778482350960795</v>
      </c>
      <c r="M86" s="164"/>
      <c r="N86" s="165">
        <v>21.021968444555103</v>
      </c>
      <c r="O86" s="165">
        <v>24.393500411166084</v>
      </c>
      <c r="P86" s="165">
        <v>20.778170719823173</v>
      </c>
      <c r="Q86" s="165">
        <v>20.065721217492296</v>
      </c>
      <c r="R86" s="164">
        <v>17.922553826207647</v>
      </c>
      <c r="S86" s="164"/>
      <c r="T86" s="165">
        <v>0</v>
      </c>
      <c r="U86" s="165">
        <v>0</v>
      </c>
      <c r="V86" s="165">
        <v>0</v>
      </c>
      <c r="W86" s="165">
        <v>0</v>
      </c>
      <c r="X86" s="164">
        <v>0</v>
      </c>
      <c r="Y86" s="72" t="str">
        <f t="shared" si="90"/>
        <v>25-29</v>
      </c>
      <c r="Z86" s="165">
        <v>104.35741449365315</v>
      </c>
      <c r="AA86" s="165">
        <v>97.185337610544352</v>
      </c>
      <c r="AB86" s="165">
        <v>95.599811894115447</v>
      </c>
      <c r="AC86" s="165">
        <v>97.118545376405621</v>
      </c>
      <c r="AD86" s="164">
        <v>91.712418531394292</v>
      </c>
      <c r="AE86" s="164"/>
      <c r="AF86" s="165">
        <v>94.421539979508964</v>
      </c>
      <c r="AG86" s="165">
        <v>87.932329636056579</v>
      </c>
      <c r="AH86" s="165">
        <v>86.497719374499709</v>
      </c>
      <c r="AI86" s="165">
        <v>87.87184276496231</v>
      </c>
      <c r="AJ86" s="164">
        <v>82.980425552523215</v>
      </c>
      <c r="AK86" s="164"/>
      <c r="AL86" s="165">
        <v>9.9358745141441993</v>
      </c>
      <c r="AM86" s="165">
        <v>9.2530079744877742</v>
      </c>
      <c r="AN86" s="165">
        <v>9.1020925196157414</v>
      </c>
      <c r="AO86" s="165">
        <v>9.2467026114433057</v>
      </c>
      <c r="AP86" s="164">
        <v>8.7319929788710677</v>
      </c>
      <c r="AQ86" s="72" t="str">
        <f t="shared" si="91"/>
        <v>25-29</v>
      </c>
      <c r="AR86" s="165">
        <v>154.57691293975205</v>
      </c>
      <c r="AS86" s="165">
        <v>158.68732184991271</v>
      </c>
      <c r="AT86" s="165">
        <v>170.7534659597128</v>
      </c>
      <c r="AU86" s="165">
        <v>191.50468845798702</v>
      </c>
      <c r="AV86" s="164">
        <v>199.18454529143727</v>
      </c>
      <c r="AW86" s="164"/>
      <c r="AX86" s="165">
        <v>153.36078875627214</v>
      </c>
      <c r="AY86" s="165">
        <v>157.4389010397588</v>
      </c>
      <c r="AZ86" s="165">
        <v>169.41011412348425</v>
      </c>
      <c r="BA86" s="165">
        <v>189.99801160263456</v>
      </c>
      <c r="BB86" s="164">
        <v>197.61746925057139</v>
      </c>
      <c r="BC86" s="164"/>
      <c r="BD86" s="165">
        <v>1.216124183479921</v>
      </c>
      <c r="BE86" s="165">
        <v>1.2484208101538898</v>
      </c>
      <c r="BF86" s="165">
        <v>1.3433518362285748</v>
      </c>
      <c r="BG86" s="165">
        <v>1.5066768553524434</v>
      </c>
      <c r="BH86" s="164">
        <v>1.5670760408658764</v>
      </c>
    </row>
    <row r="87" spans="1:60">
      <c r="A87" s="72" t="str">
        <f t="shared" si="89"/>
        <v>30-34</v>
      </c>
      <c r="B87" s="165">
        <v>28.548429106302432</v>
      </c>
      <c r="C87" s="165">
        <v>33.358134400600257</v>
      </c>
      <c r="D87" s="165">
        <v>26.133347885177166</v>
      </c>
      <c r="E87" s="165">
        <v>24.365255828037625</v>
      </c>
      <c r="F87" s="164">
        <v>20.217650831183683</v>
      </c>
      <c r="G87" s="164"/>
      <c r="H87" s="165">
        <v>8.8494100941278067</v>
      </c>
      <c r="I87" s="165">
        <v>10.340333649356303</v>
      </c>
      <c r="J87" s="165">
        <v>8.1007469331818331</v>
      </c>
      <c r="K87" s="165">
        <v>7.5527322076666525</v>
      </c>
      <c r="L87" s="164">
        <v>6.2670936294528277</v>
      </c>
      <c r="M87" s="164"/>
      <c r="N87" s="165">
        <v>19.699019012174627</v>
      </c>
      <c r="O87" s="165">
        <v>23.017800751243954</v>
      </c>
      <c r="P87" s="165">
        <v>18.032600951995331</v>
      </c>
      <c r="Q87" s="165">
        <v>16.812523620370971</v>
      </c>
      <c r="R87" s="164">
        <v>13.950557201730856</v>
      </c>
      <c r="S87" s="164"/>
      <c r="T87" s="165">
        <v>0</v>
      </c>
      <c r="U87" s="165">
        <v>0</v>
      </c>
      <c r="V87" s="165">
        <v>0</v>
      </c>
      <c r="W87" s="165">
        <v>0</v>
      </c>
      <c r="X87" s="164">
        <v>0</v>
      </c>
      <c r="Y87" s="72" t="str">
        <f t="shared" si="90"/>
        <v>30-34</v>
      </c>
      <c r="Z87" s="165">
        <v>108.05302506717383</v>
      </c>
      <c r="AA87" s="165">
        <v>98.910651662683122</v>
      </c>
      <c r="AB87" s="165">
        <v>99.823038706554627</v>
      </c>
      <c r="AC87" s="165">
        <v>99.91027324420439</v>
      </c>
      <c r="AD87" s="164">
        <v>100.65577680822747</v>
      </c>
      <c r="AE87" s="164"/>
      <c r="AF87" s="165">
        <v>98.864662354008289</v>
      </c>
      <c r="AG87" s="165">
        <v>90.499770716250708</v>
      </c>
      <c r="AH87" s="165">
        <v>91.334572918369915</v>
      </c>
      <c r="AI87" s="165">
        <v>91.414386042419594</v>
      </c>
      <c r="AJ87" s="164">
        <v>92.096473466363605</v>
      </c>
      <c r="AK87" s="164"/>
      <c r="AL87" s="165">
        <v>9.1883627131655423</v>
      </c>
      <c r="AM87" s="165">
        <v>8.4108809464324228</v>
      </c>
      <c r="AN87" s="165">
        <v>8.4884657881847136</v>
      </c>
      <c r="AO87" s="165">
        <v>8.4958872017847948</v>
      </c>
      <c r="AP87" s="164">
        <v>8.5593033418638793</v>
      </c>
      <c r="AQ87" s="72" t="str">
        <f t="shared" si="91"/>
        <v>30-34</v>
      </c>
      <c r="AR87" s="165">
        <v>154.40154582652374</v>
      </c>
      <c r="AS87" s="165">
        <v>164.11921393671662</v>
      </c>
      <c r="AT87" s="165">
        <v>176.72761340826818</v>
      </c>
      <c r="AU87" s="165">
        <v>194.300470927758</v>
      </c>
      <c r="AV87" s="164">
        <v>216.50257236058886</v>
      </c>
      <c r="AW87" s="164"/>
      <c r="AX87" s="165">
        <v>152.67917871565837</v>
      </c>
      <c r="AY87" s="165">
        <v>162.28847354227025</v>
      </c>
      <c r="AZ87" s="165">
        <v>174.75627406499731</v>
      </c>
      <c r="BA87" s="165">
        <v>192.1331101550017</v>
      </c>
      <c r="BB87" s="164">
        <v>214.08754627952416</v>
      </c>
      <c r="BC87" s="164"/>
      <c r="BD87" s="165">
        <v>1.7223671108653775</v>
      </c>
      <c r="BE87" s="165">
        <v>1.8307403944463407</v>
      </c>
      <c r="BF87" s="165">
        <v>1.9713393432708828</v>
      </c>
      <c r="BG87" s="165">
        <v>2.1673607727562971</v>
      </c>
      <c r="BH87" s="164">
        <v>2.415026081064688</v>
      </c>
    </row>
    <row r="88" spans="1:60">
      <c r="A88" s="72" t="str">
        <f t="shared" si="89"/>
        <v>35-39</v>
      </c>
      <c r="B88" s="165">
        <v>44.016457260235349</v>
      </c>
      <c r="C88" s="165">
        <v>39.976771904202742</v>
      </c>
      <c r="D88" s="165">
        <v>30.464108582682162</v>
      </c>
      <c r="E88" s="165">
        <v>25.442342869618368</v>
      </c>
      <c r="F88" s="164">
        <v>19.313398032930589</v>
      </c>
      <c r="G88" s="164"/>
      <c r="H88" s="165">
        <v>13.170766467977897</v>
      </c>
      <c r="I88" s="165">
        <v>11.962019761666104</v>
      </c>
      <c r="J88" s="165">
        <v>9.1155623116308764</v>
      </c>
      <c r="K88" s="165">
        <v>7.6129848602255867</v>
      </c>
      <c r="L88" s="164">
        <v>5.7790036533667513</v>
      </c>
      <c r="M88" s="164"/>
      <c r="N88" s="165">
        <v>30.845690792257454</v>
      </c>
      <c r="O88" s="165">
        <v>28.014752142536643</v>
      </c>
      <c r="P88" s="165">
        <v>21.348546271051283</v>
      </c>
      <c r="Q88" s="165">
        <v>17.829358009392781</v>
      </c>
      <c r="R88" s="164">
        <v>13.534394379563837</v>
      </c>
      <c r="S88" s="164"/>
      <c r="T88" s="165">
        <v>0</v>
      </c>
      <c r="U88" s="165">
        <v>0</v>
      </c>
      <c r="V88" s="165">
        <v>0</v>
      </c>
      <c r="W88" s="165">
        <v>0</v>
      </c>
      <c r="X88" s="164">
        <v>0</v>
      </c>
      <c r="Y88" s="72" t="str">
        <f t="shared" si="90"/>
        <v>35-39</v>
      </c>
      <c r="Z88" s="165">
        <v>124.3317548459237</v>
      </c>
      <c r="AA88" s="165">
        <v>115.20319439668521</v>
      </c>
      <c r="AB88" s="165">
        <v>103.99848531956397</v>
      </c>
      <c r="AC88" s="165">
        <v>107.78515736503378</v>
      </c>
      <c r="AD88" s="164">
        <v>110.93136167790429</v>
      </c>
      <c r="AE88" s="164"/>
      <c r="AF88" s="165">
        <v>116.17651410584847</v>
      </c>
      <c r="AG88" s="165">
        <v>107.64676072030048</v>
      </c>
      <c r="AH88" s="165">
        <v>97.176962171565435</v>
      </c>
      <c r="AI88" s="165">
        <v>100.71524913353808</v>
      </c>
      <c r="AJ88" s="164">
        <v>103.65514843528025</v>
      </c>
      <c r="AK88" s="164"/>
      <c r="AL88" s="165">
        <v>8.1552407400752234</v>
      </c>
      <c r="AM88" s="165">
        <v>7.5564336763847377</v>
      </c>
      <c r="AN88" s="165">
        <v>6.821523147998537</v>
      </c>
      <c r="AO88" s="165">
        <v>7.06990823149569</v>
      </c>
      <c r="AP88" s="164">
        <v>7.2762132426240571</v>
      </c>
      <c r="AQ88" s="72" t="str">
        <f t="shared" si="91"/>
        <v>35-39</v>
      </c>
      <c r="AR88" s="165">
        <v>141.16078789384099</v>
      </c>
      <c r="AS88" s="165">
        <v>157.71103369911205</v>
      </c>
      <c r="AT88" s="165">
        <v>168.57540609775387</v>
      </c>
      <c r="AU88" s="165">
        <v>191.25249976534786</v>
      </c>
      <c r="AV88" s="164">
        <v>212.66724028916508</v>
      </c>
      <c r="AW88" s="164"/>
      <c r="AX88" s="165">
        <v>139.58664839223439</v>
      </c>
      <c r="AY88" s="165">
        <v>155.9523133601179</v>
      </c>
      <c r="AZ88" s="165">
        <v>166.69556733261371</v>
      </c>
      <c r="BA88" s="165">
        <v>189.11981088672707</v>
      </c>
      <c r="BB88" s="164">
        <v>210.29565301075678</v>
      </c>
      <c r="BC88" s="164"/>
      <c r="BD88" s="165">
        <v>1.5741395016066007</v>
      </c>
      <c r="BE88" s="165">
        <v>1.758720338994133</v>
      </c>
      <c r="BF88" s="165">
        <v>1.8798387651401465</v>
      </c>
      <c r="BG88" s="165">
        <v>2.1326888786208036</v>
      </c>
      <c r="BH88" s="164">
        <v>2.3715872784083478</v>
      </c>
    </row>
    <row r="89" spans="1:60">
      <c r="A89" s="72" t="str">
        <f t="shared" si="89"/>
        <v>40-44</v>
      </c>
      <c r="B89" s="165">
        <v>62.562497845796578</v>
      </c>
      <c r="C89" s="165">
        <v>52.041253862300799</v>
      </c>
      <c r="D89" s="165">
        <v>37.292808343338905</v>
      </c>
      <c r="E89" s="165">
        <v>25.730317953372698</v>
      </c>
      <c r="F89" s="164">
        <v>17.848161884307732</v>
      </c>
      <c r="G89" s="164"/>
      <c r="H89" s="165">
        <v>21.068964130305993</v>
      </c>
      <c r="I89" s="165">
        <v>17.525770127794758</v>
      </c>
      <c r="J89" s="165">
        <v>12.558954308409454</v>
      </c>
      <c r="K89" s="165">
        <v>8.6650962158735219</v>
      </c>
      <c r="L89" s="164">
        <v>6.0106773270790361</v>
      </c>
      <c r="M89" s="164"/>
      <c r="N89" s="165">
        <v>41.493533715490578</v>
      </c>
      <c r="O89" s="165">
        <v>34.515483734506034</v>
      </c>
      <c r="P89" s="165">
        <v>24.73385403492945</v>
      </c>
      <c r="Q89" s="165">
        <v>17.065221737499176</v>
      </c>
      <c r="R89" s="164">
        <v>11.837484557228693</v>
      </c>
      <c r="S89" s="164"/>
      <c r="T89" s="165">
        <v>0</v>
      </c>
      <c r="U89" s="165">
        <v>0</v>
      </c>
      <c r="V89" s="165">
        <v>0</v>
      </c>
      <c r="W89" s="165">
        <v>0</v>
      </c>
      <c r="X89" s="164">
        <v>0</v>
      </c>
      <c r="Y89" s="72" t="str">
        <f t="shared" si="90"/>
        <v>40-44</v>
      </c>
      <c r="Z89" s="165">
        <v>133.43211125882925</v>
      </c>
      <c r="AA89" s="165">
        <v>124.30920077827601</v>
      </c>
      <c r="AB89" s="165">
        <v>114.42328927804037</v>
      </c>
      <c r="AC89" s="165">
        <v>113.59093257500689</v>
      </c>
      <c r="AD89" s="164">
        <v>119.96086291422256</v>
      </c>
      <c r="AE89" s="164"/>
      <c r="AF89" s="165">
        <v>125.56555151187415</v>
      </c>
      <c r="AG89" s="165">
        <v>116.9805269711083</v>
      </c>
      <c r="AH89" s="165">
        <v>107.6774160354275</v>
      </c>
      <c r="AI89" s="165">
        <v>106.89413288813921</v>
      </c>
      <c r="AJ89" s="164">
        <v>112.88853405200165</v>
      </c>
      <c r="AK89" s="164"/>
      <c r="AL89" s="165">
        <v>7.8665597469551063</v>
      </c>
      <c r="AM89" s="165">
        <v>7.3286738071676902</v>
      </c>
      <c r="AN89" s="165">
        <v>6.7458732426128867</v>
      </c>
      <c r="AO89" s="165">
        <v>6.6967996868676751</v>
      </c>
      <c r="AP89" s="164">
        <v>7.0723288622208971</v>
      </c>
      <c r="AQ89" s="72" t="str">
        <f t="shared" si="91"/>
        <v>40-44</v>
      </c>
      <c r="AR89" s="165">
        <v>128.51739089537415</v>
      </c>
      <c r="AS89" s="165">
        <v>144.36154535942319</v>
      </c>
      <c r="AT89" s="165">
        <v>158.66390237862072</v>
      </c>
      <c r="AU89" s="165">
        <v>166.99874947162044</v>
      </c>
      <c r="AV89" s="164">
        <v>185.07097520146974</v>
      </c>
      <c r="AW89" s="164"/>
      <c r="AX89" s="165">
        <v>126.94819387148412</v>
      </c>
      <c r="AY89" s="165">
        <v>142.59892905662338</v>
      </c>
      <c r="AZ89" s="165">
        <v>156.72664379404665</v>
      </c>
      <c r="BA89" s="165">
        <v>164.95975684612029</v>
      </c>
      <c r="BB89" s="164">
        <v>182.81128024141026</v>
      </c>
      <c r="BC89" s="164"/>
      <c r="BD89" s="165">
        <v>1.5691970238900339</v>
      </c>
      <c r="BE89" s="165">
        <v>1.7626163027998376</v>
      </c>
      <c r="BF89" s="165">
        <v>1.937258584574042</v>
      </c>
      <c r="BG89" s="165">
        <v>2.0389926255001587</v>
      </c>
      <c r="BH89" s="164">
        <v>2.2596949600594747</v>
      </c>
    </row>
    <row r="90" spans="1:60">
      <c r="A90" s="72" t="str">
        <f t="shared" si="89"/>
        <v>45-49</v>
      </c>
      <c r="B90" s="165">
        <v>76.803506450596231</v>
      </c>
      <c r="C90" s="165">
        <v>72.369670614720619</v>
      </c>
      <c r="D90" s="165">
        <v>46.757578011014346</v>
      </c>
      <c r="E90" s="165">
        <v>32.914709981477799</v>
      </c>
      <c r="F90" s="164">
        <v>22.643570627464889</v>
      </c>
      <c r="G90" s="164"/>
      <c r="H90" s="165">
        <v>27.94396864638491</v>
      </c>
      <c r="I90" s="165">
        <v>26.330826958934129</v>
      </c>
      <c r="J90" s="165">
        <v>17.012164489510464</v>
      </c>
      <c r="K90" s="165">
        <v>11.975614453855373</v>
      </c>
      <c r="L90" s="164">
        <v>8.2386021908984706</v>
      </c>
      <c r="M90" s="164"/>
      <c r="N90" s="165">
        <v>48.859537804211321</v>
      </c>
      <c r="O90" s="165">
        <v>46.038843655786486</v>
      </c>
      <c r="P90" s="165">
        <v>29.745413521503881</v>
      </c>
      <c r="Q90" s="165">
        <v>20.939095527622428</v>
      </c>
      <c r="R90" s="164">
        <v>14.404968436566421</v>
      </c>
      <c r="S90" s="164"/>
      <c r="T90" s="165">
        <v>0</v>
      </c>
      <c r="U90" s="165">
        <v>0</v>
      </c>
      <c r="V90" s="165">
        <v>0</v>
      </c>
      <c r="W90" s="165">
        <v>0</v>
      </c>
      <c r="X90" s="164">
        <v>0</v>
      </c>
      <c r="Y90" s="72" t="str">
        <f t="shared" si="90"/>
        <v>45-49</v>
      </c>
      <c r="Z90" s="165">
        <v>119.91671183726781</v>
      </c>
      <c r="AA90" s="165">
        <v>117.54013515583459</v>
      </c>
      <c r="AB90" s="165">
        <v>126.00211978783305</v>
      </c>
      <c r="AC90" s="165">
        <v>129.89925725652535</v>
      </c>
      <c r="AD90" s="164">
        <v>132.56976051535059</v>
      </c>
      <c r="AE90" s="164"/>
      <c r="AF90" s="165">
        <v>113.53631898468487</v>
      </c>
      <c r="AG90" s="165">
        <v>111.28619702022586</v>
      </c>
      <c r="AH90" s="165">
        <v>119.29796634507618</v>
      </c>
      <c r="AI90" s="165">
        <v>122.98778022947444</v>
      </c>
      <c r="AJ90" s="164">
        <v>125.51614028502338</v>
      </c>
      <c r="AK90" s="164"/>
      <c r="AL90" s="165">
        <v>6.3803928525829319</v>
      </c>
      <c r="AM90" s="165">
        <v>6.2539381356087462</v>
      </c>
      <c r="AN90" s="165">
        <v>6.7041534427568807</v>
      </c>
      <c r="AO90" s="165">
        <v>6.9114770270509069</v>
      </c>
      <c r="AP90" s="164">
        <v>7.0536202303272111</v>
      </c>
      <c r="AQ90" s="72" t="str">
        <f t="shared" si="91"/>
        <v>45-49</v>
      </c>
      <c r="AR90" s="165">
        <v>113.07878171213598</v>
      </c>
      <c r="AS90" s="165">
        <v>125.98319422944476</v>
      </c>
      <c r="AT90" s="165">
        <v>142.77630220115262</v>
      </c>
      <c r="AU90" s="165">
        <v>151.84003276199684</v>
      </c>
      <c r="AV90" s="164">
        <v>159.15166885718455</v>
      </c>
      <c r="AW90" s="164"/>
      <c r="AX90" s="165">
        <v>111.76159647140302</v>
      </c>
      <c r="AY90" s="165">
        <v>124.51577593370071</v>
      </c>
      <c r="AZ90" s="165">
        <v>141.11320504624786</v>
      </c>
      <c r="BA90" s="165">
        <v>150.07143093938149</v>
      </c>
      <c r="BB90" s="164">
        <v>157.29788066457172</v>
      </c>
      <c r="BC90" s="164"/>
      <c r="BD90" s="165">
        <v>1.3171852407329641</v>
      </c>
      <c r="BE90" s="165">
        <v>1.4674182957440471</v>
      </c>
      <c r="BF90" s="165">
        <v>1.663097154904764</v>
      </c>
      <c r="BG90" s="165">
        <v>1.7686018226153735</v>
      </c>
      <c r="BH90" s="164">
        <v>1.8537881926128472</v>
      </c>
    </row>
    <row r="91" spans="1:60">
      <c r="A91" s="72" t="str">
        <f t="shared" si="89"/>
        <v>50-54</v>
      </c>
      <c r="B91" s="165">
        <v>74.130845817172315</v>
      </c>
      <c r="C91" s="165">
        <v>76.292901659215687</v>
      </c>
      <c r="D91" s="165">
        <v>62.868745854171486</v>
      </c>
      <c r="E91" s="165">
        <v>48.927498060783627</v>
      </c>
      <c r="F91" s="164">
        <v>37.108932956215206</v>
      </c>
      <c r="G91" s="164"/>
      <c r="H91" s="165">
        <v>27.517951911427684</v>
      </c>
      <c r="I91" s="165">
        <v>28.320507284713951</v>
      </c>
      <c r="J91" s="165">
        <v>23.337364458948031</v>
      </c>
      <c r="K91" s="165">
        <v>18.162254416964728</v>
      </c>
      <c r="L91" s="164">
        <v>13.775148267079187</v>
      </c>
      <c r="M91" s="164"/>
      <c r="N91" s="165">
        <v>46.612893905744635</v>
      </c>
      <c r="O91" s="165">
        <v>47.972394374501732</v>
      </c>
      <c r="P91" s="165">
        <v>39.531381395223455</v>
      </c>
      <c r="Q91" s="165">
        <v>30.765243643818895</v>
      </c>
      <c r="R91" s="164">
        <v>23.333784689136024</v>
      </c>
      <c r="S91" s="164"/>
      <c r="T91" s="165">
        <v>0</v>
      </c>
      <c r="U91" s="165">
        <v>0</v>
      </c>
      <c r="V91" s="165">
        <v>0</v>
      </c>
      <c r="W91" s="165">
        <v>0</v>
      </c>
      <c r="X91" s="164">
        <v>0</v>
      </c>
      <c r="Y91" s="72" t="str">
        <f t="shared" si="90"/>
        <v>50-54</v>
      </c>
      <c r="Z91" s="165">
        <v>86.760993384439232</v>
      </c>
      <c r="AA91" s="165">
        <v>96.953240370929649</v>
      </c>
      <c r="AB91" s="165">
        <v>105.73855197584399</v>
      </c>
      <c r="AC91" s="165">
        <v>116.22864044167615</v>
      </c>
      <c r="AD91" s="164">
        <v>126.02469049917889</v>
      </c>
      <c r="AE91" s="164"/>
      <c r="AF91" s="165">
        <v>81.596570349738855</v>
      </c>
      <c r="AG91" s="165">
        <v>91.182181714094824</v>
      </c>
      <c r="AH91" s="165">
        <v>99.444551689154906</v>
      </c>
      <c r="AI91" s="165">
        <v>109.31026683421746</v>
      </c>
      <c r="AJ91" s="164">
        <v>118.52317446256983</v>
      </c>
      <c r="AK91" s="164"/>
      <c r="AL91" s="165">
        <v>5.1644230347003779</v>
      </c>
      <c r="AM91" s="165">
        <v>5.7710586568348159</v>
      </c>
      <c r="AN91" s="165">
        <v>6.2940002866890863</v>
      </c>
      <c r="AO91" s="165">
        <v>6.9183736074586868</v>
      </c>
      <c r="AP91" s="164">
        <v>7.5015160366090656</v>
      </c>
      <c r="AQ91" s="72" t="str">
        <f t="shared" si="91"/>
        <v>50-54</v>
      </c>
      <c r="AR91" s="165">
        <v>76.999160798388473</v>
      </c>
      <c r="AS91" s="165">
        <v>96.560857969854624</v>
      </c>
      <c r="AT91" s="165">
        <v>116.57270216998455</v>
      </c>
      <c r="AU91" s="165">
        <v>128.98986149754023</v>
      </c>
      <c r="AV91" s="164">
        <v>140.9583765446059</v>
      </c>
      <c r="AW91" s="164"/>
      <c r="AX91" s="165">
        <v>76.294968712849709</v>
      </c>
      <c r="AY91" s="165">
        <v>95.677849729956222</v>
      </c>
      <c r="AZ91" s="165">
        <v>115.50670905420014</v>
      </c>
      <c r="BA91" s="165">
        <v>127.81028960948962</v>
      </c>
      <c r="BB91" s="164">
        <v>139.6692906114707</v>
      </c>
      <c r="BC91" s="164"/>
      <c r="BD91" s="165">
        <v>0.70419208553877055</v>
      </c>
      <c r="BE91" s="165">
        <v>0.88300823989842003</v>
      </c>
      <c r="BF91" s="165">
        <v>1.0659931157844085</v>
      </c>
      <c r="BG91" s="165">
        <v>1.1795718880506243</v>
      </c>
      <c r="BH91" s="164">
        <v>1.2890859331351963</v>
      </c>
    </row>
    <row r="92" spans="1:60">
      <c r="A92" s="72" t="str">
        <f t="shared" si="89"/>
        <v>55-59</v>
      </c>
      <c r="B92" s="165">
        <v>50.123111298551322</v>
      </c>
      <c r="C92" s="165">
        <v>49.323988494669976</v>
      </c>
      <c r="D92" s="165">
        <v>54.734368903773372</v>
      </c>
      <c r="E92" s="165">
        <v>46.878192366194043</v>
      </c>
      <c r="F92" s="164">
        <v>36.717928947865651</v>
      </c>
      <c r="G92" s="164"/>
      <c r="H92" s="165">
        <v>20.068212623946785</v>
      </c>
      <c r="I92" s="165">
        <v>19.748271942588062</v>
      </c>
      <c r="J92" s="165">
        <v>21.914478270879478</v>
      </c>
      <c r="K92" s="165">
        <v>18.76897099596793</v>
      </c>
      <c r="L92" s="164">
        <v>14.701046063760439</v>
      </c>
      <c r="M92" s="164"/>
      <c r="N92" s="165">
        <v>30.054898674604537</v>
      </c>
      <c r="O92" s="165">
        <v>29.575716552081918</v>
      </c>
      <c r="P92" s="165">
        <v>32.819890632893888</v>
      </c>
      <c r="Q92" s="165">
        <v>28.109221370226116</v>
      </c>
      <c r="R92" s="164">
        <v>22.016882884105211</v>
      </c>
      <c r="S92" s="164"/>
      <c r="T92" s="165">
        <v>0</v>
      </c>
      <c r="U92" s="165">
        <v>0</v>
      </c>
      <c r="V92" s="165">
        <v>0</v>
      </c>
      <c r="W92" s="165">
        <v>0</v>
      </c>
      <c r="X92" s="164">
        <v>0</v>
      </c>
      <c r="Y92" s="72" t="str">
        <f t="shared" si="90"/>
        <v>55-59</v>
      </c>
      <c r="Z92" s="165">
        <v>50.022718415568512</v>
      </c>
      <c r="AA92" s="165">
        <v>54.941387327680005</v>
      </c>
      <c r="AB92" s="165">
        <v>78.772938863638728</v>
      </c>
      <c r="AC92" s="165">
        <v>94.437586570976393</v>
      </c>
      <c r="AD92" s="164">
        <v>103.91445213238326</v>
      </c>
      <c r="AE92" s="164"/>
      <c r="AF92" s="165">
        <v>46.530169779779939</v>
      </c>
      <c r="AG92" s="165">
        <v>51.105378605023787</v>
      </c>
      <c r="AH92" s="165">
        <v>73.273049746677671</v>
      </c>
      <c r="AI92" s="165">
        <v>87.843993736619538</v>
      </c>
      <c r="AJ92" s="164">
        <v>96.659206845843883</v>
      </c>
      <c r="AK92" s="164"/>
      <c r="AL92" s="165">
        <v>3.4925486357885691</v>
      </c>
      <c r="AM92" s="165">
        <v>3.8360087226562167</v>
      </c>
      <c r="AN92" s="165">
        <v>5.4998891169610493</v>
      </c>
      <c r="AO92" s="165">
        <v>6.5935928343568344</v>
      </c>
      <c r="AP92" s="164">
        <v>7.2552452865393828</v>
      </c>
      <c r="AQ92" s="72" t="str">
        <f t="shared" si="91"/>
        <v>55-59</v>
      </c>
      <c r="AR92" s="165">
        <v>43.944170285880162</v>
      </c>
      <c r="AS92" s="165">
        <v>55.229624177650017</v>
      </c>
      <c r="AT92" s="165">
        <v>80.0286922325879</v>
      </c>
      <c r="AU92" s="165">
        <v>97.06122106282956</v>
      </c>
      <c r="AV92" s="164">
        <v>107.73061891975107</v>
      </c>
      <c r="AW92" s="164"/>
      <c r="AX92" s="165">
        <v>43.298834557519996</v>
      </c>
      <c r="AY92" s="165">
        <v>54.418522326695687</v>
      </c>
      <c r="AZ92" s="165">
        <v>78.853443932668</v>
      </c>
      <c r="BA92" s="165">
        <v>95.635738085376531</v>
      </c>
      <c r="BB92" s="164">
        <v>106.14856157242835</v>
      </c>
      <c r="BC92" s="164"/>
      <c r="BD92" s="165">
        <v>0.64533572836017361</v>
      </c>
      <c r="BE92" s="165">
        <v>0.81110185095432563</v>
      </c>
      <c r="BF92" s="165">
        <v>1.1752482999198919</v>
      </c>
      <c r="BG92" s="165">
        <v>1.4254829774530267</v>
      </c>
      <c r="BH92" s="164">
        <v>1.5820573473227093</v>
      </c>
    </row>
    <row r="93" spans="1:60">
      <c r="A93" s="72" t="str">
        <f t="shared" si="89"/>
        <v>60-64</v>
      </c>
      <c r="B93" s="165">
        <v>13.764231925065078</v>
      </c>
      <c r="C93" s="165">
        <v>18.76836361753071</v>
      </c>
      <c r="D93" s="165">
        <v>18.508542780694757</v>
      </c>
      <c r="E93" s="165">
        <v>17.452835144978611</v>
      </c>
      <c r="F93" s="164">
        <v>14.804084816049919</v>
      </c>
      <c r="G93" s="164"/>
      <c r="H93" s="165">
        <v>6.6702307458031802</v>
      </c>
      <c r="I93" s="165">
        <v>9.0952856087735459</v>
      </c>
      <c r="J93" s="165">
        <v>8.9693500547268563</v>
      </c>
      <c r="K93" s="165">
        <v>8.4577572298816346</v>
      </c>
      <c r="L93" s="164">
        <v>7.1741516654067379</v>
      </c>
      <c r="M93" s="164"/>
      <c r="N93" s="165">
        <v>7.0940011792618973</v>
      </c>
      <c r="O93" s="165">
        <v>9.6730780087571677</v>
      </c>
      <c r="P93" s="165">
        <v>9.5391927259679008</v>
      </c>
      <c r="Q93" s="165">
        <v>8.9950779150969762</v>
      </c>
      <c r="R93" s="164">
        <v>7.62993315064318</v>
      </c>
      <c r="S93" s="164"/>
      <c r="T93" s="165">
        <v>0</v>
      </c>
      <c r="U93" s="165">
        <v>0</v>
      </c>
      <c r="V93" s="165">
        <v>0</v>
      </c>
      <c r="W93" s="165">
        <v>0</v>
      </c>
      <c r="X93" s="164">
        <v>0</v>
      </c>
      <c r="Y93" s="72" t="str">
        <f t="shared" si="90"/>
        <v>60-64</v>
      </c>
      <c r="Z93" s="165">
        <v>12.31020529409596</v>
      </c>
      <c r="AA93" s="165">
        <v>14.261344557443534</v>
      </c>
      <c r="AB93" s="165">
        <v>21.71515850756559</v>
      </c>
      <c r="AC93" s="165">
        <v>28.490108641285989</v>
      </c>
      <c r="AD93" s="164">
        <v>34.561262922202097</v>
      </c>
      <c r="AE93" s="164"/>
      <c r="AF93" s="165">
        <v>11.043928783107889</v>
      </c>
      <c r="AG93" s="165">
        <v>12.794409216272046</v>
      </c>
      <c r="AH93" s="165">
        <v>19.481518497742734</v>
      </c>
      <c r="AI93" s="165">
        <v>25.559606891725771</v>
      </c>
      <c r="AJ93" s="164">
        <v>31.006230901067084</v>
      </c>
      <c r="AK93" s="164"/>
      <c r="AL93" s="165">
        <v>1.2662765109880707</v>
      </c>
      <c r="AM93" s="165">
        <v>1.4669353411714883</v>
      </c>
      <c r="AN93" s="165">
        <v>2.233640009822857</v>
      </c>
      <c r="AO93" s="165">
        <v>2.9305017495602126</v>
      </c>
      <c r="AP93" s="164">
        <v>3.5550320211350139</v>
      </c>
      <c r="AQ93" s="72" t="str">
        <f t="shared" si="91"/>
        <v>60-64</v>
      </c>
      <c r="AR93" s="165">
        <v>10.014562780838963</v>
      </c>
      <c r="AS93" s="165">
        <v>15.861291825025759</v>
      </c>
      <c r="AT93" s="165">
        <v>24.782298711739656</v>
      </c>
      <c r="AU93" s="165">
        <v>32.955056213735411</v>
      </c>
      <c r="AV93" s="164">
        <v>41.965652261747991</v>
      </c>
      <c r="AW93" s="164"/>
      <c r="AX93" s="165">
        <v>9.3191096537115143</v>
      </c>
      <c r="AY93" s="165">
        <v>14.759802271763046</v>
      </c>
      <c r="AZ93" s="165">
        <v>23.061241083126763</v>
      </c>
      <c r="BA93" s="165">
        <v>30.666373272484456</v>
      </c>
      <c r="BB93" s="164">
        <v>39.05130130334193</v>
      </c>
      <c r="BC93" s="164"/>
      <c r="BD93" s="165">
        <v>0.69545312712745089</v>
      </c>
      <c r="BE93" s="165">
        <v>1.1014895532627123</v>
      </c>
      <c r="BF93" s="165">
        <v>1.721057628612892</v>
      </c>
      <c r="BG93" s="165">
        <v>2.2886829412509542</v>
      </c>
      <c r="BH93" s="164">
        <v>2.9143509584060596</v>
      </c>
    </row>
    <row r="94" spans="1:60">
      <c r="A94" s="73" t="str">
        <f t="shared" si="89"/>
        <v>65+</v>
      </c>
      <c r="B94" s="165">
        <v>5.0275971766300218</v>
      </c>
      <c r="C94" s="165">
        <v>5.0571710967350976</v>
      </c>
      <c r="D94" s="165">
        <v>5.0002589845625298</v>
      </c>
      <c r="E94" s="165">
        <v>3.9459227571467377</v>
      </c>
      <c r="F94" s="164">
        <v>3.6918171007746805</v>
      </c>
      <c r="G94" s="166"/>
      <c r="H94" s="165">
        <v>2.987417610658246</v>
      </c>
      <c r="I94" s="165">
        <v>3.0049961668141885</v>
      </c>
      <c r="J94" s="165">
        <v>2.9711593642715379</v>
      </c>
      <c r="K94" s="165">
        <v>2.3446844102127109</v>
      </c>
      <c r="L94" s="164">
        <v>2.1936853336258615</v>
      </c>
      <c r="M94" s="166"/>
      <c r="N94" s="165">
        <v>2.0401795659717767</v>
      </c>
      <c r="O94" s="165">
        <v>2.0521749299209091</v>
      </c>
      <c r="P94" s="165">
        <v>2.0290996202909919</v>
      </c>
      <c r="Q94" s="165">
        <v>1.6012383469340266</v>
      </c>
      <c r="R94" s="164">
        <v>1.4981317671488188</v>
      </c>
      <c r="S94" s="166"/>
      <c r="T94" s="166">
        <v>0</v>
      </c>
      <c r="U94" s="166">
        <v>0</v>
      </c>
      <c r="V94" s="166">
        <v>0</v>
      </c>
      <c r="W94" s="166">
        <v>0</v>
      </c>
      <c r="X94" s="166">
        <v>0</v>
      </c>
      <c r="Y94" s="73" t="str">
        <f t="shared" si="90"/>
        <v>65+</v>
      </c>
      <c r="Z94" s="165">
        <v>2.7461652297525743</v>
      </c>
      <c r="AA94" s="165">
        <v>4.055911790969331</v>
      </c>
      <c r="AB94" s="165">
        <v>3.5612495126359529</v>
      </c>
      <c r="AC94" s="165">
        <v>3.9532933888693056</v>
      </c>
      <c r="AD94" s="164">
        <v>5.2021489926704287</v>
      </c>
      <c r="AE94" s="166"/>
      <c r="AF94" s="165">
        <v>2.4974123148764233</v>
      </c>
      <c r="AG94" s="165">
        <v>3.6885697608652581</v>
      </c>
      <c r="AH94" s="165">
        <v>3.2387036749219651</v>
      </c>
      <c r="AI94" s="165">
        <v>3.5952382484733798</v>
      </c>
      <c r="AJ94" s="164">
        <v>4.7309759551497086</v>
      </c>
      <c r="AK94" s="166"/>
      <c r="AL94" s="165">
        <v>0.24875291487615106</v>
      </c>
      <c r="AM94" s="165">
        <v>0.3673420301040734</v>
      </c>
      <c r="AN94" s="165">
        <v>0.32254583771398837</v>
      </c>
      <c r="AO94" s="165">
        <v>0.35805514039592606</v>
      </c>
      <c r="AP94" s="164">
        <v>0.47117303752072126</v>
      </c>
      <c r="AQ94" s="73" t="str">
        <f t="shared" si="91"/>
        <v>65+</v>
      </c>
      <c r="AR94" s="165">
        <v>2.4962375936174048</v>
      </c>
      <c r="AS94" s="165">
        <v>4.1209171122955697</v>
      </c>
      <c r="AT94" s="165">
        <v>4.3774915028015169</v>
      </c>
      <c r="AU94" s="165">
        <v>5.7297838539839567</v>
      </c>
      <c r="AV94" s="164">
        <v>8.4160339065548904</v>
      </c>
      <c r="AW94" s="166"/>
      <c r="AX94" s="165">
        <v>2.4393838610275034</v>
      </c>
      <c r="AY94" s="165">
        <v>4.0270912403022177</v>
      </c>
      <c r="AZ94" s="165">
        <v>4.2777979690182679</v>
      </c>
      <c r="BA94" s="165">
        <v>5.5993484434809799</v>
      </c>
      <c r="BB94" s="164">
        <v>8.2244038402405248</v>
      </c>
      <c r="BC94" s="166"/>
      <c r="BD94" s="165">
        <v>5.6853732589901257E-2</v>
      </c>
      <c r="BE94" s="165">
        <v>9.3825871993351684E-2</v>
      </c>
      <c r="BF94" s="165">
        <v>9.9693533783248439E-2</v>
      </c>
      <c r="BG94" s="165">
        <v>0.13043541050297702</v>
      </c>
      <c r="BH94" s="164">
        <v>0.19163006631436572</v>
      </c>
    </row>
    <row r="95" spans="1:60">
      <c r="A95" s="77"/>
      <c r="B95" s="167"/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Y95" s="7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7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</row>
    <row r="97" spans="1:1">
      <c r="A97" s="72" t="s">
        <v>262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6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ht="12.95">
      <c r="A1" s="203" t="s">
        <v>263</v>
      </c>
      <c r="B1" s="203" t="s">
        <v>264</v>
      </c>
      <c r="C1" s="203" t="s">
        <v>265</v>
      </c>
      <c r="D1" s="203" t="s">
        <v>266</v>
      </c>
      <c r="E1" s="203" t="s">
        <v>267</v>
      </c>
      <c r="F1" s="205" t="s">
        <v>268</v>
      </c>
      <c r="G1" s="205" t="s">
        <v>269</v>
      </c>
      <c r="H1" s="205" t="s">
        <v>270</v>
      </c>
      <c r="I1" s="205"/>
      <c r="J1" s="205" t="s">
        <v>271</v>
      </c>
      <c r="K1" s="107"/>
      <c r="L1" s="1"/>
    </row>
    <row r="2" spans="1:12" s="13" customFormat="1">
      <c r="A2" s="204" t="s">
        <v>272</v>
      </c>
      <c r="B2" s="204" t="s">
        <v>273</v>
      </c>
      <c r="C2" s="204" t="s">
        <v>274</v>
      </c>
      <c r="D2" s="107" t="s">
        <v>275</v>
      </c>
      <c r="E2" s="107" t="s">
        <v>276</v>
      </c>
      <c r="F2" s="204" t="s">
        <v>277</v>
      </c>
      <c r="G2" s="204" t="s">
        <v>278</v>
      </c>
      <c r="H2" s="107" t="s">
        <v>279</v>
      </c>
      <c r="I2" s="107" t="s">
        <v>248</v>
      </c>
      <c r="J2" s="107" t="s">
        <v>194</v>
      </c>
      <c r="K2" s="107" t="s">
        <v>280</v>
      </c>
      <c r="L2" s="64"/>
    </row>
    <row r="3" spans="1:12">
      <c r="A3" s="10" t="s">
        <v>172</v>
      </c>
      <c r="B3" s="107" t="s">
        <v>172</v>
      </c>
      <c r="C3" s="10" t="s">
        <v>172</v>
      </c>
      <c r="D3" s="107" t="s">
        <v>281</v>
      </c>
      <c r="E3" s="107" t="s">
        <v>281</v>
      </c>
      <c r="F3" s="107" t="s">
        <v>282</v>
      </c>
      <c r="G3" s="107" t="s">
        <v>282</v>
      </c>
      <c r="H3" s="107" t="s">
        <v>283</v>
      </c>
      <c r="I3" s="107" t="s">
        <v>176</v>
      </c>
      <c r="J3" s="107" t="s">
        <v>284</v>
      </c>
      <c r="K3" s="107" t="s">
        <v>285</v>
      </c>
    </row>
    <row r="4" spans="1:12">
      <c r="A4" s="10" t="s">
        <v>286</v>
      </c>
      <c r="B4" s="107" t="s">
        <v>287</v>
      </c>
      <c r="C4" s="10" t="s">
        <v>288</v>
      </c>
      <c r="D4" s="107" t="s">
        <v>289</v>
      </c>
      <c r="E4" s="107" t="s">
        <v>290</v>
      </c>
      <c r="F4" s="107" t="s">
        <v>291</v>
      </c>
      <c r="G4" s="107" t="s">
        <v>292</v>
      </c>
      <c r="H4" s="107" t="s">
        <v>293</v>
      </c>
      <c r="I4" s="107" t="s">
        <v>177</v>
      </c>
      <c r="J4" s="107" t="s">
        <v>141</v>
      </c>
      <c r="K4" s="107" t="s">
        <v>195</v>
      </c>
    </row>
    <row r="5" spans="1:12">
      <c r="A5" s="10" t="s">
        <v>294</v>
      </c>
      <c r="B5" s="107" t="s">
        <v>295</v>
      </c>
      <c r="C5" s="10" t="s">
        <v>296</v>
      </c>
      <c r="D5" s="107" t="s">
        <v>297</v>
      </c>
      <c r="E5" s="107" t="s">
        <v>298</v>
      </c>
      <c r="F5" s="107" t="s">
        <v>299</v>
      </c>
      <c r="G5" s="107" t="s">
        <v>300</v>
      </c>
      <c r="H5" s="107"/>
      <c r="I5" s="107"/>
      <c r="J5" s="107" t="s">
        <v>139</v>
      </c>
      <c r="K5" s="107" t="s">
        <v>301</v>
      </c>
    </row>
    <row r="6" spans="1:12">
      <c r="A6" s="10" t="s">
        <v>302</v>
      </c>
      <c r="B6" s="107" t="s">
        <v>303</v>
      </c>
      <c r="C6" s="10" t="s">
        <v>304</v>
      </c>
      <c r="D6" s="107" t="s">
        <v>305</v>
      </c>
      <c r="E6" s="107" t="s">
        <v>306</v>
      </c>
      <c r="F6" s="107" t="s">
        <v>307</v>
      </c>
      <c r="G6" s="107" t="s">
        <v>308</v>
      </c>
      <c r="H6" s="107"/>
      <c r="I6" s="107"/>
      <c r="J6" s="107" t="s">
        <v>140</v>
      </c>
      <c r="K6" s="107" t="s">
        <v>309</v>
      </c>
    </row>
    <row r="7" spans="1:12">
      <c r="A7" s="10" t="s">
        <v>310</v>
      </c>
      <c r="B7" s="107" t="s">
        <v>311</v>
      </c>
      <c r="C7" s="10" t="s">
        <v>312</v>
      </c>
      <c r="D7" s="107" t="s">
        <v>313</v>
      </c>
      <c r="E7" s="107" t="s">
        <v>314</v>
      </c>
      <c r="F7" s="107" t="s">
        <v>315</v>
      </c>
      <c r="G7" s="107" t="s">
        <v>316</v>
      </c>
    </row>
    <row r="8" spans="1:12">
      <c r="A8" s="10" t="s">
        <v>317</v>
      </c>
      <c r="B8" s="107" t="s">
        <v>318</v>
      </c>
      <c r="C8" s="10" t="s">
        <v>319</v>
      </c>
      <c r="D8" s="107" t="s">
        <v>320</v>
      </c>
      <c r="E8" s="107" t="s">
        <v>321</v>
      </c>
      <c r="F8" s="107" t="s">
        <v>322</v>
      </c>
      <c r="G8" s="107" t="s">
        <v>323</v>
      </c>
    </row>
    <row r="9" spans="1:12">
      <c r="A9" s="10" t="s">
        <v>324</v>
      </c>
      <c r="B9" s="107" t="s">
        <v>325</v>
      </c>
      <c r="C9" s="10" t="s">
        <v>326</v>
      </c>
      <c r="D9" s="107" t="s">
        <v>327</v>
      </c>
      <c r="E9" s="107" t="s">
        <v>328</v>
      </c>
      <c r="F9" s="107" t="s">
        <v>308</v>
      </c>
      <c r="G9" s="107" t="s">
        <v>329</v>
      </c>
    </row>
    <row r="10" spans="1:12">
      <c r="A10" s="10" t="s">
        <v>330</v>
      </c>
      <c r="B10" s="107" t="s">
        <v>331</v>
      </c>
      <c r="C10" t="s">
        <v>332</v>
      </c>
      <c r="D10" s="107" t="s">
        <v>333</v>
      </c>
      <c r="E10" s="107" t="s">
        <v>334</v>
      </c>
      <c r="F10" s="107" t="s">
        <v>316</v>
      </c>
      <c r="G10" s="107"/>
    </row>
    <row r="11" spans="1:12">
      <c r="A11" s="10" t="s">
        <v>335</v>
      </c>
      <c r="B11" s="107" t="s">
        <v>304</v>
      </c>
      <c r="C11" t="s">
        <v>332</v>
      </c>
      <c r="D11" s="107" t="s">
        <v>336</v>
      </c>
      <c r="E11" s="107" t="s">
        <v>337</v>
      </c>
      <c r="F11" s="107" t="s">
        <v>323</v>
      </c>
      <c r="G11" s="107"/>
      <c r="I11" s="64"/>
    </row>
    <row r="12" spans="1:12">
      <c r="A12" s="10" t="s">
        <v>338</v>
      </c>
      <c r="B12" s="107" t="s">
        <v>339</v>
      </c>
      <c r="C12" t="s">
        <v>332</v>
      </c>
      <c r="D12" s="107" t="s">
        <v>340</v>
      </c>
      <c r="E12" s="107" t="s">
        <v>341</v>
      </c>
      <c r="F12" s="107" t="s">
        <v>329</v>
      </c>
      <c r="G12" s="107"/>
    </row>
    <row r="13" spans="1:12">
      <c r="A13" s="10" t="s">
        <v>342</v>
      </c>
      <c r="B13" s="107" t="s">
        <v>343</v>
      </c>
      <c r="C13" t="s">
        <v>332</v>
      </c>
      <c r="D13" s="107" t="s">
        <v>344</v>
      </c>
    </row>
    <row r="14" spans="1:12">
      <c r="A14" s="10" t="s">
        <v>345</v>
      </c>
      <c r="B14" s="107" t="s">
        <v>346</v>
      </c>
      <c r="C14" t="s">
        <v>332</v>
      </c>
      <c r="D14" s="107" t="s">
        <v>347</v>
      </c>
      <c r="E14" t="s">
        <v>332</v>
      </c>
    </row>
    <row r="15" spans="1:12">
      <c r="A15" s="10" t="s">
        <v>348</v>
      </c>
      <c r="B15" s="107" t="s">
        <v>349</v>
      </c>
      <c r="C15" t="s">
        <v>332</v>
      </c>
      <c r="D15" s="107" t="s">
        <v>350</v>
      </c>
      <c r="E15" t="s">
        <v>332</v>
      </c>
      <c r="I15" s="64"/>
    </row>
    <row r="16" spans="1:12">
      <c r="A16" s="10" t="s">
        <v>351</v>
      </c>
      <c r="B16" s="107" t="s">
        <v>352</v>
      </c>
      <c r="C16" t="s">
        <v>332</v>
      </c>
      <c r="D16" s="107" t="s">
        <v>353</v>
      </c>
      <c r="E16" t="s">
        <v>332</v>
      </c>
    </row>
    <row r="17" spans="1:9">
      <c r="A17" s="10" t="s">
        <v>354</v>
      </c>
      <c r="B17" s="107" t="s">
        <v>355</v>
      </c>
      <c r="C17" t="s">
        <v>332</v>
      </c>
      <c r="D17" s="107" t="s">
        <v>356</v>
      </c>
      <c r="E17" t="s">
        <v>332</v>
      </c>
      <c r="I17" s="64"/>
    </row>
    <row r="18" spans="1:9">
      <c r="A18" s="10" t="s">
        <v>357</v>
      </c>
      <c r="B18" s="107" t="s">
        <v>358</v>
      </c>
      <c r="C18" t="s">
        <v>332</v>
      </c>
      <c r="D18" s="107" t="s">
        <v>359</v>
      </c>
      <c r="E18" t="s">
        <v>332</v>
      </c>
    </row>
    <row r="19" spans="1:9">
      <c r="A19" s="10" t="s">
        <v>360</v>
      </c>
      <c r="B19" s="107" t="s">
        <v>361</v>
      </c>
      <c r="C19" t="s">
        <v>332</v>
      </c>
      <c r="D19" s="107" t="s">
        <v>362</v>
      </c>
      <c r="E19" t="s">
        <v>332</v>
      </c>
    </row>
    <row r="20" spans="1:9">
      <c r="A20" s="10" t="s">
        <v>363</v>
      </c>
      <c r="B20" s="107" t="s">
        <v>364</v>
      </c>
      <c r="C20" t="s">
        <v>332</v>
      </c>
      <c r="D20" s="107" t="s">
        <v>365</v>
      </c>
      <c r="E20" t="s">
        <v>332</v>
      </c>
    </row>
    <row r="21" spans="1:9">
      <c r="A21" s="10" t="s">
        <v>366</v>
      </c>
      <c r="B21" s="107" t="s">
        <v>367</v>
      </c>
      <c r="C21" t="s">
        <v>332</v>
      </c>
      <c r="D21" s="107" t="s">
        <v>368</v>
      </c>
    </row>
    <row r="22" spans="1:9">
      <c r="A22" s="10" t="s">
        <v>369</v>
      </c>
      <c r="B22" s="107" t="s">
        <v>370</v>
      </c>
      <c r="C22" t="s">
        <v>332</v>
      </c>
      <c r="D22" s="107" t="s">
        <v>371</v>
      </c>
      <c r="E22" t="s">
        <v>332</v>
      </c>
      <c r="I22" s="64"/>
    </row>
    <row r="23" spans="1:9">
      <c r="A23" s="10" t="s">
        <v>372</v>
      </c>
      <c r="B23" s="107" t="s">
        <v>373</v>
      </c>
      <c r="C23" t="s">
        <v>332</v>
      </c>
      <c r="D23" s="107" t="s">
        <v>374</v>
      </c>
      <c r="E23" t="s">
        <v>332</v>
      </c>
    </row>
    <row r="24" spans="1:9">
      <c r="A24" s="10" t="s">
        <v>375</v>
      </c>
      <c r="B24" s="107" t="s">
        <v>376</v>
      </c>
      <c r="C24" t="s">
        <v>332</v>
      </c>
      <c r="D24" s="107" t="s">
        <v>377</v>
      </c>
      <c r="E24" t="s">
        <v>332</v>
      </c>
    </row>
    <row r="25" spans="1:9">
      <c r="A25" s="10" t="s">
        <v>378</v>
      </c>
      <c r="B25" s="107" t="s">
        <v>379</v>
      </c>
      <c r="C25" t="s">
        <v>332</v>
      </c>
      <c r="D25" s="107" t="s">
        <v>380</v>
      </c>
      <c r="E25" t="s">
        <v>332</v>
      </c>
    </row>
    <row r="26" spans="1:9">
      <c r="A26" s="10" t="s">
        <v>381</v>
      </c>
      <c r="C26" t="s">
        <v>332</v>
      </c>
      <c r="D26" s="107" t="s">
        <v>382</v>
      </c>
      <c r="E26" t="s">
        <v>332</v>
      </c>
      <c r="I26" s="64"/>
    </row>
    <row r="27" spans="1:9">
      <c r="A27" s="10" t="s">
        <v>383</v>
      </c>
      <c r="C27" t="s">
        <v>332</v>
      </c>
      <c r="D27" s="107" t="s">
        <v>384</v>
      </c>
      <c r="E27" t="s">
        <v>332</v>
      </c>
    </row>
    <row r="28" spans="1:9">
      <c r="A28" s="10" t="s">
        <v>385</v>
      </c>
      <c r="C28" t="s">
        <v>332</v>
      </c>
      <c r="D28" s="107" t="s">
        <v>386</v>
      </c>
      <c r="E28" t="s">
        <v>332</v>
      </c>
    </row>
    <row r="29" spans="1:9">
      <c r="A29" s="10" t="s">
        <v>387</v>
      </c>
      <c r="C29" t="s">
        <v>332</v>
      </c>
      <c r="D29" t="s">
        <v>388</v>
      </c>
      <c r="E29" t="s">
        <v>332</v>
      </c>
    </row>
    <row r="30" spans="1:9">
      <c r="A30" s="10" t="s">
        <v>389</v>
      </c>
      <c r="C30" t="s">
        <v>332</v>
      </c>
      <c r="E30" t="s">
        <v>332</v>
      </c>
    </row>
    <row r="31" spans="1:9">
      <c r="A31" s="10" t="s">
        <v>304</v>
      </c>
      <c r="C31" t="s">
        <v>332</v>
      </c>
      <c r="D31" t="s">
        <v>332</v>
      </c>
      <c r="E31" t="s">
        <v>332</v>
      </c>
    </row>
    <row r="32" spans="1:9">
      <c r="A32" s="10" t="s">
        <v>390</v>
      </c>
      <c r="C32" t="s">
        <v>332</v>
      </c>
      <c r="D32" t="s">
        <v>332</v>
      </c>
      <c r="E32" t="s">
        <v>332</v>
      </c>
      <c r="I32" s="64"/>
    </row>
    <row r="33" spans="1:9">
      <c r="A33" s="10" t="s">
        <v>391</v>
      </c>
      <c r="C33" t="s">
        <v>332</v>
      </c>
      <c r="D33" t="s">
        <v>332</v>
      </c>
      <c r="E33" t="s">
        <v>332</v>
      </c>
    </row>
    <row r="34" spans="1:9">
      <c r="A34" s="10" t="s">
        <v>392</v>
      </c>
      <c r="C34" t="s">
        <v>332</v>
      </c>
      <c r="D34" t="s">
        <v>332</v>
      </c>
      <c r="E34" t="s">
        <v>332</v>
      </c>
    </row>
    <row r="35" spans="1:9">
      <c r="A35" s="10" t="s">
        <v>393</v>
      </c>
      <c r="C35" t="s">
        <v>332</v>
      </c>
      <c r="D35" t="s">
        <v>332</v>
      </c>
      <c r="E35" t="s">
        <v>332</v>
      </c>
    </row>
    <row r="36" spans="1:9">
      <c r="A36" s="10" t="s">
        <v>394</v>
      </c>
      <c r="C36" t="s">
        <v>332</v>
      </c>
      <c r="D36" t="s">
        <v>332</v>
      </c>
      <c r="E36" t="s">
        <v>332</v>
      </c>
    </row>
    <row r="37" spans="1:9">
      <c r="A37" s="10" t="s">
        <v>395</v>
      </c>
      <c r="C37" t="s">
        <v>332</v>
      </c>
      <c r="D37" t="s">
        <v>332</v>
      </c>
      <c r="E37" t="s">
        <v>332</v>
      </c>
    </row>
    <row r="38" spans="1:9">
      <c r="A38" s="10" t="s">
        <v>396</v>
      </c>
      <c r="C38" t="s">
        <v>332</v>
      </c>
      <c r="D38" t="s">
        <v>332</v>
      </c>
      <c r="E38" t="s">
        <v>332</v>
      </c>
    </row>
    <row r="39" spans="1:9">
      <c r="A39" s="10" t="s">
        <v>397</v>
      </c>
      <c r="C39" t="s">
        <v>332</v>
      </c>
      <c r="D39" t="s">
        <v>332</v>
      </c>
      <c r="E39" t="s">
        <v>332</v>
      </c>
      <c r="I39" s="105"/>
    </row>
    <row r="40" spans="1:9">
      <c r="A40" s="10" t="s">
        <v>398</v>
      </c>
      <c r="C40" t="s">
        <v>332</v>
      </c>
      <c r="D40" t="s">
        <v>332</v>
      </c>
      <c r="E40" t="s">
        <v>332</v>
      </c>
      <c r="I40" s="64"/>
    </row>
    <row r="41" spans="1:9">
      <c r="A41" s="10" t="s">
        <v>399</v>
      </c>
      <c r="C41" t="s">
        <v>332</v>
      </c>
      <c r="D41" t="s">
        <v>332</v>
      </c>
      <c r="E41" t="s">
        <v>332</v>
      </c>
    </row>
    <row r="42" spans="1:9">
      <c r="A42" s="10" t="s">
        <v>400</v>
      </c>
      <c r="C42" t="s">
        <v>332</v>
      </c>
      <c r="D42" t="s">
        <v>332</v>
      </c>
      <c r="E42" t="s">
        <v>332</v>
      </c>
    </row>
    <row r="43" spans="1:9">
      <c r="A43" s="10" t="s">
        <v>401</v>
      </c>
      <c r="C43" t="s">
        <v>332</v>
      </c>
      <c r="D43" t="s">
        <v>332</v>
      </c>
      <c r="E43" t="s">
        <v>332</v>
      </c>
    </row>
    <row r="44" spans="1:9">
      <c r="A44" s="10" t="s">
        <v>402</v>
      </c>
      <c r="D44" t="s">
        <v>332</v>
      </c>
      <c r="E44" t="s">
        <v>332</v>
      </c>
    </row>
    <row r="45" spans="1:9">
      <c r="A45" s="10" t="s">
        <v>403</v>
      </c>
    </row>
    <row r="46" spans="1:9">
      <c r="A46" s="10" t="s">
        <v>404</v>
      </c>
      <c r="I46" s="64"/>
    </row>
    <row r="47" spans="1:9">
      <c r="A47" s="10" t="s">
        <v>405</v>
      </c>
    </row>
    <row r="48" spans="1:9">
      <c r="A48" s="10" t="s">
        <v>406</v>
      </c>
    </row>
    <row r="49" spans="1:9">
      <c r="A49" s="10" t="s">
        <v>407</v>
      </c>
    </row>
    <row r="50" spans="1:9">
      <c r="A50" s="10" t="s">
        <v>408</v>
      </c>
    </row>
    <row r="51" spans="1:9">
      <c r="A51" s="10" t="s">
        <v>409</v>
      </c>
      <c r="I51" s="64"/>
    </row>
    <row r="52" spans="1:9">
      <c r="A52" s="10" t="s">
        <v>410</v>
      </c>
    </row>
    <row r="53" spans="1:9">
      <c r="A53" s="10" t="s">
        <v>358</v>
      </c>
    </row>
    <row r="54" spans="1:9">
      <c r="A54" s="10" t="s">
        <v>411</v>
      </c>
    </row>
    <row r="55" spans="1:9">
      <c r="A55" s="10" t="s">
        <v>412</v>
      </c>
    </row>
    <row r="56" spans="1:9">
      <c r="A56" s="10" t="s">
        <v>413</v>
      </c>
      <c r="I56" s="64"/>
    </row>
    <row r="57" spans="1:9">
      <c r="A57" s="10" t="s">
        <v>414</v>
      </c>
    </row>
    <row r="58" spans="1:9">
      <c r="A58" s="10" t="s">
        <v>415</v>
      </c>
    </row>
    <row r="59" spans="1:9">
      <c r="A59" s="10" t="s">
        <v>416</v>
      </c>
    </row>
    <row r="60" spans="1:9">
      <c r="A60" s="10" t="s">
        <v>417</v>
      </c>
    </row>
    <row r="61" spans="1:9">
      <c r="A61" s="10" t="s">
        <v>418</v>
      </c>
    </row>
    <row r="62" spans="1:9">
      <c r="A62" s="10" t="s">
        <v>419</v>
      </c>
    </row>
    <row r="63" spans="1:9">
      <c r="A63" s="10" t="s">
        <v>420</v>
      </c>
    </row>
    <row r="64" spans="1:9">
      <c r="A64" s="10" t="s">
        <v>421</v>
      </c>
    </row>
    <row r="65" spans="1:9">
      <c r="A65" s="10" t="s">
        <v>422</v>
      </c>
      <c r="I65" s="64"/>
    </row>
    <row r="66" spans="1:9">
      <c r="A66" s="10" t="s">
        <v>423</v>
      </c>
    </row>
    <row r="67" spans="1:9">
      <c r="A67" s="10" t="s">
        <v>424</v>
      </c>
    </row>
    <row r="68" spans="1:9">
      <c r="A68" s="10" t="s">
        <v>425</v>
      </c>
    </row>
    <row r="69" spans="1:9">
      <c r="A69" s="10" t="s">
        <v>426</v>
      </c>
    </row>
    <row r="70" spans="1:9">
      <c r="A70" s="10" t="s">
        <v>427</v>
      </c>
    </row>
    <row r="71" spans="1:9">
      <c r="A71" s="10" t="s">
        <v>428</v>
      </c>
      <c r="I71" s="64"/>
    </row>
    <row r="72" spans="1:9">
      <c r="A72" s="10" t="s">
        <v>376</v>
      </c>
    </row>
    <row r="73" spans="1:9">
      <c r="A73" s="10" t="s">
        <v>429</v>
      </c>
    </row>
    <row r="74" spans="1:9">
      <c r="A74" s="10" t="s">
        <v>430</v>
      </c>
      <c r="I74" s="64"/>
    </row>
    <row r="75" spans="1:9">
      <c r="A75" s="10" t="s">
        <v>431</v>
      </c>
    </row>
    <row r="76" spans="1:9">
      <c r="A76" s="10" t="s">
        <v>432</v>
      </c>
    </row>
    <row r="77" spans="1:9">
      <c r="A77" s="10" t="s">
        <v>433</v>
      </c>
    </row>
    <row r="78" spans="1:9">
      <c r="A78" s="10" t="s">
        <v>434</v>
      </c>
    </row>
    <row r="81" spans="9:9">
      <c r="I81" s="64"/>
    </row>
    <row r="85" spans="9:9">
      <c r="I85" s="64"/>
    </row>
    <row r="91" spans="9:9">
      <c r="I91" s="64"/>
    </row>
    <row r="96" spans="9:9">
      <c r="I96" s="64"/>
    </row>
    <row r="101" spans="9:9">
      <c r="I101" s="64"/>
    </row>
    <row r="106" spans="9:9">
      <c r="I106" s="64"/>
    </row>
    <row r="111" spans="9:9">
      <c r="I111" s="64"/>
    </row>
    <row r="119" spans="9:9">
      <c r="I119" s="64"/>
    </row>
    <row r="129" spans="9:9">
      <c r="I129" s="64"/>
    </row>
    <row r="134" spans="9:9">
      <c r="I134" s="64"/>
    </row>
    <row r="141" spans="9:9">
      <c r="I141" s="64"/>
    </row>
    <row r="143" spans="9:9">
      <c r="I143" s="64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6"/>
  <cols>
    <col min="1" max="1" width="27.5703125" customWidth="1"/>
    <col min="2" max="145" width="3" customWidth="1"/>
  </cols>
  <sheetData>
    <row r="1" spans="1:82" ht="12.95">
      <c r="A1" s="1" t="str">
        <f>CONCATENATE("Aggregation 75 industries to 22 ",name!$B$2)</f>
        <v>Aggregation 75 industries to 22 Industry groups</v>
      </c>
    </row>
    <row r="2" spans="1:82" ht="164.25" customHeight="1" thickBot="1">
      <c r="B2" s="106" t="str">
        <f t="array" ref="B2:BX2">TRANSPOSE(name!$A$4:$A$78)</f>
        <v>Agriculture, etc</v>
      </c>
      <c r="C2" s="106" t="str">
        <v>Coal, oil &amp; gas; Mining &amp; related</v>
      </c>
      <c r="D2" s="106" t="str">
        <v>Food products</v>
      </c>
      <c r="E2" s="106" t="str">
        <v>Beverages and tobacco</v>
      </c>
      <c r="F2" s="106" t="str">
        <v>Textiles</v>
      </c>
      <c r="G2" s="106" t="str">
        <v>Wearing apparel; Leather, etc</v>
      </c>
      <c r="H2" s="106" t="str">
        <v xml:space="preserve">Wood and cork </v>
      </c>
      <c r="I2" s="106" t="str">
        <v>Paper, etc</v>
      </c>
      <c r="J2" s="106" t="str">
        <v>Printing and recording</v>
      </c>
      <c r="K2" s="106" t="str">
        <v>Coke and petroleum; Chemicals, etc</v>
      </c>
      <c r="L2" s="106" t="str">
        <v>Pharmaceuticals</v>
      </c>
      <c r="M2" s="106" t="str">
        <v>Rubber and plastic</v>
      </c>
      <c r="N2" s="106" t="str">
        <v>Other non-metallic</v>
      </c>
      <c r="O2" s="106" t="str">
        <v>Basic metals</v>
      </c>
      <c r="P2" s="106" t="str">
        <v>Metal products</v>
      </c>
      <c r="Q2" s="106" t="str">
        <v>Computer, etc</v>
      </c>
      <c r="R2" s="106" t="str">
        <v>Electrical equipment</v>
      </c>
      <c r="S2" s="106" t="str">
        <v>Machinery n.e.c.</v>
      </c>
      <c r="T2" s="106" t="str">
        <v>Motor vehicles, etc</v>
      </c>
      <c r="U2" s="106" t="str">
        <v>Other transport equipment</v>
      </c>
      <c r="V2" s="106" t="str">
        <v>Furniture</v>
      </c>
      <c r="W2" s="106" t="str">
        <v>Other manufacturing</v>
      </c>
      <c r="X2" s="106" t="str">
        <v>Repair and installation</v>
      </c>
      <c r="Y2" s="106" t="str">
        <v>Electricity, gas, etc</v>
      </c>
      <c r="Z2" s="106" t="str">
        <v>Water</v>
      </c>
      <c r="AA2" s="106" t="str">
        <v>Sewerage</v>
      </c>
      <c r="AB2" s="106" t="str">
        <v>Waste management</v>
      </c>
      <c r="AC2" s="106" t="str">
        <v>Construction</v>
      </c>
      <c r="AD2" s="106" t="str">
        <v>Civil engineering</v>
      </c>
      <c r="AE2" s="106" t="str">
        <v>Specialised construction</v>
      </c>
      <c r="AF2" s="106" t="str">
        <v>Motor vehicle trade</v>
      </c>
      <c r="AG2" s="106" t="str">
        <v>Wholesale trade</v>
      </c>
      <c r="AH2" s="106" t="str">
        <v>Retail trade</v>
      </c>
      <c r="AI2" s="106" t="str">
        <v>Land transport, etc</v>
      </c>
      <c r="AJ2" s="106" t="str">
        <v>Water transport</v>
      </c>
      <c r="AK2" s="106" t="str">
        <v>Air transport</v>
      </c>
      <c r="AL2" s="106" t="str">
        <v>Warehousing, etc</v>
      </c>
      <c r="AM2" s="106" t="str">
        <v>Postal and courier</v>
      </c>
      <c r="AN2" s="106" t="str">
        <v>Accommodation</v>
      </c>
      <c r="AO2" s="106" t="str">
        <v>Food and beverage services</v>
      </c>
      <c r="AP2" s="106" t="str">
        <v>Publishing activities</v>
      </c>
      <c r="AQ2" s="106" t="str">
        <v>Film and music</v>
      </c>
      <c r="AR2" s="106" t="str">
        <v>Broadcasting</v>
      </c>
      <c r="AS2" s="106" t="str">
        <v>Telecommunications</v>
      </c>
      <c r="AT2" s="106" t="str">
        <v>Computing services</v>
      </c>
      <c r="AU2" s="106" t="str">
        <v>Information services</v>
      </c>
      <c r="AV2" s="106" t="str">
        <v>Financial services</v>
      </c>
      <c r="AW2" s="106" t="str">
        <v>Insurance and pensions</v>
      </c>
      <c r="AX2" s="106" t="str">
        <v>Auxiliary financial services</v>
      </c>
      <c r="AY2" s="106" t="str">
        <v>Real estate</v>
      </c>
      <c r="AZ2" s="106" t="str">
        <v>Legal and accounting</v>
      </c>
      <c r="BA2" s="106" t="str">
        <v>Head offices, etc</v>
      </c>
      <c r="BB2" s="106" t="str">
        <v>Architectural and related</v>
      </c>
      <c r="BC2" s="106" t="str">
        <v>Scientific research and development</v>
      </c>
      <c r="BD2" s="106" t="str">
        <v>Advertising, etc</v>
      </c>
      <c r="BE2" s="106" t="str">
        <v>Other professional</v>
      </c>
      <c r="BF2" s="106" t="str">
        <v>Veterinary</v>
      </c>
      <c r="BG2" s="106" t="str">
        <v>Rental and leasing</v>
      </c>
      <c r="BH2" s="106" t="str">
        <v>Employment activities</v>
      </c>
      <c r="BI2" s="106" t="str">
        <v>Travel, etc</v>
      </c>
      <c r="BJ2" s="106" t="str">
        <v>Security, etc</v>
      </c>
      <c r="BK2" s="106" t="str">
        <v>Services to buildings</v>
      </c>
      <c r="BL2" s="106" t="str">
        <v>Office administrative</v>
      </c>
      <c r="BM2" s="106" t="str">
        <v>Public administration and defence</v>
      </c>
      <c r="BN2" s="106" t="str">
        <v xml:space="preserve">Education </v>
      </c>
      <c r="BO2" s="106" t="str">
        <v>Health</v>
      </c>
      <c r="BP2" s="106" t="str">
        <v>Residential care</v>
      </c>
      <c r="BQ2" s="106" t="str">
        <v>Social work</v>
      </c>
      <c r="BR2" s="106" t="str">
        <v>Arts and entertainment</v>
      </c>
      <c r="BS2" s="106" t="str">
        <v>Libraries, etc</v>
      </c>
      <c r="BT2" s="106" t="str">
        <v>Gambling and betting</v>
      </c>
      <c r="BU2" s="106" t="str">
        <v>Sport and recreation</v>
      </c>
      <c r="BV2" s="106" t="str">
        <v>Membership organisations</v>
      </c>
      <c r="BW2" s="106" t="str">
        <v>Repair of goods</v>
      </c>
      <c r="BX2" s="106" t="str">
        <v>Other personal service</v>
      </c>
      <c r="BY2" s="106"/>
      <c r="BZ2" s="106"/>
      <c r="CA2" s="106"/>
      <c r="CB2" s="106"/>
      <c r="CC2" s="106"/>
      <c r="CD2" s="106"/>
    </row>
    <row r="3" spans="1:82" ht="12.95">
      <c r="A3" t="str">
        <f>name!B4</f>
        <v>Agriculture</v>
      </c>
      <c r="B3" s="173">
        <v>1</v>
      </c>
      <c r="C3" s="207">
        <v>0</v>
      </c>
      <c r="D3" s="207">
        <v>0</v>
      </c>
      <c r="E3" s="207">
        <v>0</v>
      </c>
      <c r="F3" s="207">
        <v>0</v>
      </c>
      <c r="G3" s="207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>
      <c r="A4" t="str">
        <f>name!B5</f>
        <v>Mining and quarrying</v>
      </c>
      <c r="B4" s="5">
        <v>0</v>
      </c>
      <c r="C4">
        <v>1</v>
      </c>
      <c r="D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4">
        <v>0</v>
      </c>
      <c r="M4" s="64">
        <v>0</v>
      </c>
      <c r="N4" s="64">
        <v>0</v>
      </c>
      <c r="O4" s="64">
        <v>0</v>
      </c>
      <c r="P4" s="64">
        <v>0</v>
      </c>
      <c r="Q4" s="64">
        <v>0</v>
      </c>
      <c r="R4" s="64">
        <v>0</v>
      </c>
      <c r="S4" s="64">
        <v>0</v>
      </c>
      <c r="T4" s="64">
        <v>0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>
        <v>0</v>
      </c>
      <c r="AD4" s="64">
        <v>0</v>
      </c>
      <c r="AE4" s="64">
        <v>0</v>
      </c>
      <c r="AF4" s="64">
        <v>0</v>
      </c>
      <c r="AG4" s="64">
        <v>0</v>
      </c>
      <c r="AH4" s="64">
        <v>0</v>
      </c>
      <c r="AI4" s="64">
        <v>0</v>
      </c>
      <c r="AJ4" s="64">
        <v>0</v>
      </c>
      <c r="AK4" s="64">
        <v>0</v>
      </c>
      <c r="AL4" s="64">
        <v>0</v>
      </c>
      <c r="AM4" s="64">
        <v>0</v>
      </c>
      <c r="AN4" s="64">
        <v>0</v>
      </c>
      <c r="AO4" s="64">
        <v>0</v>
      </c>
      <c r="AP4" s="64">
        <v>0</v>
      </c>
      <c r="AQ4" s="64">
        <v>0</v>
      </c>
      <c r="AR4" s="64">
        <v>0</v>
      </c>
      <c r="AS4" s="64">
        <v>0</v>
      </c>
      <c r="AT4" s="64">
        <v>0</v>
      </c>
      <c r="AU4" s="64">
        <v>0</v>
      </c>
      <c r="AV4" s="64">
        <v>0</v>
      </c>
      <c r="AW4" s="64">
        <v>0</v>
      </c>
      <c r="AX4" s="64">
        <v>0</v>
      </c>
      <c r="AY4" s="64">
        <v>0</v>
      </c>
      <c r="AZ4" s="64">
        <v>0</v>
      </c>
      <c r="BA4" s="64">
        <v>0</v>
      </c>
      <c r="BB4" s="64">
        <v>0</v>
      </c>
      <c r="BC4" s="64">
        <v>0</v>
      </c>
      <c r="BD4" s="64">
        <v>0</v>
      </c>
      <c r="BE4" s="64">
        <v>0</v>
      </c>
      <c r="BF4" s="64">
        <v>0</v>
      </c>
      <c r="BG4" s="64">
        <v>0</v>
      </c>
      <c r="BH4" s="64">
        <v>0</v>
      </c>
      <c r="BI4" s="64">
        <v>0</v>
      </c>
      <c r="BJ4" s="64">
        <v>0</v>
      </c>
      <c r="BK4" s="64">
        <v>0</v>
      </c>
      <c r="BL4" s="64">
        <v>0</v>
      </c>
      <c r="BM4" s="64">
        <v>0</v>
      </c>
      <c r="BN4" s="6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64">
        <v>0</v>
      </c>
      <c r="I5" s="64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64">
        <v>0</v>
      </c>
      <c r="I6" s="64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ht="12.95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64">
        <v>1</v>
      </c>
      <c r="N7" s="64">
        <v>1</v>
      </c>
      <c r="O7" s="64">
        <v>1</v>
      </c>
      <c r="P7" s="64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64">
        <v>0</v>
      </c>
      <c r="M8" s="64">
        <v>0</v>
      </c>
      <c r="N8" s="64">
        <v>0</v>
      </c>
      <c r="O8" s="64">
        <v>0</v>
      </c>
      <c r="P8" s="64">
        <v>0</v>
      </c>
      <c r="Q8" s="64">
        <v>0</v>
      </c>
      <c r="R8" s="64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64">
        <v>0</v>
      </c>
      <c r="M9" s="64">
        <v>0</v>
      </c>
      <c r="N9" s="64">
        <v>0</v>
      </c>
      <c r="O9" s="64">
        <v>0</v>
      </c>
      <c r="P9" s="64">
        <v>0</v>
      </c>
      <c r="Q9" s="64">
        <v>0</v>
      </c>
      <c r="R9" s="64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64">
        <v>0</v>
      </c>
      <c r="M10" s="64">
        <v>0</v>
      </c>
      <c r="N10" s="64">
        <v>0</v>
      </c>
      <c r="O10" s="64">
        <v>0</v>
      </c>
      <c r="P10" s="64">
        <v>0</v>
      </c>
      <c r="Q10" s="64">
        <v>0</v>
      </c>
      <c r="R10" s="64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64">
        <v>0</v>
      </c>
      <c r="M11" s="64">
        <v>0</v>
      </c>
      <c r="N11" s="64">
        <v>0</v>
      </c>
      <c r="O11" s="64">
        <v>0</v>
      </c>
      <c r="P11" s="64">
        <v>0</v>
      </c>
      <c r="Q11" s="64">
        <v>0</v>
      </c>
      <c r="R11" s="64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64">
        <v>0</v>
      </c>
      <c r="M12" s="64">
        <v>0</v>
      </c>
      <c r="N12" s="64">
        <v>0</v>
      </c>
      <c r="O12" s="64">
        <v>0</v>
      </c>
      <c r="P12" s="64">
        <v>0</v>
      </c>
      <c r="Q12" s="64">
        <v>0</v>
      </c>
      <c r="R12" s="64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64">
        <v>0</v>
      </c>
      <c r="M13" s="64">
        <v>0</v>
      </c>
      <c r="N13" s="64">
        <v>0</v>
      </c>
      <c r="O13" s="64">
        <v>0</v>
      </c>
      <c r="P13" s="64">
        <v>0</v>
      </c>
      <c r="Q13" s="64">
        <v>0</v>
      </c>
      <c r="R13" s="64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64">
        <v>0</v>
      </c>
      <c r="M14" s="64">
        <v>0</v>
      </c>
      <c r="N14" s="64">
        <v>0</v>
      </c>
      <c r="O14" s="64">
        <v>0</v>
      </c>
      <c r="P14" s="64">
        <v>0</v>
      </c>
      <c r="Q14" s="64">
        <v>0</v>
      </c>
      <c r="R14" s="6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64">
        <v>0</v>
      </c>
      <c r="M15" s="64">
        <v>0</v>
      </c>
      <c r="N15" s="64">
        <v>0</v>
      </c>
      <c r="O15" s="64">
        <v>0</v>
      </c>
      <c r="P15" s="64">
        <v>0</v>
      </c>
      <c r="Q15" s="64">
        <v>0</v>
      </c>
      <c r="R15" s="64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64">
        <v>0</v>
      </c>
      <c r="M16" s="64">
        <v>0</v>
      </c>
      <c r="N16" s="64">
        <v>0</v>
      </c>
      <c r="O16" s="64">
        <v>0</v>
      </c>
      <c r="P16" s="64">
        <v>0</v>
      </c>
      <c r="Q16" s="64">
        <v>0</v>
      </c>
      <c r="R16" s="64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64">
        <v>0</v>
      </c>
      <c r="M17" s="64">
        <v>0</v>
      </c>
      <c r="N17" s="64">
        <v>0</v>
      </c>
      <c r="O17" s="64">
        <v>0</v>
      </c>
      <c r="P17" s="64">
        <v>0</v>
      </c>
      <c r="Q17" s="64">
        <v>0</v>
      </c>
      <c r="R17" s="64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64">
        <v>0</v>
      </c>
      <c r="M18" s="64">
        <v>0</v>
      </c>
      <c r="N18" s="64">
        <v>0</v>
      </c>
      <c r="O18" s="64">
        <v>0</v>
      </c>
      <c r="P18" s="64">
        <v>0</v>
      </c>
      <c r="Q18" s="64">
        <v>0</v>
      </c>
      <c r="R18" s="64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64">
        <v>0</v>
      </c>
      <c r="M19" s="64">
        <v>0</v>
      </c>
      <c r="N19" s="64">
        <v>0</v>
      </c>
      <c r="O19" s="64">
        <v>0</v>
      </c>
      <c r="P19" s="64">
        <v>0</v>
      </c>
      <c r="Q19" s="64">
        <v>0</v>
      </c>
      <c r="R19" s="64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64">
        <v>0</v>
      </c>
      <c r="M20" s="64">
        <v>0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64">
        <v>0</v>
      </c>
      <c r="M23" s="64">
        <v>0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2.95" thickBot="1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06">
        <v>0</v>
      </c>
      <c r="M24" s="206">
        <v>0</v>
      </c>
      <c r="N24" s="206">
        <v>0</v>
      </c>
      <c r="O24" s="206">
        <v>0</v>
      </c>
      <c r="P24" s="206">
        <v>0</v>
      </c>
      <c r="Q24" s="206">
        <v>0</v>
      </c>
      <c r="R24" s="206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>
      <c r="A27" s="1" t="str">
        <f>CONCATENATE("Aggregation 75 industries to 6 ",name!C2)</f>
        <v>Aggregation 75 industries to 6 Industry sectors</v>
      </c>
    </row>
    <row r="28" spans="1:77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2.95" thickBot="1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ht="12.95">
      <c r="A36" s="1" t="s">
        <v>435</v>
      </c>
    </row>
    <row r="37" spans="1:77" ht="120" customHeight="1" thickBot="1">
      <c r="B37" s="323" t="s">
        <v>289</v>
      </c>
      <c r="C37" s="323" t="s">
        <v>297</v>
      </c>
      <c r="D37" s="323" t="s">
        <v>305</v>
      </c>
      <c r="E37" s="323" t="s">
        <v>313</v>
      </c>
      <c r="F37" s="323" t="s">
        <v>320</v>
      </c>
      <c r="G37" s="323" t="s">
        <v>327</v>
      </c>
      <c r="H37" s="323" t="s">
        <v>333</v>
      </c>
      <c r="I37" s="323" t="s">
        <v>336</v>
      </c>
      <c r="J37" s="323" t="s">
        <v>340</v>
      </c>
      <c r="K37" s="323" t="s">
        <v>344</v>
      </c>
      <c r="L37" s="323" t="s">
        <v>347</v>
      </c>
      <c r="M37" s="323" t="s">
        <v>350</v>
      </c>
      <c r="N37" s="323" t="s">
        <v>353</v>
      </c>
      <c r="O37" s="323" t="s">
        <v>356</v>
      </c>
      <c r="P37" s="323" t="s">
        <v>359</v>
      </c>
      <c r="Q37" s="323" t="s">
        <v>362</v>
      </c>
      <c r="R37" s="323" t="s">
        <v>365</v>
      </c>
      <c r="S37" s="323" t="s">
        <v>368</v>
      </c>
      <c r="T37" s="323" t="s">
        <v>371</v>
      </c>
      <c r="U37" s="323" t="s">
        <v>374</v>
      </c>
      <c r="V37" s="323" t="s">
        <v>377</v>
      </c>
      <c r="W37" s="323" t="s">
        <v>380</v>
      </c>
      <c r="X37" s="323" t="s">
        <v>382</v>
      </c>
      <c r="Y37" s="323" t="s">
        <v>384</v>
      </c>
      <c r="Z37" s="323" t="s">
        <v>386</v>
      </c>
      <c r="AA37" s="106" t="s">
        <v>388</v>
      </c>
      <c r="AB37" s="12"/>
    </row>
    <row r="38" spans="1:77">
      <c r="A38" t="s">
        <v>290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>
      <c r="A39" t="s">
        <v>298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>
      <c r="A40" t="s">
        <v>306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>
      <c r="A41" t="s">
        <v>314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>
      <c r="A42" t="s">
        <v>321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>
      <c r="A43" t="s">
        <v>328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>
      <c r="A44" t="s">
        <v>334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>
      <c r="A45" t="s">
        <v>337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2.95" thickBot="1">
      <c r="A46" t="s">
        <v>341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ht="12.95">
      <c r="A49" s="1" t="str">
        <f>CONCATENATE("Aggregation 9 qualifications to 6 ",name!$G$2)</f>
        <v>Aggregation 9 qualifications to 6 Qualification groups</v>
      </c>
    </row>
    <row r="50" spans="1:11" ht="197.25" customHeight="1" thickBot="1">
      <c r="B50" s="106" t="str">
        <f t="array" ref="B50:J50">TRANSPOSE(name!F4:F13)</f>
        <v>RQF8 Doctorate</v>
      </c>
      <c r="C50" s="106" t="str">
        <v>RQF7 Other higher degree</v>
      </c>
      <c r="D50" s="106" t="str">
        <v>RQF6 First degree</v>
      </c>
      <c r="E50" s="106" t="str">
        <v>RQF5 Foundation degree;Nursing;Teaching</v>
      </c>
      <c r="F50" s="106" t="str">
        <v>RQF4 HE below degree level</v>
      </c>
      <c r="G50" s="106" t="str">
        <v>RQF3 A level &amp; equivalent</v>
      </c>
      <c r="H50" s="106" t="str">
        <v>RQF2 GCSE(A-C) &amp; equivalent</v>
      </c>
      <c r="I50" s="106" t="str">
        <v>RQF1 GCSE(below grade C) &amp; equivalent</v>
      </c>
      <c r="J50" s="106" t="str">
        <v>No Qualification</v>
      </c>
    </row>
    <row r="51" spans="1:11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2.95" thickBot="1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>
      <c r="A58" s="10"/>
    </row>
    <row r="59" spans="1:11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6"/>
  <cols>
    <col min="1" max="1" width="4.140625" style="70" customWidth="1"/>
    <col min="2" max="2" width="55.7109375" style="70" customWidth="1"/>
    <col min="3" max="3" width="5.85546875" style="70" customWidth="1"/>
    <col min="4" max="4" width="65.7109375" style="70" customWidth="1"/>
    <col min="5" max="16384" width="10.28515625" style="70"/>
  </cols>
  <sheetData>
    <row r="1" spans="1:4" ht="12.95">
      <c r="A1" s="14" t="s">
        <v>436</v>
      </c>
    </row>
    <row r="3" spans="1:4">
      <c r="A3" s="107"/>
      <c r="B3" s="107" t="s">
        <v>437</v>
      </c>
      <c r="C3" s="107"/>
      <c r="D3" s="107" t="s">
        <v>438</v>
      </c>
    </row>
    <row r="4" spans="1:4">
      <c r="A4" s="107"/>
      <c r="B4" s="107"/>
      <c r="C4" s="107"/>
      <c r="D4" s="107"/>
    </row>
    <row r="5" spans="1:4">
      <c r="A5" s="107">
        <v>1</v>
      </c>
      <c r="B5" s="107" t="s">
        <v>439</v>
      </c>
      <c r="C5" s="107">
        <v>1</v>
      </c>
      <c r="D5" s="107" t="s">
        <v>440</v>
      </c>
    </row>
    <row r="6" spans="1:4">
      <c r="A6" s="107"/>
      <c r="B6" s="107"/>
      <c r="C6" s="107"/>
      <c r="D6" s="107"/>
    </row>
    <row r="7" spans="1:4">
      <c r="A7" s="107">
        <v>2</v>
      </c>
      <c r="B7" s="107" t="s">
        <v>441</v>
      </c>
      <c r="C7" s="107">
        <v>2</v>
      </c>
      <c r="D7" s="107" t="s">
        <v>442</v>
      </c>
    </row>
    <row r="8" spans="1:4">
      <c r="A8" s="107"/>
      <c r="B8" s="107"/>
      <c r="C8" s="107"/>
      <c r="D8" s="107"/>
    </row>
    <row r="9" spans="1:4">
      <c r="A9" s="107">
        <v>3</v>
      </c>
      <c r="B9" s="107" t="s">
        <v>443</v>
      </c>
      <c r="C9" s="107">
        <v>3</v>
      </c>
      <c r="D9" s="107" t="s">
        <v>444</v>
      </c>
    </row>
    <row r="10" spans="1:4">
      <c r="A10" s="107"/>
      <c r="B10" s="107"/>
      <c r="C10" s="107">
        <v>4</v>
      </c>
      <c r="D10" s="107" t="s">
        <v>445</v>
      </c>
    </row>
    <row r="11" spans="1:4">
      <c r="A11" s="107"/>
      <c r="B11" s="107"/>
      <c r="C11" s="107"/>
      <c r="D11" s="107"/>
    </row>
    <row r="12" spans="1:4">
      <c r="A12" s="107">
        <v>4</v>
      </c>
      <c r="B12" s="107" t="s">
        <v>446</v>
      </c>
      <c r="C12" s="107">
        <v>16</v>
      </c>
      <c r="D12" s="107" t="s">
        <v>447</v>
      </c>
    </row>
    <row r="13" spans="1:4">
      <c r="A13" s="107"/>
      <c r="B13" s="107"/>
      <c r="C13" s="107">
        <v>17</v>
      </c>
      <c r="D13" s="107" t="s">
        <v>448</v>
      </c>
    </row>
    <row r="14" spans="1:4">
      <c r="A14" s="107"/>
      <c r="B14" s="107"/>
      <c r="C14" s="107">
        <v>18</v>
      </c>
      <c r="D14" s="107" t="s">
        <v>449</v>
      </c>
    </row>
    <row r="15" spans="1:4">
      <c r="A15" s="107"/>
      <c r="B15" s="107"/>
      <c r="C15" s="107"/>
      <c r="D15" s="107"/>
    </row>
    <row r="16" spans="1:4">
      <c r="A16" s="107">
        <v>5</v>
      </c>
      <c r="B16" s="107" t="s">
        <v>450</v>
      </c>
      <c r="C16" s="107">
        <v>5</v>
      </c>
      <c r="D16" s="107" t="s">
        <v>451</v>
      </c>
    </row>
    <row r="17" spans="1:4">
      <c r="A17" s="107"/>
      <c r="B17" s="107"/>
      <c r="C17" s="107">
        <v>6</v>
      </c>
      <c r="D17" s="107" t="s">
        <v>452</v>
      </c>
    </row>
    <row r="18" spans="1:4">
      <c r="A18" s="107"/>
      <c r="B18" s="107"/>
      <c r="C18" s="107">
        <v>7</v>
      </c>
      <c r="D18" s="107" t="s">
        <v>453</v>
      </c>
    </row>
    <row r="19" spans="1:4">
      <c r="A19" s="107"/>
      <c r="B19" s="107"/>
      <c r="C19" s="107">
        <v>8</v>
      </c>
      <c r="D19" s="107" t="s">
        <v>454</v>
      </c>
    </row>
    <row r="20" spans="1:4">
      <c r="A20" s="107"/>
      <c r="B20" s="107"/>
      <c r="C20" s="107">
        <v>9</v>
      </c>
      <c r="D20" s="107" t="s">
        <v>455</v>
      </c>
    </row>
    <row r="21" spans="1:4">
      <c r="A21" s="107"/>
      <c r="B21" s="107"/>
      <c r="C21" s="107">
        <v>10</v>
      </c>
      <c r="D21" s="107" t="s">
        <v>456</v>
      </c>
    </row>
    <row r="22" spans="1:4">
      <c r="A22" s="107"/>
      <c r="B22" s="107"/>
      <c r="C22" s="107">
        <v>11</v>
      </c>
      <c r="D22" s="107" t="s">
        <v>457</v>
      </c>
    </row>
    <row r="23" spans="1:4">
      <c r="A23" s="107"/>
      <c r="B23" s="107"/>
      <c r="C23" s="107">
        <v>12</v>
      </c>
      <c r="D23" s="107" t="s">
        <v>458</v>
      </c>
    </row>
    <row r="24" spans="1:4">
      <c r="A24" s="107"/>
      <c r="B24" s="107"/>
      <c r="C24" s="107">
        <v>13</v>
      </c>
      <c r="D24" s="107" t="s">
        <v>459</v>
      </c>
    </row>
    <row r="25" spans="1:4">
      <c r="A25" s="107"/>
      <c r="B25" s="107"/>
      <c r="C25" s="107">
        <v>14</v>
      </c>
      <c r="D25" s="107" t="s">
        <v>460</v>
      </c>
    </row>
    <row r="26" spans="1:4">
      <c r="A26" s="107"/>
      <c r="B26" s="107"/>
      <c r="C26" s="107">
        <v>15</v>
      </c>
      <c r="D26" s="107" t="s">
        <v>461</v>
      </c>
    </row>
    <row r="27" spans="1:4">
      <c r="A27" s="107"/>
      <c r="B27" s="107"/>
      <c r="C27" s="107">
        <v>19</v>
      </c>
      <c r="D27" s="107" t="s">
        <v>462</v>
      </c>
    </row>
    <row r="28" spans="1:4">
      <c r="A28" s="107"/>
      <c r="B28" s="107"/>
      <c r="C28" s="107">
        <v>20</v>
      </c>
      <c r="D28" s="107" t="s">
        <v>463</v>
      </c>
    </row>
    <row r="29" spans="1:4">
      <c r="A29" s="107"/>
      <c r="B29" s="107"/>
      <c r="C29" s="107">
        <v>21</v>
      </c>
      <c r="D29" s="107" t="s">
        <v>464</v>
      </c>
    </row>
    <row r="30" spans="1:4">
      <c r="A30" s="107"/>
      <c r="B30" s="107"/>
      <c r="C30" s="107">
        <v>22</v>
      </c>
      <c r="D30" s="107" t="s">
        <v>465</v>
      </c>
    </row>
    <row r="31" spans="1:4">
      <c r="A31" s="107"/>
      <c r="B31" s="107"/>
      <c r="C31" s="107">
        <v>23</v>
      </c>
      <c r="D31" s="107" t="s">
        <v>466</v>
      </c>
    </row>
    <row r="32" spans="1:4">
      <c r="A32" s="107"/>
      <c r="B32" s="107"/>
      <c r="C32" s="107"/>
      <c r="D32" s="107"/>
    </row>
    <row r="33" spans="1:4">
      <c r="A33" s="107">
        <v>6</v>
      </c>
      <c r="B33" s="107" t="s">
        <v>467</v>
      </c>
      <c r="C33" s="107">
        <v>24</v>
      </c>
      <c r="D33" s="107" t="s">
        <v>468</v>
      </c>
    </row>
    <row r="34" spans="1:4">
      <c r="A34" s="107"/>
      <c r="B34" s="107"/>
      <c r="C34" s="107"/>
      <c r="D34" s="107"/>
    </row>
    <row r="35" spans="1:4">
      <c r="A35" s="107">
        <v>7</v>
      </c>
      <c r="B35" s="107" t="s">
        <v>469</v>
      </c>
      <c r="C35" s="107">
        <v>25</v>
      </c>
      <c r="D35" s="107" t="s">
        <v>470</v>
      </c>
    </row>
    <row r="36" spans="1:4">
      <c r="A36" s="107"/>
      <c r="B36" s="107"/>
      <c r="C36" s="107">
        <v>26</v>
      </c>
      <c r="D36" s="107" t="s">
        <v>471</v>
      </c>
    </row>
    <row r="37" spans="1:4">
      <c r="A37" s="107"/>
      <c r="B37" s="107"/>
      <c r="C37" s="107">
        <v>27</v>
      </c>
      <c r="D37" s="107" t="s">
        <v>472</v>
      </c>
    </row>
    <row r="38" spans="1:4">
      <c r="A38" s="107"/>
      <c r="B38" s="107"/>
      <c r="C38" s="107"/>
      <c r="D38" s="107"/>
    </row>
    <row r="39" spans="1:4">
      <c r="A39" s="107">
        <v>8</v>
      </c>
      <c r="B39" s="107" t="s">
        <v>473</v>
      </c>
      <c r="C39" s="107">
        <v>28</v>
      </c>
      <c r="D39" s="107" t="s">
        <v>474</v>
      </c>
    </row>
    <row r="40" spans="1:4">
      <c r="A40" s="107"/>
      <c r="B40" s="107"/>
      <c r="C40" s="107">
        <v>29</v>
      </c>
      <c r="D40" s="107" t="s">
        <v>475</v>
      </c>
    </row>
    <row r="41" spans="1:4">
      <c r="A41" s="107"/>
      <c r="B41" s="107"/>
      <c r="C41" s="107">
        <v>30</v>
      </c>
      <c r="D41" s="107" t="s">
        <v>476</v>
      </c>
    </row>
    <row r="42" spans="1:4">
      <c r="A42" s="107"/>
      <c r="B42" s="107"/>
      <c r="C42" s="107"/>
      <c r="D42" s="107"/>
    </row>
    <row r="43" spans="1:4">
      <c r="A43" s="107">
        <v>9</v>
      </c>
      <c r="B43" s="107" t="s">
        <v>477</v>
      </c>
      <c r="C43" s="107">
        <v>31</v>
      </c>
      <c r="D43" s="107" t="s">
        <v>478</v>
      </c>
    </row>
    <row r="44" spans="1:4">
      <c r="A44" s="107"/>
      <c r="B44" s="107"/>
      <c r="C44" s="107">
        <v>32</v>
      </c>
      <c r="D44" s="107" t="s">
        <v>479</v>
      </c>
    </row>
    <row r="45" spans="1:4">
      <c r="A45" s="107"/>
      <c r="B45" s="107"/>
      <c r="C45" s="107">
        <v>33</v>
      </c>
      <c r="D45" s="107" t="s">
        <v>480</v>
      </c>
    </row>
    <row r="46" spans="1:4">
      <c r="A46" s="107"/>
      <c r="B46" s="107"/>
      <c r="C46" s="107"/>
      <c r="D46" s="107"/>
    </row>
    <row r="47" spans="1:4">
      <c r="A47" s="107">
        <v>10</v>
      </c>
      <c r="B47" s="107" t="s">
        <v>481</v>
      </c>
      <c r="C47" s="107">
        <v>34</v>
      </c>
      <c r="D47" s="107" t="s">
        <v>482</v>
      </c>
    </row>
    <row r="48" spans="1:4">
      <c r="A48" s="107"/>
      <c r="B48" s="107"/>
      <c r="C48" s="107">
        <v>35</v>
      </c>
      <c r="D48" s="107" t="s">
        <v>483</v>
      </c>
    </row>
    <row r="49" spans="1:4">
      <c r="A49" s="107"/>
      <c r="B49" s="107"/>
      <c r="C49" s="107">
        <v>36</v>
      </c>
      <c r="D49" s="107" t="s">
        <v>484</v>
      </c>
    </row>
    <row r="50" spans="1:4">
      <c r="A50" s="107"/>
      <c r="B50" s="107"/>
      <c r="C50" s="107">
        <v>37</v>
      </c>
      <c r="D50" s="107" t="s">
        <v>485</v>
      </c>
    </row>
    <row r="51" spans="1:4">
      <c r="A51" s="107"/>
      <c r="B51" s="107"/>
      <c r="C51" s="107">
        <v>38</v>
      </c>
      <c r="D51" s="107" t="s">
        <v>486</v>
      </c>
    </row>
    <row r="52" spans="1:4">
      <c r="A52" s="107"/>
      <c r="B52" s="107"/>
      <c r="C52" s="107"/>
      <c r="D52" s="107"/>
    </row>
    <row r="53" spans="1:4">
      <c r="A53" s="107">
        <v>11</v>
      </c>
      <c r="B53" s="107" t="s">
        <v>487</v>
      </c>
      <c r="C53" s="107">
        <v>39</v>
      </c>
      <c r="D53" s="107" t="s">
        <v>488</v>
      </c>
    </row>
    <row r="54" spans="1:4">
      <c r="A54" s="107"/>
      <c r="B54" s="107"/>
      <c r="C54" s="107">
        <v>40</v>
      </c>
      <c r="D54" s="107" t="s">
        <v>489</v>
      </c>
    </row>
    <row r="55" spans="1:4">
      <c r="A55" s="107"/>
      <c r="B55" s="107"/>
      <c r="C55" s="107"/>
      <c r="D55" s="107"/>
    </row>
    <row r="56" spans="1:4">
      <c r="A56" s="107">
        <v>12</v>
      </c>
      <c r="B56" s="107" t="s">
        <v>490</v>
      </c>
      <c r="C56" s="107">
        <v>41</v>
      </c>
      <c r="D56" s="107" t="s">
        <v>491</v>
      </c>
    </row>
    <row r="57" spans="1:4">
      <c r="A57" s="107"/>
      <c r="B57" s="107"/>
      <c r="C57" s="107">
        <v>42</v>
      </c>
      <c r="D57" s="107" t="s">
        <v>492</v>
      </c>
    </row>
    <row r="58" spans="1:4">
      <c r="A58" s="107"/>
      <c r="B58" s="107"/>
      <c r="C58" s="107">
        <v>43</v>
      </c>
      <c r="D58" s="107" t="s">
        <v>493</v>
      </c>
    </row>
    <row r="59" spans="1:4">
      <c r="A59" s="107"/>
      <c r="B59" s="107"/>
      <c r="C59" s="107"/>
      <c r="D59" s="107"/>
    </row>
    <row r="60" spans="1:4">
      <c r="A60" s="107">
        <v>13</v>
      </c>
      <c r="B60" s="107" t="s">
        <v>494</v>
      </c>
      <c r="C60" s="107">
        <v>44</v>
      </c>
      <c r="D60" s="107" t="s">
        <v>495</v>
      </c>
    </row>
    <row r="61" spans="1:4">
      <c r="A61" s="107"/>
      <c r="B61" s="107"/>
      <c r="C61" s="107">
        <v>45</v>
      </c>
      <c r="D61" s="107" t="s">
        <v>496</v>
      </c>
    </row>
    <row r="62" spans="1:4">
      <c r="A62" s="107"/>
      <c r="B62" s="107"/>
      <c r="C62" s="107">
        <v>46</v>
      </c>
      <c r="D62" s="107" t="s">
        <v>497</v>
      </c>
    </row>
    <row r="63" spans="1:4">
      <c r="A63" s="107"/>
      <c r="B63" s="107"/>
      <c r="C63" s="107"/>
      <c r="D63" s="107"/>
    </row>
    <row r="64" spans="1:4">
      <c r="A64" s="107">
        <v>14</v>
      </c>
      <c r="B64" s="107" t="s">
        <v>498</v>
      </c>
      <c r="C64" s="107">
        <v>47</v>
      </c>
      <c r="D64" s="107" t="s">
        <v>499</v>
      </c>
    </row>
    <row r="65" spans="1:4">
      <c r="A65" s="107"/>
      <c r="B65" s="107"/>
      <c r="C65" s="107">
        <v>48</v>
      </c>
      <c r="D65" s="107" t="s">
        <v>500</v>
      </c>
    </row>
    <row r="66" spans="1:4">
      <c r="A66" s="107"/>
      <c r="B66" s="107"/>
      <c r="C66" s="107">
        <v>49</v>
      </c>
      <c r="D66" s="107" t="s">
        <v>501</v>
      </c>
    </row>
    <row r="67" spans="1:4">
      <c r="A67" s="107"/>
      <c r="B67" s="107"/>
      <c r="C67" s="107"/>
      <c r="D67" s="107"/>
    </row>
    <row r="68" spans="1:4">
      <c r="A68" s="107">
        <v>15</v>
      </c>
      <c r="B68" s="107" t="s">
        <v>502</v>
      </c>
      <c r="C68" s="107">
        <v>50</v>
      </c>
      <c r="D68" s="107" t="s">
        <v>502</v>
      </c>
    </row>
    <row r="69" spans="1:4">
      <c r="A69" s="107"/>
      <c r="B69" s="107"/>
      <c r="C69" s="107"/>
      <c r="D69" s="107"/>
    </row>
    <row r="70" spans="1:4">
      <c r="A70" s="107">
        <v>16</v>
      </c>
      <c r="B70" s="107" t="s">
        <v>503</v>
      </c>
      <c r="C70" s="107">
        <v>51</v>
      </c>
      <c r="D70" s="107" t="s">
        <v>504</v>
      </c>
    </row>
    <row r="71" spans="1:4">
      <c r="A71" s="107"/>
      <c r="B71" s="107"/>
      <c r="C71" s="107">
        <v>52</v>
      </c>
      <c r="D71" s="107" t="s">
        <v>505</v>
      </c>
    </row>
    <row r="72" spans="1:4">
      <c r="A72" s="107"/>
      <c r="B72" s="107"/>
      <c r="C72" s="107">
        <v>53</v>
      </c>
      <c r="D72" s="107" t="s">
        <v>506</v>
      </c>
    </row>
    <row r="73" spans="1:4">
      <c r="A73" s="107"/>
      <c r="B73" s="107"/>
      <c r="C73" s="107">
        <v>54</v>
      </c>
      <c r="D73" s="107" t="s">
        <v>507</v>
      </c>
    </row>
    <row r="74" spans="1:4">
      <c r="A74" s="107"/>
      <c r="B74" s="107"/>
      <c r="C74" s="107">
        <v>55</v>
      </c>
      <c r="D74" s="107" t="s">
        <v>508</v>
      </c>
    </row>
    <row r="75" spans="1:4">
      <c r="A75" s="107"/>
      <c r="B75" s="107"/>
      <c r="C75" s="107">
        <v>56</v>
      </c>
      <c r="D75" s="107" t="s">
        <v>509</v>
      </c>
    </row>
    <row r="76" spans="1:4">
      <c r="A76" s="107"/>
      <c r="B76" s="107"/>
      <c r="C76" s="107">
        <v>57</v>
      </c>
      <c r="D76" s="107" t="s">
        <v>510</v>
      </c>
    </row>
    <row r="77" spans="1:4">
      <c r="A77" s="107"/>
      <c r="B77" s="107"/>
      <c r="C77" s="107"/>
      <c r="D77" s="107"/>
    </row>
    <row r="78" spans="1:4">
      <c r="A78" s="107">
        <v>17</v>
      </c>
      <c r="B78" s="107" t="s">
        <v>511</v>
      </c>
      <c r="C78" s="107">
        <v>58</v>
      </c>
      <c r="D78" s="107" t="s">
        <v>512</v>
      </c>
    </row>
    <row r="79" spans="1:4">
      <c r="A79" s="107"/>
      <c r="B79" s="107"/>
      <c r="C79" s="107">
        <v>59</v>
      </c>
      <c r="D79" s="107" t="s">
        <v>513</v>
      </c>
    </row>
    <row r="80" spans="1:4">
      <c r="A80" s="107"/>
      <c r="B80" s="107"/>
      <c r="C80" s="107">
        <v>60</v>
      </c>
      <c r="D80" s="107" t="s">
        <v>514</v>
      </c>
    </row>
    <row r="81" spans="1:4">
      <c r="A81" s="107"/>
      <c r="B81" s="107"/>
      <c r="C81" s="107">
        <v>61</v>
      </c>
      <c r="D81" s="107" t="s">
        <v>515</v>
      </c>
    </row>
    <row r="82" spans="1:4">
      <c r="A82" s="107"/>
      <c r="B82" s="107"/>
      <c r="C82" s="107">
        <v>62</v>
      </c>
      <c r="D82" s="107" t="s">
        <v>516</v>
      </c>
    </row>
    <row r="83" spans="1:4">
      <c r="A83" s="107"/>
      <c r="B83" s="107"/>
      <c r="C83" s="107">
        <v>63</v>
      </c>
      <c r="D83" s="107" t="s">
        <v>517</v>
      </c>
    </row>
    <row r="84" spans="1:4">
      <c r="A84" s="107"/>
      <c r="B84" s="107"/>
      <c r="C84" s="107"/>
      <c r="D84" s="107"/>
    </row>
    <row r="85" spans="1:4">
      <c r="A85" s="107">
        <v>18</v>
      </c>
      <c r="B85" s="107" t="s">
        <v>518</v>
      </c>
      <c r="C85" s="107">
        <v>64</v>
      </c>
      <c r="D85" s="107" t="s">
        <v>519</v>
      </c>
    </row>
    <row r="86" spans="1:4">
      <c r="A86" s="107"/>
      <c r="B86" s="107"/>
      <c r="C86" s="107"/>
      <c r="D86" s="107"/>
    </row>
    <row r="87" spans="1:4">
      <c r="A87" s="107">
        <v>19</v>
      </c>
      <c r="B87" s="107" t="s">
        <v>520</v>
      </c>
      <c r="C87" s="107">
        <v>65</v>
      </c>
      <c r="D87" s="107" t="s">
        <v>520</v>
      </c>
    </row>
    <row r="88" spans="1:4">
      <c r="A88" s="107"/>
      <c r="B88" s="107"/>
      <c r="C88" s="107"/>
      <c r="D88" s="107"/>
    </row>
    <row r="89" spans="1:4">
      <c r="A89" s="107">
        <v>20</v>
      </c>
      <c r="B89" s="107" t="s">
        <v>521</v>
      </c>
      <c r="C89" s="107">
        <v>66</v>
      </c>
      <c r="D89" s="107" t="s">
        <v>522</v>
      </c>
    </row>
    <row r="90" spans="1:4">
      <c r="A90" s="107"/>
      <c r="B90" s="107"/>
      <c r="C90" s="107">
        <v>67</v>
      </c>
      <c r="D90" s="107" t="s">
        <v>523</v>
      </c>
    </row>
    <row r="91" spans="1:4">
      <c r="A91" s="107"/>
      <c r="B91" s="107"/>
      <c r="C91" s="107">
        <v>68</v>
      </c>
      <c r="D91" s="107" t="s">
        <v>524</v>
      </c>
    </row>
    <row r="92" spans="1:4">
      <c r="A92" s="107"/>
      <c r="B92" s="107"/>
      <c r="C92" s="107"/>
      <c r="D92" s="107"/>
    </row>
    <row r="93" spans="1:4">
      <c r="A93" s="107">
        <v>21</v>
      </c>
      <c r="B93" s="107" t="s">
        <v>525</v>
      </c>
      <c r="C93" s="107">
        <v>69</v>
      </c>
      <c r="D93" s="107" t="s">
        <v>526</v>
      </c>
    </row>
    <row r="94" spans="1:4">
      <c r="A94" s="107"/>
      <c r="B94" s="107"/>
      <c r="C94" s="107">
        <v>70</v>
      </c>
      <c r="D94" s="107" t="s">
        <v>527</v>
      </c>
    </row>
    <row r="95" spans="1:4">
      <c r="A95" s="107"/>
      <c r="B95" s="107"/>
      <c r="C95" s="107">
        <v>71</v>
      </c>
      <c r="D95" s="107" t="s">
        <v>528</v>
      </c>
    </row>
    <row r="96" spans="1:4">
      <c r="A96" s="107"/>
      <c r="B96" s="107"/>
      <c r="C96" s="107">
        <v>72</v>
      </c>
      <c r="D96" s="107" t="s">
        <v>529</v>
      </c>
    </row>
    <row r="97" spans="1:4">
      <c r="A97" s="107"/>
      <c r="B97" s="107"/>
      <c r="C97" s="107"/>
      <c r="D97" s="107"/>
    </row>
    <row r="98" spans="1:4">
      <c r="A98" s="107">
        <v>22</v>
      </c>
      <c r="B98" s="107" t="s">
        <v>530</v>
      </c>
      <c r="C98" s="107">
        <v>73</v>
      </c>
      <c r="D98" s="107" t="s">
        <v>531</v>
      </c>
    </row>
    <row r="99" spans="1:4">
      <c r="A99" s="107"/>
      <c r="B99" s="107"/>
      <c r="C99" s="107">
        <v>74</v>
      </c>
      <c r="D99" s="107" t="s">
        <v>532</v>
      </c>
    </row>
    <row r="100" spans="1:4">
      <c r="A100" s="107"/>
      <c r="B100" s="107"/>
      <c r="C100" s="107">
        <v>75</v>
      </c>
      <c r="D100" s="107" t="s">
        <v>533</v>
      </c>
    </row>
    <row r="101" spans="1:4">
      <c r="A101"/>
      <c r="B101"/>
      <c r="D101"/>
    </row>
    <row r="102" spans="1:4" ht="12.95">
      <c r="A102" s="16" t="s">
        <v>534</v>
      </c>
      <c r="D102"/>
    </row>
    <row r="103" spans="1:4">
      <c r="D103"/>
    </row>
    <row r="104" spans="1:4">
      <c r="A104" s="10"/>
      <c r="B104" s="107" t="s">
        <v>535</v>
      </c>
      <c r="C104" s="10"/>
      <c r="D104" s="107" t="s">
        <v>438</v>
      </c>
    </row>
    <row r="105" spans="1:4">
      <c r="A105" s="10"/>
      <c r="B105" s="10"/>
      <c r="C105" s="10"/>
      <c r="D105" s="10"/>
    </row>
    <row r="106" spans="1:4">
      <c r="A106" s="10">
        <v>1</v>
      </c>
      <c r="B106" s="10" t="s">
        <v>536</v>
      </c>
      <c r="C106" s="10">
        <v>1</v>
      </c>
      <c r="D106" s="10" t="s">
        <v>440</v>
      </c>
    </row>
    <row r="107" spans="1:4">
      <c r="A107" s="10"/>
      <c r="B107" s="10"/>
      <c r="C107" s="10">
        <v>2</v>
      </c>
      <c r="D107" s="10" t="s">
        <v>442</v>
      </c>
    </row>
    <row r="108" spans="1:4">
      <c r="A108" s="10"/>
      <c r="B108" s="10"/>
      <c r="C108" s="10">
        <v>24</v>
      </c>
      <c r="D108" s="10" t="s">
        <v>468</v>
      </c>
    </row>
    <row r="109" spans="1:4">
      <c r="A109" s="10"/>
      <c r="B109" s="10"/>
      <c r="C109" s="10">
        <v>25</v>
      </c>
      <c r="D109" s="10" t="s">
        <v>470</v>
      </c>
    </row>
    <row r="110" spans="1:4">
      <c r="A110" s="10"/>
      <c r="B110" s="10"/>
      <c r="C110" s="10">
        <v>26</v>
      </c>
      <c r="D110" s="10" t="s">
        <v>471</v>
      </c>
    </row>
    <row r="111" spans="1:4">
      <c r="A111" s="10"/>
      <c r="B111" s="10"/>
      <c r="C111" s="10">
        <v>27</v>
      </c>
      <c r="D111" s="10" t="s">
        <v>472</v>
      </c>
    </row>
    <row r="112" spans="1:4">
      <c r="A112" s="10"/>
      <c r="B112" s="10"/>
      <c r="C112" s="10"/>
      <c r="D112" s="10"/>
    </row>
    <row r="113" spans="1:4">
      <c r="A113" s="10">
        <v>2</v>
      </c>
      <c r="B113" s="10" t="s">
        <v>537</v>
      </c>
      <c r="C113" s="10">
        <v>3</v>
      </c>
      <c r="D113" s="10" t="s">
        <v>444</v>
      </c>
    </row>
    <row r="114" spans="1:4">
      <c r="A114" s="10"/>
      <c r="B114" s="10"/>
      <c r="C114" s="10">
        <v>4</v>
      </c>
      <c r="D114" s="10" t="s">
        <v>445</v>
      </c>
    </row>
    <row r="115" spans="1:4">
      <c r="A115" s="10"/>
      <c r="B115" s="10"/>
      <c r="C115" s="10">
        <v>5</v>
      </c>
      <c r="D115" s="10" t="s">
        <v>451</v>
      </c>
    </row>
    <row r="116" spans="1:4">
      <c r="A116" s="10"/>
      <c r="B116" s="10"/>
      <c r="C116" s="10">
        <v>6</v>
      </c>
      <c r="D116" s="10" t="s">
        <v>452</v>
      </c>
    </row>
    <row r="117" spans="1:4">
      <c r="A117" s="10"/>
      <c r="B117" s="10"/>
      <c r="C117" s="10">
        <v>7</v>
      </c>
      <c r="D117" s="10" t="s">
        <v>453</v>
      </c>
    </row>
    <row r="118" spans="1:4">
      <c r="A118" s="10"/>
      <c r="B118" s="10"/>
      <c r="C118" s="10">
        <v>8</v>
      </c>
      <c r="D118" s="10" t="s">
        <v>454</v>
      </c>
    </row>
    <row r="119" spans="1:4">
      <c r="A119" s="10"/>
      <c r="B119" s="10"/>
      <c r="C119" s="10">
        <v>9</v>
      </c>
      <c r="D119" s="10" t="s">
        <v>455</v>
      </c>
    </row>
    <row r="120" spans="1:4">
      <c r="A120" s="10"/>
      <c r="B120" s="10"/>
      <c r="C120" s="10">
        <v>10</v>
      </c>
      <c r="D120" s="10" t="s">
        <v>456</v>
      </c>
    </row>
    <row r="121" spans="1:4">
      <c r="A121" s="10"/>
      <c r="B121" s="10"/>
      <c r="C121" s="10">
        <v>11</v>
      </c>
      <c r="D121" s="10" t="s">
        <v>457</v>
      </c>
    </row>
    <row r="122" spans="1:4">
      <c r="A122" s="10"/>
      <c r="B122" s="10"/>
      <c r="C122" s="10">
        <v>12</v>
      </c>
      <c r="D122" s="10" t="s">
        <v>458</v>
      </c>
    </row>
    <row r="123" spans="1:4">
      <c r="A123" s="10"/>
      <c r="B123" s="10"/>
      <c r="C123" s="10">
        <v>13</v>
      </c>
      <c r="D123" s="10" t="s">
        <v>459</v>
      </c>
    </row>
    <row r="124" spans="1:4">
      <c r="A124" s="10"/>
      <c r="B124" s="10"/>
      <c r="C124" s="10">
        <v>14</v>
      </c>
      <c r="D124" s="10" t="s">
        <v>460</v>
      </c>
    </row>
    <row r="125" spans="1:4">
      <c r="A125" s="10"/>
      <c r="B125" s="10"/>
      <c r="C125" s="10">
        <v>15</v>
      </c>
      <c r="D125" s="10" t="s">
        <v>461</v>
      </c>
    </row>
    <row r="126" spans="1:4">
      <c r="A126" s="10"/>
      <c r="B126" s="10"/>
      <c r="C126" s="10">
        <v>16</v>
      </c>
      <c r="D126" s="10" t="s">
        <v>447</v>
      </c>
    </row>
    <row r="127" spans="1:4">
      <c r="A127" s="10"/>
      <c r="B127" s="10"/>
      <c r="C127" s="10">
        <v>17</v>
      </c>
      <c r="D127" s="10" t="s">
        <v>448</v>
      </c>
    </row>
    <row r="128" spans="1:4">
      <c r="A128" s="10"/>
      <c r="B128" s="10"/>
      <c r="C128" s="10">
        <v>18</v>
      </c>
      <c r="D128" s="10" t="s">
        <v>449</v>
      </c>
    </row>
    <row r="129" spans="1:4">
      <c r="A129" s="10"/>
      <c r="B129" s="10"/>
      <c r="C129" s="10">
        <v>19</v>
      </c>
      <c r="D129" s="10" t="s">
        <v>462</v>
      </c>
    </row>
    <row r="130" spans="1:4">
      <c r="A130" s="10"/>
      <c r="B130" s="10"/>
      <c r="C130" s="10">
        <v>20</v>
      </c>
      <c r="D130" s="10" t="s">
        <v>463</v>
      </c>
    </row>
    <row r="131" spans="1:4">
      <c r="A131" s="10"/>
      <c r="B131" s="10"/>
      <c r="C131" s="10">
        <v>21</v>
      </c>
      <c r="D131" s="10" t="s">
        <v>464</v>
      </c>
    </row>
    <row r="132" spans="1:4">
      <c r="A132" s="10"/>
      <c r="B132" s="10"/>
      <c r="C132" s="10">
        <v>22</v>
      </c>
      <c r="D132" s="10" t="s">
        <v>465</v>
      </c>
    </row>
    <row r="133" spans="1:4">
      <c r="A133" s="10"/>
      <c r="B133" s="10"/>
      <c r="C133" s="10">
        <v>23</v>
      </c>
      <c r="D133" s="10" t="s">
        <v>466</v>
      </c>
    </row>
    <row r="134" spans="1:4">
      <c r="A134" s="10"/>
      <c r="B134" s="10"/>
      <c r="C134" s="10"/>
      <c r="D134" s="10"/>
    </row>
    <row r="135" spans="1:4">
      <c r="A135" s="10">
        <v>3</v>
      </c>
      <c r="B135" s="10" t="s">
        <v>473</v>
      </c>
      <c r="C135" s="10">
        <v>28</v>
      </c>
      <c r="D135" s="10" t="s">
        <v>474</v>
      </c>
    </row>
    <row r="136" spans="1:4">
      <c r="A136" s="10"/>
      <c r="B136" s="10"/>
      <c r="C136" s="10">
        <v>29</v>
      </c>
      <c r="D136" s="10" t="s">
        <v>475</v>
      </c>
    </row>
    <row r="137" spans="1:4">
      <c r="A137" s="10"/>
      <c r="B137" s="10"/>
      <c r="C137" s="10">
        <v>30</v>
      </c>
      <c r="D137" s="10" t="s">
        <v>476</v>
      </c>
    </row>
    <row r="138" spans="1:4">
      <c r="A138" s="10"/>
      <c r="B138" s="10"/>
      <c r="C138" s="10"/>
      <c r="D138" s="10"/>
    </row>
    <row r="139" spans="1:4">
      <c r="A139" s="10">
        <v>4</v>
      </c>
      <c r="B139" s="10" t="s">
        <v>538</v>
      </c>
      <c r="C139" s="10">
        <v>31</v>
      </c>
      <c r="D139" s="10" t="s">
        <v>478</v>
      </c>
    </row>
    <row r="140" spans="1:4">
      <c r="A140" s="10"/>
      <c r="B140" s="10"/>
      <c r="C140" s="10">
        <v>32</v>
      </c>
      <c r="D140" s="10" t="s">
        <v>479</v>
      </c>
    </row>
    <row r="141" spans="1:4">
      <c r="A141" s="10"/>
      <c r="B141" s="10"/>
      <c r="C141" s="10">
        <v>33</v>
      </c>
      <c r="D141" s="10" t="s">
        <v>480</v>
      </c>
    </row>
    <row r="142" spans="1:4">
      <c r="A142" s="10"/>
      <c r="B142" s="10"/>
      <c r="C142" s="10">
        <v>34</v>
      </c>
      <c r="D142" s="10" t="s">
        <v>482</v>
      </c>
    </row>
    <row r="143" spans="1:4">
      <c r="A143" s="10"/>
      <c r="B143" s="10"/>
      <c r="C143" s="10">
        <v>35</v>
      </c>
      <c r="D143" s="10" t="s">
        <v>483</v>
      </c>
    </row>
    <row r="144" spans="1:4">
      <c r="A144" s="10"/>
      <c r="B144" s="10"/>
      <c r="C144" s="10">
        <v>36</v>
      </c>
      <c r="D144" s="10" t="s">
        <v>484</v>
      </c>
    </row>
    <row r="145" spans="1:4">
      <c r="A145" s="10"/>
      <c r="B145" s="10"/>
      <c r="C145" s="10">
        <v>37</v>
      </c>
      <c r="D145" s="10" t="s">
        <v>485</v>
      </c>
    </row>
    <row r="146" spans="1:4">
      <c r="A146" s="10"/>
      <c r="B146" s="10"/>
      <c r="C146" s="10">
        <v>38</v>
      </c>
      <c r="D146" s="10" t="s">
        <v>486</v>
      </c>
    </row>
    <row r="147" spans="1:4">
      <c r="A147" s="10"/>
      <c r="B147" s="10"/>
      <c r="C147" s="10">
        <v>39</v>
      </c>
      <c r="D147" s="10" t="s">
        <v>488</v>
      </c>
    </row>
    <row r="148" spans="1:4">
      <c r="A148" s="10"/>
      <c r="B148" s="10"/>
      <c r="C148" s="10">
        <v>40</v>
      </c>
      <c r="D148" s="10" t="s">
        <v>489</v>
      </c>
    </row>
    <row r="149" spans="1:4">
      <c r="A149" s="10"/>
      <c r="B149" s="10"/>
      <c r="C149" s="10"/>
      <c r="D149" s="10"/>
    </row>
    <row r="150" spans="1:4">
      <c r="A150" s="10">
        <v>5</v>
      </c>
      <c r="B150" s="10" t="s">
        <v>539</v>
      </c>
      <c r="C150" s="10">
        <v>41</v>
      </c>
      <c r="D150" s="10" t="s">
        <v>491</v>
      </c>
    </row>
    <row r="151" spans="1:4">
      <c r="A151" s="10"/>
      <c r="B151" s="10"/>
      <c r="C151" s="10">
        <v>42</v>
      </c>
      <c r="D151" s="10" t="s">
        <v>492</v>
      </c>
    </row>
    <row r="152" spans="1:4">
      <c r="A152" s="10"/>
      <c r="B152" s="10"/>
      <c r="C152" s="10">
        <v>43</v>
      </c>
      <c r="D152" s="10" t="s">
        <v>493</v>
      </c>
    </row>
    <row r="153" spans="1:4">
      <c r="A153" s="10"/>
      <c r="B153" s="10"/>
      <c r="C153" s="10">
        <v>44</v>
      </c>
      <c r="D153" s="10" t="s">
        <v>495</v>
      </c>
    </row>
    <row r="154" spans="1:4">
      <c r="A154" s="10"/>
      <c r="B154" s="10"/>
      <c r="C154" s="10">
        <v>45</v>
      </c>
      <c r="D154" s="10" t="s">
        <v>496</v>
      </c>
    </row>
    <row r="155" spans="1:4">
      <c r="A155" s="10"/>
      <c r="B155" s="10"/>
      <c r="C155" s="10">
        <v>46</v>
      </c>
      <c r="D155" s="10" t="s">
        <v>497</v>
      </c>
    </row>
    <row r="156" spans="1:4">
      <c r="A156" s="10"/>
      <c r="B156" s="10"/>
      <c r="C156" s="10">
        <v>47</v>
      </c>
      <c r="D156" s="10" t="s">
        <v>499</v>
      </c>
    </row>
    <row r="157" spans="1:4">
      <c r="A157" s="10"/>
      <c r="B157" s="10"/>
      <c r="C157" s="10">
        <v>48</v>
      </c>
      <c r="D157" s="10" t="s">
        <v>500</v>
      </c>
    </row>
    <row r="158" spans="1:4">
      <c r="A158" s="10"/>
      <c r="B158" s="10"/>
      <c r="C158" s="10">
        <v>49</v>
      </c>
      <c r="D158" s="10" t="s">
        <v>501</v>
      </c>
    </row>
    <row r="159" spans="1:4">
      <c r="A159" s="10"/>
      <c r="B159" s="10"/>
      <c r="C159" s="10">
        <v>50</v>
      </c>
      <c r="D159" s="10" t="s">
        <v>502</v>
      </c>
    </row>
    <row r="160" spans="1:4">
      <c r="A160" s="10"/>
      <c r="B160" s="10"/>
      <c r="C160" s="10">
        <v>51</v>
      </c>
      <c r="D160" s="10" t="s">
        <v>504</v>
      </c>
    </row>
    <row r="161" spans="1:4">
      <c r="A161" s="10"/>
      <c r="B161" s="10"/>
      <c r="C161" s="10">
        <v>52</v>
      </c>
      <c r="D161" s="10" t="s">
        <v>505</v>
      </c>
    </row>
    <row r="162" spans="1:4">
      <c r="A162" s="10"/>
      <c r="B162" s="10"/>
      <c r="C162" s="10">
        <v>53</v>
      </c>
      <c r="D162" s="10" t="s">
        <v>506</v>
      </c>
    </row>
    <row r="163" spans="1:4">
      <c r="A163" s="10"/>
      <c r="B163" s="10"/>
      <c r="C163" s="10">
        <v>54</v>
      </c>
      <c r="D163" s="10" t="s">
        <v>507</v>
      </c>
    </row>
    <row r="164" spans="1:4">
      <c r="A164" s="10"/>
      <c r="B164" s="10"/>
      <c r="C164" s="10">
        <v>55</v>
      </c>
      <c r="D164" s="10" t="s">
        <v>508</v>
      </c>
    </row>
    <row r="165" spans="1:4">
      <c r="A165" s="10"/>
      <c r="B165" s="10"/>
      <c r="C165" s="10">
        <v>56</v>
      </c>
      <c r="D165" s="10" t="s">
        <v>509</v>
      </c>
    </row>
    <row r="166" spans="1:4">
      <c r="A166" s="10"/>
      <c r="B166" s="10"/>
      <c r="C166" s="10">
        <v>57</v>
      </c>
      <c r="D166" s="10" t="s">
        <v>510</v>
      </c>
    </row>
    <row r="167" spans="1:4">
      <c r="A167" s="10"/>
      <c r="B167" s="10"/>
      <c r="C167" s="10">
        <v>58</v>
      </c>
      <c r="D167" s="10" t="s">
        <v>512</v>
      </c>
    </row>
    <row r="168" spans="1:4">
      <c r="A168" s="10"/>
      <c r="B168" s="10"/>
      <c r="C168" s="10">
        <v>59</v>
      </c>
      <c r="D168" s="10" t="s">
        <v>513</v>
      </c>
    </row>
    <row r="169" spans="1:4">
      <c r="A169" s="10"/>
      <c r="B169" s="10"/>
      <c r="C169" s="10">
        <v>60</v>
      </c>
      <c r="D169" s="10" t="s">
        <v>514</v>
      </c>
    </row>
    <row r="170" spans="1:4">
      <c r="A170" s="10"/>
      <c r="B170" s="10"/>
      <c r="C170" s="10">
        <v>61</v>
      </c>
      <c r="D170" s="10" t="s">
        <v>515</v>
      </c>
    </row>
    <row r="171" spans="1:4">
      <c r="A171" s="10"/>
      <c r="B171" s="10"/>
      <c r="C171" s="10">
        <v>62</v>
      </c>
      <c r="D171" s="10" t="s">
        <v>516</v>
      </c>
    </row>
    <row r="172" spans="1:4">
      <c r="A172" s="10"/>
      <c r="B172" s="10"/>
      <c r="C172" s="10">
        <v>63</v>
      </c>
      <c r="D172" s="10" t="s">
        <v>517</v>
      </c>
    </row>
    <row r="173" spans="1:4">
      <c r="A173" s="10"/>
      <c r="B173" s="10"/>
      <c r="C173" s="10">
        <v>69</v>
      </c>
      <c r="D173" s="10" t="s">
        <v>526</v>
      </c>
    </row>
    <row r="174" spans="1:4">
      <c r="A174" s="10"/>
      <c r="B174" s="10"/>
      <c r="C174" s="10">
        <v>70</v>
      </c>
      <c r="D174" s="10" t="s">
        <v>527</v>
      </c>
    </row>
    <row r="175" spans="1:4">
      <c r="A175" s="10"/>
      <c r="B175" s="10"/>
      <c r="C175" s="10">
        <v>71</v>
      </c>
      <c r="D175" s="10" t="s">
        <v>528</v>
      </c>
    </row>
    <row r="176" spans="1:4">
      <c r="A176" s="10"/>
      <c r="B176" s="10"/>
      <c r="C176" s="10">
        <v>72</v>
      </c>
      <c r="D176" s="10" t="s">
        <v>529</v>
      </c>
    </row>
    <row r="177" spans="1:6">
      <c r="A177" s="10"/>
      <c r="B177" s="10"/>
      <c r="C177" s="10">
        <v>73</v>
      </c>
      <c r="D177" s="10" t="s">
        <v>531</v>
      </c>
    </row>
    <row r="178" spans="1:6">
      <c r="A178" s="10"/>
      <c r="B178" s="10"/>
      <c r="C178" s="10">
        <v>74</v>
      </c>
      <c r="D178" s="10" t="s">
        <v>532</v>
      </c>
    </row>
    <row r="179" spans="1:6">
      <c r="A179" s="10"/>
      <c r="B179" s="10"/>
      <c r="C179" s="10">
        <v>75</v>
      </c>
      <c r="D179" s="10" t="s">
        <v>533</v>
      </c>
    </row>
    <row r="180" spans="1:6">
      <c r="A180" s="10"/>
      <c r="B180" s="10"/>
      <c r="C180" s="10"/>
      <c r="D180" s="10"/>
    </row>
    <row r="181" spans="1:6">
      <c r="A181" s="10">
        <v>6</v>
      </c>
      <c r="B181" s="10" t="s">
        <v>540</v>
      </c>
      <c r="C181" s="10">
        <v>64</v>
      </c>
      <c r="D181" s="10" t="s">
        <v>519</v>
      </c>
    </row>
    <row r="182" spans="1:6">
      <c r="A182" s="10"/>
      <c r="B182" s="10"/>
      <c r="C182" s="10">
        <v>65</v>
      </c>
      <c r="D182" s="10" t="s">
        <v>520</v>
      </c>
    </row>
    <row r="183" spans="1:6">
      <c r="A183" s="10"/>
      <c r="B183" s="10"/>
      <c r="C183" s="10">
        <v>66</v>
      </c>
      <c r="D183" s="10" t="s">
        <v>522</v>
      </c>
    </row>
    <row r="184" spans="1:6">
      <c r="A184" s="10"/>
      <c r="B184" s="10"/>
      <c r="C184" s="10">
        <v>67</v>
      </c>
      <c r="D184" s="10" t="s">
        <v>523</v>
      </c>
    </row>
    <row r="185" spans="1:6">
      <c r="A185" s="10"/>
      <c r="B185" s="10"/>
      <c r="C185" s="10">
        <v>68</v>
      </c>
      <c r="D185" s="10" t="s">
        <v>524</v>
      </c>
    </row>
    <row r="186" spans="1:6">
      <c r="A186"/>
      <c r="B186"/>
      <c r="D186"/>
    </row>
    <row r="187" spans="1:6" ht="12.95">
      <c r="A187" s="14" t="s">
        <v>541</v>
      </c>
      <c r="C187" s="107"/>
      <c r="D187" s="107"/>
    </row>
    <row r="188" spans="1:6">
      <c r="A188" s="70" t="s">
        <v>332</v>
      </c>
      <c r="C188" s="107"/>
      <c r="D188" s="107"/>
    </row>
    <row r="189" spans="1:6">
      <c r="A189" s="70" t="s">
        <v>332</v>
      </c>
      <c r="C189" s="107"/>
      <c r="D189" s="107"/>
    </row>
    <row r="190" spans="1:6">
      <c r="B190" s="70" t="s">
        <v>542</v>
      </c>
      <c r="D190" s="70" t="s">
        <v>543</v>
      </c>
    </row>
    <row r="191" spans="1:6">
      <c r="A191" s="70" t="s">
        <v>332</v>
      </c>
    </row>
    <row r="192" spans="1:6">
      <c r="A192" s="70">
        <v>1</v>
      </c>
      <c r="B192" s="107" t="s">
        <v>290</v>
      </c>
      <c r="C192" s="70">
        <v>1</v>
      </c>
      <c r="D192" s="107" t="s">
        <v>289</v>
      </c>
      <c r="F192" s="107"/>
    </row>
    <row r="193" spans="1:6">
      <c r="C193" s="70">
        <v>2</v>
      </c>
      <c r="D193" s="107" t="s">
        <v>297</v>
      </c>
      <c r="F193" s="107"/>
    </row>
    <row r="194" spans="1:6">
      <c r="D194" s="107"/>
      <c r="F194" s="107"/>
    </row>
    <row r="195" spans="1:6">
      <c r="A195" s="70">
        <v>2</v>
      </c>
      <c r="B195" s="107" t="s">
        <v>298</v>
      </c>
      <c r="C195" s="70">
        <v>3</v>
      </c>
      <c r="D195" s="107" t="s">
        <v>305</v>
      </c>
      <c r="F195" s="107"/>
    </row>
    <row r="196" spans="1:6">
      <c r="C196" s="70">
        <v>4</v>
      </c>
      <c r="D196" s="107" t="s">
        <v>313</v>
      </c>
      <c r="F196" s="107"/>
    </row>
    <row r="197" spans="1:6">
      <c r="C197" s="70">
        <v>5</v>
      </c>
      <c r="D197" s="107" t="s">
        <v>320</v>
      </c>
      <c r="F197" s="107"/>
    </row>
    <row r="198" spans="1:6">
      <c r="C198" s="70">
        <v>6</v>
      </c>
      <c r="D198" s="107" t="s">
        <v>327</v>
      </c>
      <c r="F198" s="107"/>
    </row>
    <row r="199" spans="1:6">
      <c r="B199" s="107"/>
      <c r="D199" s="107"/>
      <c r="F199" s="107"/>
    </row>
    <row r="200" spans="1:6">
      <c r="A200" s="70">
        <v>3</v>
      </c>
      <c r="B200" s="107" t="s">
        <v>306</v>
      </c>
      <c r="C200" s="70">
        <v>7</v>
      </c>
      <c r="D200" s="107" t="s">
        <v>333</v>
      </c>
      <c r="F200" s="107"/>
    </row>
    <row r="201" spans="1:6">
      <c r="C201" s="70">
        <v>8</v>
      </c>
      <c r="D201" s="107" t="s">
        <v>336</v>
      </c>
      <c r="F201" s="107"/>
    </row>
    <row r="202" spans="1:6">
      <c r="C202" s="70">
        <v>9</v>
      </c>
      <c r="D202" s="107" t="s">
        <v>340</v>
      </c>
      <c r="F202" s="107"/>
    </row>
    <row r="203" spans="1:6">
      <c r="C203" s="70">
        <v>10</v>
      </c>
      <c r="D203" s="107" t="s">
        <v>344</v>
      </c>
      <c r="F203" s="107"/>
    </row>
    <row r="204" spans="1:6">
      <c r="C204" s="70">
        <v>11</v>
      </c>
      <c r="D204" s="107" t="s">
        <v>347</v>
      </c>
      <c r="F204" s="107"/>
    </row>
    <row r="205" spans="1:6">
      <c r="D205" s="107"/>
      <c r="F205" s="107"/>
    </row>
    <row r="206" spans="1:6">
      <c r="A206" s="70">
        <v>4</v>
      </c>
      <c r="B206" s="107" t="s">
        <v>314</v>
      </c>
      <c r="C206" s="70">
        <v>12</v>
      </c>
      <c r="D206" s="107" t="s">
        <v>350</v>
      </c>
      <c r="F206" s="107"/>
    </row>
    <row r="207" spans="1:6">
      <c r="C207" s="70">
        <v>13</v>
      </c>
      <c r="D207" s="107" t="s">
        <v>353</v>
      </c>
      <c r="F207" s="107"/>
    </row>
    <row r="208" spans="1:6">
      <c r="D208"/>
      <c r="F208" s="107"/>
    </row>
    <row r="209" spans="1:6">
      <c r="A209" s="70">
        <v>5</v>
      </c>
      <c r="B209" s="107" t="s">
        <v>321</v>
      </c>
      <c r="C209" s="70">
        <v>14</v>
      </c>
      <c r="D209" s="107" t="s">
        <v>356</v>
      </c>
      <c r="F209" s="107"/>
    </row>
    <row r="210" spans="1:6">
      <c r="C210" s="70">
        <v>15</v>
      </c>
      <c r="D210" s="107" t="s">
        <v>359</v>
      </c>
      <c r="F210" s="107"/>
    </row>
    <row r="211" spans="1:6">
      <c r="C211" s="70">
        <v>16</v>
      </c>
      <c r="D211" s="107" t="s">
        <v>362</v>
      </c>
      <c r="F211" s="107"/>
    </row>
    <row r="212" spans="1:6">
      <c r="C212" s="70">
        <v>17</v>
      </c>
      <c r="D212" s="107" t="s">
        <v>365</v>
      </c>
      <c r="F212" s="107"/>
    </row>
    <row r="213" spans="1:6">
      <c r="D213"/>
      <c r="F213" s="107"/>
    </row>
    <row r="214" spans="1:6">
      <c r="A214" s="70">
        <v>6</v>
      </c>
      <c r="B214" s="107" t="s">
        <v>328</v>
      </c>
      <c r="C214" s="70">
        <v>18</v>
      </c>
      <c r="D214" s="107" t="s">
        <v>368</v>
      </c>
      <c r="F214" s="107"/>
    </row>
    <row r="215" spans="1:6">
      <c r="C215" s="70">
        <v>19</v>
      </c>
      <c r="D215" s="107" t="s">
        <v>371</v>
      </c>
      <c r="F215" s="107"/>
    </row>
    <row r="216" spans="1:6">
      <c r="C216" s="70">
        <v>20</v>
      </c>
      <c r="D216" s="107" t="s">
        <v>374</v>
      </c>
      <c r="F216" s="107"/>
    </row>
    <row r="217" spans="1:6">
      <c r="F217" s="107"/>
    </row>
    <row r="218" spans="1:6">
      <c r="A218" s="70">
        <v>7</v>
      </c>
      <c r="B218" s="107" t="s">
        <v>334</v>
      </c>
      <c r="C218" s="70">
        <v>21</v>
      </c>
      <c r="D218" s="107" t="s">
        <v>377</v>
      </c>
      <c r="F218"/>
    </row>
    <row r="219" spans="1:6">
      <c r="C219" s="70">
        <v>22</v>
      </c>
      <c r="D219" s="107" t="s">
        <v>380</v>
      </c>
    </row>
    <row r="220" spans="1:6">
      <c r="D220" s="107"/>
    </row>
    <row r="221" spans="1:6">
      <c r="A221" s="70">
        <v>8</v>
      </c>
      <c r="B221" s="107" t="s">
        <v>337</v>
      </c>
      <c r="C221" s="70">
        <v>23</v>
      </c>
      <c r="D221" s="107" t="s">
        <v>382</v>
      </c>
    </row>
    <row r="222" spans="1:6">
      <c r="C222" s="70">
        <v>24</v>
      </c>
      <c r="D222" s="107" t="s">
        <v>384</v>
      </c>
    </row>
    <row r="223" spans="1:6" ht="12" customHeight="1"/>
    <row r="224" spans="1:6">
      <c r="A224" s="70">
        <v>9</v>
      </c>
      <c r="B224" s="107" t="s">
        <v>341</v>
      </c>
      <c r="C224" s="70">
        <v>25</v>
      </c>
      <c r="D224" s="107" t="s">
        <v>386</v>
      </c>
    </row>
    <row r="225" spans="1:4">
      <c r="C225" s="70">
        <v>26</v>
      </c>
      <c r="D225" t="s">
        <v>388</v>
      </c>
    </row>
    <row r="226" spans="1:4">
      <c r="B226"/>
      <c r="D226"/>
    </row>
    <row r="227" spans="1:4" ht="12.95">
      <c r="A227" s="14" t="s">
        <v>544</v>
      </c>
      <c r="D227"/>
    </row>
    <row r="228" spans="1:4">
      <c r="D228"/>
    </row>
    <row r="229" spans="1:4">
      <c r="B229" s="70" t="s">
        <v>545</v>
      </c>
      <c r="D229" s="70" t="s">
        <v>546</v>
      </c>
    </row>
    <row r="231" spans="1:4">
      <c r="A231" s="70">
        <v>1</v>
      </c>
      <c r="B231" s="107" t="s">
        <v>292</v>
      </c>
      <c r="C231" s="70">
        <v>1</v>
      </c>
      <c r="D231" s="107" t="s">
        <v>291</v>
      </c>
    </row>
    <row r="232" spans="1:4">
      <c r="C232" s="70">
        <v>2</v>
      </c>
      <c r="D232" s="107" t="s">
        <v>299</v>
      </c>
    </row>
    <row r="234" spans="1:4">
      <c r="A234" s="70">
        <v>2</v>
      </c>
      <c r="B234" s="107" t="s">
        <v>300</v>
      </c>
      <c r="C234" s="70">
        <v>3</v>
      </c>
      <c r="D234" s="107" t="s">
        <v>307</v>
      </c>
    </row>
    <row r="235" spans="1:4">
      <c r="C235" s="70">
        <v>4</v>
      </c>
      <c r="D235" s="107" t="s">
        <v>315</v>
      </c>
    </row>
    <row r="236" spans="1:4">
      <c r="C236" s="70">
        <v>5</v>
      </c>
      <c r="D236" s="107" t="s">
        <v>322</v>
      </c>
    </row>
    <row r="238" spans="1:4">
      <c r="A238" s="70">
        <v>3</v>
      </c>
      <c r="B238" s="107" t="s">
        <v>308</v>
      </c>
      <c r="C238" s="70">
        <v>6</v>
      </c>
      <c r="D238" s="107" t="s">
        <v>308</v>
      </c>
    </row>
    <row r="240" spans="1:4">
      <c r="A240" s="70">
        <v>4</v>
      </c>
      <c r="B240" s="107" t="s">
        <v>316</v>
      </c>
      <c r="C240" s="70">
        <v>7</v>
      </c>
      <c r="D240" s="107" t="s">
        <v>316</v>
      </c>
    </row>
    <row r="242" spans="1:4">
      <c r="A242" s="70">
        <v>5</v>
      </c>
      <c r="B242" s="107" t="s">
        <v>323</v>
      </c>
      <c r="C242" s="70">
        <v>8</v>
      </c>
      <c r="D242" s="107" t="s">
        <v>323</v>
      </c>
    </row>
    <row r="244" spans="1:4">
      <c r="A244" s="70">
        <v>6</v>
      </c>
      <c r="B244" s="107" t="s">
        <v>329</v>
      </c>
      <c r="C244" s="70">
        <v>9</v>
      </c>
      <c r="D244" s="107" t="s">
        <v>329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CC5C6B-9159-4DD1-8052-B63A9487A4B0}"/>
</file>

<file path=customXml/itemProps2.xml><?xml version="1.0" encoding="utf-8"?>
<ds:datastoreItem xmlns:ds="http://schemas.openxmlformats.org/officeDocument/2006/customXml" ds:itemID="{9E590611-C68C-43EB-9FBF-2AA2936FAA06}"/>
</file>

<file path=customXml/itemProps3.xml><?xml version="1.0" encoding="utf-8"?>
<ds:datastoreItem xmlns:ds="http://schemas.openxmlformats.org/officeDocument/2006/customXml" ds:itemID="{B5D963A6-C48B-4A6C-B40F-6473B04A72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Warwick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IT Services</dc:creator>
  <cp:keywords/>
  <dc:description/>
  <cp:lastModifiedBy>FINNIE, Ross</cp:lastModifiedBy>
  <cp:revision/>
  <dcterms:created xsi:type="dcterms:W3CDTF">2006-08-30T09:48:05Z</dcterms:created>
  <dcterms:modified xsi:type="dcterms:W3CDTF">2023-03-13T16:06:35Z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  <property fmtid="{D5CDD505-2E9C-101B-9397-08002B2CF9AE}" pid="3" name="MediaServiceImageTags">
    <vt:lpwstr/>
  </property>
</Properties>
</file>